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обочая\Тарификация\Штатное\"/>
    </mc:Choice>
  </mc:AlternateContent>
  <xr:revisionPtr revIDLastSave="0" documentId="8_{B7B58E98-FAE5-4BCA-98E6-461B8ACBB21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штати 2020р (5)" sheetId="1" r:id="rId1"/>
    <sheet name="Лист1" sheetId="2" r:id="rId2"/>
  </sheets>
  <externalReferences>
    <externalReference r:id="rId3"/>
    <externalReference r:id="rId4"/>
  </externalReferences>
  <definedNames>
    <definedName name="_xlnm.Print_Area" localSheetId="0">'штати 2020р (5)'!$A$7:$H$162</definedName>
  </definedNames>
  <calcPr calcId="191029"/>
</workbook>
</file>

<file path=xl/calcChain.xml><?xml version="1.0" encoding="utf-8"?>
<calcChain xmlns="http://schemas.openxmlformats.org/spreadsheetml/2006/main">
  <c r="C156" i="1" l="1"/>
  <c r="F156" i="1"/>
  <c r="G129" i="1"/>
  <c r="G122" i="1"/>
  <c r="D130" i="1"/>
  <c r="E130" i="1"/>
  <c r="C130" i="1"/>
  <c r="D123" i="1"/>
  <c r="E123" i="1"/>
  <c r="F123" i="1"/>
  <c r="C123" i="1"/>
  <c r="H129" i="1" l="1"/>
  <c r="F130" i="1"/>
  <c r="C43" i="1"/>
  <c r="C94" i="1" l="1"/>
  <c r="E43" i="1"/>
  <c r="F43" i="1"/>
  <c r="C141" i="1"/>
  <c r="C106" i="1" l="1"/>
  <c r="C68" i="1"/>
  <c r="E156" i="1"/>
  <c r="A36" i="1"/>
  <c r="H122" i="1" l="1"/>
  <c r="G143" i="1"/>
  <c r="H143" i="1" s="1"/>
  <c r="D76" i="1"/>
  <c r="G40" i="1"/>
  <c r="G36" i="1"/>
  <c r="H36" i="1" s="1"/>
  <c r="G148" i="1"/>
  <c r="H148" i="1" s="1"/>
  <c r="F152" i="1"/>
  <c r="F159" i="1" s="1"/>
  <c r="G149" i="1"/>
  <c r="H149" i="1" s="1"/>
  <c r="G147" i="1"/>
  <c r="H147" i="1" s="1"/>
  <c r="G138" i="1"/>
  <c r="H138" i="1" s="1"/>
  <c r="D117" i="1"/>
  <c r="G105" i="1"/>
  <c r="H105" i="1" s="1"/>
  <c r="G113" i="1"/>
  <c r="H113" i="1" s="1"/>
  <c r="G100" i="1"/>
  <c r="H100" i="1" s="1"/>
  <c r="G99" i="1"/>
  <c r="H99" i="1" s="1"/>
  <c r="G93" i="1"/>
  <c r="H93" i="1" s="1"/>
  <c r="D73" i="1"/>
  <c r="G54" i="1"/>
  <c r="H54" i="1" s="1"/>
  <c r="G55" i="1"/>
  <c r="H55" i="1" s="1"/>
  <c r="E82" i="1"/>
  <c r="G37" i="1"/>
  <c r="H37" i="1" s="1"/>
  <c r="G49" i="1"/>
  <c r="F157" i="1"/>
  <c r="E155" i="1"/>
  <c r="E152" i="1"/>
  <c r="E159" i="1" s="1"/>
  <c r="G151" i="1"/>
  <c r="H151" i="1" s="1"/>
  <c r="G146" i="1"/>
  <c r="H146" i="1" s="1"/>
  <c r="C145" i="1"/>
  <c r="C152" i="1" s="1"/>
  <c r="G144" i="1"/>
  <c r="H144" i="1" s="1"/>
  <c r="F141" i="1"/>
  <c r="E141" i="1"/>
  <c r="H139" i="1"/>
  <c r="G137" i="1"/>
  <c r="H137" i="1" s="1"/>
  <c r="I135" i="1"/>
  <c r="E135" i="1"/>
  <c r="C135" i="1"/>
  <c r="G134" i="1"/>
  <c r="H134" i="1" s="1"/>
  <c r="B125" i="1"/>
  <c r="C120" i="1"/>
  <c r="E117" i="1"/>
  <c r="C117" i="1"/>
  <c r="C111" i="1"/>
  <c r="C109" i="1"/>
  <c r="C102" i="1"/>
  <c r="I97" i="1"/>
  <c r="J97" i="1" s="1"/>
  <c r="C97" i="1"/>
  <c r="C88" i="1"/>
  <c r="E85" i="1"/>
  <c r="C85" i="1"/>
  <c r="C82" i="1"/>
  <c r="E76" i="1"/>
  <c r="C76" i="1"/>
  <c r="E73" i="1"/>
  <c r="C73" i="1"/>
  <c r="B70" i="1"/>
  <c r="C67" i="1"/>
  <c r="C66" i="1"/>
  <c r="C157" i="1" s="1"/>
  <c r="C62" i="1"/>
  <c r="C59" i="1"/>
  <c r="E56" i="1"/>
  <c r="C53" i="1"/>
  <c r="C50" i="1"/>
  <c r="F46" i="1"/>
  <c r="F158" i="1" s="1"/>
  <c r="E46" i="1"/>
  <c r="E158" i="1" s="1"/>
  <c r="C45" i="1"/>
  <c r="C46" i="1" s="1"/>
  <c r="C42" i="1"/>
  <c r="E38" i="1"/>
  <c r="C38" i="1"/>
  <c r="G35" i="1"/>
  <c r="H35" i="1" s="1"/>
  <c r="A32" i="1"/>
  <c r="A33" i="1" s="1"/>
  <c r="A42" i="1" s="1"/>
  <c r="A45" i="1" s="1"/>
  <c r="A49" i="1" s="1"/>
  <c r="A50" i="1" s="1"/>
  <c r="A51" i="1" s="1"/>
  <c r="A52" i="1" s="1"/>
  <c r="A53" i="1" s="1"/>
  <c r="A54" i="1" s="1"/>
  <c r="A55" i="1" s="1"/>
  <c r="A58" i="1" s="1"/>
  <c r="A59" i="1" s="1"/>
  <c r="A60" i="1" s="1"/>
  <c r="A61" i="1" s="1"/>
  <c r="A62" i="1" s="1"/>
  <c r="A63" i="1" s="1"/>
  <c r="A65" i="1" s="1"/>
  <c r="A66" i="1" s="1"/>
  <c r="A67" i="1" s="1"/>
  <c r="A72" i="1" s="1"/>
  <c r="A75" i="1" s="1"/>
  <c r="A78" i="1" s="1"/>
  <c r="A79" i="1" s="1"/>
  <c r="A80" i="1" s="1"/>
  <c r="A81" i="1" s="1"/>
  <c r="A84" i="1" s="1"/>
  <c r="A87" i="1" s="1"/>
  <c r="A88" i="1" s="1"/>
  <c r="A89" i="1" s="1"/>
  <c r="A90" i="1" s="1"/>
  <c r="A91" i="1" s="1"/>
  <c r="A92" i="1" s="1"/>
  <c r="A93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8" i="1" s="1"/>
  <c r="A109" i="1" s="1"/>
  <c r="A110" i="1" s="1"/>
  <c r="A111" i="1" s="1"/>
  <c r="A112" i="1" s="1"/>
  <c r="A113" i="1" s="1"/>
  <c r="A116" i="1" s="1"/>
  <c r="A119" i="1" s="1"/>
  <c r="A120" i="1" s="1"/>
  <c r="A121" i="1" s="1"/>
  <c r="B29" i="1"/>
  <c r="C29" i="1" s="1"/>
  <c r="D29" i="1" s="1"/>
  <c r="E29" i="1" s="1"/>
  <c r="F29" i="1" s="1"/>
  <c r="G29" i="1" s="1"/>
  <c r="H29" i="1" s="1"/>
  <c r="G51" i="1" l="1"/>
  <c r="H51" i="1" s="1"/>
  <c r="H40" i="1"/>
  <c r="G33" i="1"/>
  <c r="H33" i="1" s="1"/>
  <c r="D43" i="1"/>
  <c r="G150" i="1"/>
  <c r="H150" i="1" s="1"/>
  <c r="G103" i="1"/>
  <c r="H103" i="1" s="1"/>
  <c r="D141" i="1"/>
  <c r="G133" i="1"/>
  <c r="H133" i="1" s="1"/>
  <c r="G63" i="1"/>
  <c r="H63" i="1" s="1"/>
  <c r="G127" i="1"/>
  <c r="D68" i="1"/>
  <c r="D106" i="1"/>
  <c r="G45" i="1"/>
  <c r="C56" i="1"/>
  <c r="C114" i="1"/>
  <c r="D56" i="1"/>
  <c r="G121" i="1"/>
  <c r="H121" i="1" s="1"/>
  <c r="G60" i="1"/>
  <c r="H60" i="1" s="1"/>
  <c r="F117" i="1"/>
  <c r="G92" i="1"/>
  <c r="H92" i="1" s="1"/>
  <c r="D156" i="1"/>
  <c r="E106" i="1"/>
  <c r="G111" i="1"/>
  <c r="G78" i="1"/>
  <c r="H78" i="1" s="1"/>
  <c r="G109" i="1"/>
  <c r="H109" i="1" s="1"/>
  <c r="G102" i="1"/>
  <c r="H102" i="1" s="1"/>
  <c r="G98" i="1"/>
  <c r="H98" i="1" s="1"/>
  <c r="G80" i="1"/>
  <c r="H80" i="1" s="1"/>
  <c r="G91" i="1"/>
  <c r="H91" i="1" s="1"/>
  <c r="G90" i="1"/>
  <c r="H90" i="1" s="1"/>
  <c r="F85" i="1"/>
  <c r="G81" i="1"/>
  <c r="H81" i="1" s="1"/>
  <c r="F73" i="1"/>
  <c r="E68" i="1"/>
  <c r="G65" i="1"/>
  <c r="H65" i="1" s="1"/>
  <c r="F76" i="1"/>
  <c r="G52" i="1"/>
  <c r="H52" i="1" s="1"/>
  <c r="G59" i="1"/>
  <c r="H59" i="1" s="1"/>
  <c r="G62" i="1"/>
  <c r="G53" i="1"/>
  <c r="H53" i="1" s="1"/>
  <c r="G34" i="1"/>
  <c r="D135" i="1"/>
  <c r="G140" i="1"/>
  <c r="H140" i="1" s="1"/>
  <c r="H141" i="1" s="1"/>
  <c r="D152" i="1"/>
  <c r="C158" i="1"/>
  <c r="C154" i="1" s="1"/>
  <c r="G67" i="1"/>
  <c r="H67" i="1" s="1"/>
  <c r="H49" i="1"/>
  <c r="G42" i="1"/>
  <c r="H42" i="1" s="1"/>
  <c r="D82" i="1"/>
  <c r="E94" i="1"/>
  <c r="G119" i="1"/>
  <c r="C155" i="1"/>
  <c r="G41" i="1"/>
  <c r="C159" i="1"/>
  <c r="H127" i="1" l="1"/>
  <c r="D38" i="1"/>
  <c r="G43" i="1"/>
  <c r="F135" i="1"/>
  <c r="G132" i="1"/>
  <c r="G135" i="1" s="1"/>
  <c r="G96" i="1"/>
  <c r="H34" i="1"/>
  <c r="G128" i="1"/>
  <c r="H128" i="1" s="1"/>
  <c r="G66" i="1"/>
  <c r="H66" i="1" s="1"/>
  <c r="G88" i="1"/>
  <c r="H88" i="1" s="1"/>
  <c r="G120" i="1"/>
  <c r="H120" i="1" s="1"/>
  <c r="G116" i="1"/>
  <c r="G117" i="1" s="1"/>
  <c r="D46" i="1"/>
  <c r="G97" i="1"/>
  <c r="H97" i="1" s="1"/>
  <c r="G104" i="1"/>
  <c r="H104" i="1" s="1"/>
  <c r="G108" i="1"/>
  <c r="H108" i="1" s="1"/>
  <c r="D114" i="1"/>
  <c r="E157" i="1"/>
  <c r="E154" i="1" s="1"/>
  <c r="F114" i="1"/>
  <c r="E114" i="1"/>
  <c r="G112" i="1"/>
  <c r="H112" i="1" s="1"/>
  <c r="G101" i="1"/>
  <c r="H101" i="1" s="1"/>
  <c r="G89" i="1"/>
  <c r="H89" i="1" s="1"/>
  <c r="D85" i="1"/>
  <c r="G84" i="1"/>
  <c r="F82" i="1"/>
  <c r="G79" i="1"/>
  <c r="G75" i="1"/>
  <c r="G76" i="1" s="1"/>
  <c r="G72" i="1"/>
  <c r="G73" i="1" s="1"/>
  <c r="F56" i="1"/>
  <c r="F38" i="1"/>
  <c r="G32" i="1"/>
  <c r="G50" i="1"/>
  <c r="H50" i="1" s="1"/>
  <c r="H56" i="1" s="1"/>
  <c r="G145" i="1"/>
  <c r="H145" i="1" s="1"/>
  <c r="H152" i="1" s="1"/>
  <c r="H159" i="1" s="1"/>
  <c r="G141" i="1"/>
  <c r="H62" i="1"/>
  <c r="G46" i="1"/>
  <c r="G158" i="1" s="1"/>
  <c r="D158" i="1" s="1"/>
  <c r="H45" i="1"/>
  <c r="H46" i="1" s="1"/>
  <c r="H158" i="1" s="1"/>
  <c r="D94" i="1"/>
  <c r="H111" i="1"/>
  <c r="H41" i="1"/>
  <c r="H43" i="1" s="1"/>
  <c r="H119" i="1"/>
  <c r="G130" i="1" l="1"/>
  <c r="H130" i="1"/>
  <c r="H123" i="1"/>
  <c r="G123" i="1"/>
  <c r="H132" i="1"/>
  <c r="H135" i="1" s="1"/>
  <c r="G152" i="1"/>
  <c r="G159" i="1" s="1"/>
  <c r="D159" i="1" s="1"/>
  <c r="F106" i="1"/>
  <c r="H96" i="1"/>
  <c r="H106" i="1" s="1"/>
  <c r="G106" i="1"/>
  <c r="F68" i="1"/>
  <c r="H157" i="1"/>
  <c r="H116" i="1"/>
  <c r="H117" i="1" s="1"/>
  <c r="G157" i="1"/>
  <c r="D157" i="1" s="1"/>
  <c r="G110" i="1"/>
  <c r="H110" i="1" s="1"/>
  <c r="H114" i="1" s="1"/>
  <c r="H72" i="1"/>
  <c r="H73" i="1" s="1"/>
  <c r="F94" i="1"/>
  <c r="G87" i="1"/>
  <c r="H84" i="1"/>
  <c r="H85" i="1" s="1"/>
  <c r="G85" i="1"/>
  <c r="H75" i="1"/>
  <c r="H76" i="1" s="1"/>
  <c r="H79" i="1"/>
  <c r="H82" i="1" s="1"/>
  <c r="G82" i="1"/>
  <c r="G56" i="1"/>
  <c r="G58" i="1"/>
  <c r="G61" i="1"/>
  <c r="G156" i="1" s="1"/>
  <c r="G31" i="1"/>
  <c r="H31" i="1" s="1"/>
  <c r="F155" i="1"/>
  <c r="H32" i="1"/>
  <c r="G68" i="1" l="1"/>
  <c r="H61" i="1"/>
  <c r="H156" i="1" s="1"/>
  <c r="G38" i="1"/>
  <c r="G114" i="1"/>
  <c r="H87" i="1"/>
  <c r="H94" i="1" s="1"/>
  <c r="G94" i="1"/>
  <c r="H38" i="1"/>
  <c r="F154" i="1"/>
  <c r="H58" i="1"/>
  <c r="G155" i="1"/>
  <c r="D155" i="1" s="1"/>
  <c r="H68" i="1" l="1"/>
  <c r="D154" i="1"/>
  <c r="G154" i="1"/>
  <c r="H155" i="1"/>
  <c r="H154" i="1" s="1"/>
  <c r="I10" i="1" l="1"/>
  <c r="E10" i="1"/>
</calcChain>
</file>

<file path=xl/sharedStrings.xml><?xml version="1.0" encoding="utf-8"?>
<sst xmlns="http://schemas.openxmlformats.org/spreadsheetml/2006/main" count="190" uniqueCount="121">
  <si>
    <t>ЗАТВЕРДЖЕНО</t>
  </si>
  <si>
    <t>46.174.48.12:27299</t>
  </si>
  <si>
    <t>наказом Міністерства фінансів України</t>
  </si>
  <si>
    <t>від 28 січня 2002 р. № 57</t>
  </si>
  <si>
    <t xml:space="preserve">(у редакції наказу Міністерства фінансів України </t>
  </si>
  <si>
    <t>від 26 листопада 2012року № 1220)</t>
  </si>
  <si>
    <t>ПОГОДЖЕНО</t>
  </si>
  <si>
    <t>Затверджую:</t>
  </si>
  <si>
    <t>Штат у кількості 161  штатних одиниць</t>
  </si>
  <si>
    <r>
      <t xml:space="preserve">Штат у кількості </t>
    </r>
    <r>
      <rPr>
        <b/>
        <sz val="10"/>
        <rFont val="Times New Roman"/>
        <family val="1"/>
        <charset val="204"/>
      </rPr>
      <t>161</t>
    </r>
    <r>
      <rPr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штатних одиниць</t>
    </r>
  </si>
  <si>
    <t xml:space="preserve">з місячним фондом заробітної плати </t>
  </si>
  <si>
    <r>
      <t>з місячним фондом заробітної плати</t>
    </r>
    <r>
      <rPr>
        <b/>
        <sz val="10"/>
        <rFont val="Times New Roman"/>
        <family val="1"/>
        <charset val="204"/>
      </rPr>
      <t xml:space="preserve"> </t>
    </r>
  </si>
  <si>
    <t>Дарницька районна в м. Києві</t>
  </si>
  <si>
    <t>Директор</t>
  </si>
  <si>
    <t>Державна адміністрація</t>
  </si>
  <si>
    <t xml:space="preserve">КНП ЦПМСД Дарницького району </t>
  </si>
  <si>
    <t xml:space="preserve">                               Юрій Сміщук</t>
  </si>
  <si>
    <t xml:space="preserve">                       (підпис)</t>
  </si>
  <si>
    <t>"______" ________________20__р.</t>
  </si>
  <si>
    <t>"______" __________________20__р.</t>
  </si>
  <si>
    <t>М.П.</t>
  </si>
  <si>
    <t xml:space="preserve"> ШТАТHИЙ  РОЗПИС </t>
  </si>
  <si>
    <t xml:space="preserve">на   02.01.2020  рік   </t>
  </si>
  <si>
    <t xml:space="preserve">Комунального некомерційного підприємства  </t>
  </si>
  <si>
    <t>Центр первинної медико-санітарної допомоги  Дарницького району м. Києва</t>
  </si>
  <si>
    <t>(назва установи)</t>
  </si>
  <si>
    <t>№ з/п</t>
  </si>
  <si>
    <t>Назва структурного підрозділу та посад</t>
  </si>
  <si>
    <t>Кількість штатних посад</t>
  </si>
  <si>
    <t>Посадовий оклад (грн.)</t>
  </si>
  <si>
    <t>Доплати (грн.)</t>
  </si>
  <si>
    <t>Надбавки (грн.)</t>
  </si>
  <si>
    <t>Фонд</t>
  </si>
  <si>
    <t>заробітної</t>
  </si>
  <si>
    <t>плати   на</t>
  </si>
  <si>
    <t xml:space="preserve">місяць </t>
  </si>
  <si>
    <t>12 місяців</t>
  </si>
  <si>
    <t>(грн.)</t>
  </si>
  <si>
    <t xml:space="preserve">Адміністративно - управлінський  персонал </t>
  </si>
  <si>
    <t>Заступник директора з медичного обслуговування</t>
  </si>
  <si>
    <t>Заступник директора з економічних питань</t>
  </si>
  <si>
    <t>Головний бухгалтер</t>
  </si>
  <si>
    <t>Головна медична сестра</t>
  </si>
  <si>
    <t>Юристконсульт</t>
  </si>
  <si>
    <t>Інспектор з кадрів</t>
  </si>
  <si>
    <t>Секретар</t>
  </si>
  <si>
    <t>Всього по підрозділу</t>
  </si>
  <si>
    <t>Відділ бухгалтерського обліку</t>
  </si>
  <si>
    <t>Заступник головного бухгалтера</t>
  </si>
  <si>
    <t>Бухгалтер</t>
  </si>
  <si>
    <t xml:space="preserve">Планово-економічний відділ </t>
  </si>
  <si>
    <t>Економіст</t>
  </si>
  <si>
    <t>Лікувально-профілактичні підрозділи</t>
  </si>
  <si>
    <t>Амбулаторія № 1 (вул. Урлівська 1/8 )</t>
  </si>
  <si>
    <t xml:space="preserve">Завідувач амбулаторії.Лікар загальної практики-сімейний лікар </t>
  </si>
  <si>
    <t xml:space="preserve">Лікар загальної практики-сімейний лікар </t>
  </si>
  <si>
    <t xml:space="preserve">Старша сестра медична </t>
  </si>
  <si>
    <t>Сестра медична загальної практики сімейної медицини</t>
  </si>
  <si>
    <t>Сестра медична дільнична</t>
  </si>
  <si>
    <t>Молодша медична сестра (санітарка-прибиральниця)</t>
  </si>
  <si>
    <t>Реєстратор медичний</t>
  </si>
  <si>
    <t>Амбулаторія № 3 ( вул. Срибнокільська 14 б )</t>
  </si>
  <si>
    <t xml:space="preserve">Завідувач амбулаторії. Лікар загальної практики-сімейний лікар </t>
  </si>
  <si>
    <t xml:space="preserve">Лікар-педіатр дільничний 
</t>
  </si>
  <si>
    <t xml:space="preserve">Старша медична сестра  </t>
  </si>
  <si>
    <t>Сестра медична загальної практики-сімейної медицини</t>
  </si>
  <si>
    <t xml:space="preserve">Сестра медична </t>
  </si>
  <si>
    <t>Кабінет експертизи непрацездатності</t>
  </si>
  <si>
    <t>Фонд заробітної плати на місяць (грн.)</t>
  </si>
  <si>
    <t>Фонд заробітної плати на 12 місяців (грн.)</t>
  </si>
  <si>
    <t>Процедурний кабінет</t>
  </si>
  <si>
    <t xml:space="preserve">Пункт щеплення </t>
  </si>
  <si>
    <t>Кабінет  лабораторних досліджень</t>
  </si>
  <si>
    <t>Фельдшер-лаборант</t>
  </si>
  <si>
    <t>Лаборант</t>
  </si>
  <si>
    <t>Молодща медична сестра(санітарка-прибиральниця)</t>
  </si>
  <si>
    <t>Філія  КНП ЦПМСД Дарницького району по вул. Урлівська,13</t>
  </si>
  <si>
    <t>Завідувач філії лікар-педіатр</t>
  </si>
  <si>
    <t>Амбулаторія № 2 (вул. Урлівська 13 )</t>
  </si>
  <si>
    <t>Амбулаторія № 4 (вул. Урлівська 13 )</t>
  </si>
  <si>
    <t xml:space="preserve">Завідувач амбулаторіїї. Лікар-педіатр  </t>
  </si>
  <si>
    <t xml:space="preserve">Лікар-педіатр  
</t>
  </si>
  <si>
    <t xml:space="preserve">Лікар-інтерн загальної практики-сімейний 
</t>
  </si>
  <si>
    <t>Амбулаторія № 5 (вул. Урлівська 13 )</t>
  </si>
  <si>
    <t>Завідувач амбулаторіїї. Лікар-педіатр</t>
  </si>
  <si>
    <t>Черговий кабінет  (вул.Срібнокільська 14-б, вул.Урлівська,13)</t>
  </si>
  <si>
    <t>Лікар-педіатр</t>
  </si>
  <si>
    <t>Відділ протиепідемічної роботи та контролю  якості</t>
  </si>
  <si>
    <t>Завідувач відділу  лікар-педіатр</t>
  </si>
  <si>
    <t>Інформаційно-аналітичний кабінет</t>
  </si>
  <si>
    <t xml:space="preserve">Завідувач кабінету. Лікар статистик </t>
  </si>
  <si>
    <t>Лікар-статистик</t>
  </si>
  <si>
    <t xml:space="preserve">Статистик </t>
  </si>
  <si>
    <t>Інженерно-технічний персонал</t>
  </si>
  <si>
    <t>Адміністратор системи</t>
  </si>
  <si>
    <t>Інженер з охорони праці</t>
  </si>
  <si>
    <t>Фахівець з питань цивільного захисту</t>
  </si>
  <si>
    <t>Інженер програміст</t>
  </si>
  <si>
    <t>Господарсько - обслуговувальний   персонал</t>
  </si>
  <si>
    <t>Завідувач господарством</t>
  </si>
  <si>
    <t>Сестра-господиня</t>
  </si>
  <si>
    <t>Оператор комп'ютерного набору</t>
  </si>
  <si>
    <t>Гардеробник</t>
  </si>
  <si>
    <t>Електромонтер</t>
  </si>
  <si>
    <t>Прибиральник службових приміщень</t>
  </si>
  <si>
    <t>Механік з ремонту автотранспорту</t>
  </si>
  <si>
    <t xml:space="preserve">Водій </t>
  </si>
  <si>
    <t>Двірник</t>
  </si>
  <si>
    <t>Всього</t>
  </si>
  <si>
    <t>лікарі</t>
  </si>
  <si>
    <t>середній медичний персонал</t>
  </si>
  <si>
    <t>молодший медичний персонал</t>
  </si>
  <si>
    <t>спеціалісти</t>
  </si>
  <si>
    <t>інші</t>
  </si>
  <si>
    <t xml:space="preserve">Заступник директора з екномичних питань                  </t>
  </si>
  <si>
    <t>Кузьменко Г.Є</t>
  </si>
  <si>
    <t xml:space="preserve">Біолог </t>
  </si>
  <si>
    <t>(Вісімсот двадцять сім тисяч девятсот шістдесят дві грн 64 коп)</t>
  </si>
  <si>
    <t>827 962,64 (Вісімсот двадцять сім тисяч девятсот шістдесят дві грн 64 коп)</t>
  </si>
  <si>
    <t xml:space="preserve"> _______________ Ярослав Лагута </t>
  </si>
  <si>
    <t xml:space="preserve">Пункт щеплення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</si>
</sst>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₴&quot;"/>
    <numFmt numFmtId="165" formatCode="0.0"/>
  </numFmts>
  <fonts count="44" x14ac:knownFonts="1">
    <font>
      <sz val="10"/>
      <name val="Arial Cyr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22"/>
      <name val="Verdana"/>
      <family val="2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u/>
      <sz val="11"/>
      <name val="Times New Roman"/>
      <family val="1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b/>
      <u/>
      <sz val="12"/>
      <name val="Times New Roman Cyr"/>
      <charset val="204"/>
    </font>
    <font>
      <sz val="10"/>
      <name val="Times New Roman Cyr"/>
      <charset val="204"/>
    </font>
    <font>
      <i/>
      <sz val="10"/>
      <name val="Times New Roman Cyr"/>
      <charset val="204"/>
    </font>
    <font>
      <i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 Cyr"/>
      <charset val="204"/>
    </font>
    <font>
      <b/>
      <i/>
      <sz val="12"/>
      <name val="Times New Roman Cyr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sz val="12"/>
      <color indexed="10"/>
      <name val="Times New Roman Cyr"/>
      <family val="1"/>
      <charset val="204"/>
    </font>
    <font>
      <sz val="16"/>
      <color indexed="8"/>
      <name val="Calibri"/>
      <family val="2"/>
      <charset val="204"/>
    </font>
    <font>
      <i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i/>
      <sz val="14"/>
      <name val="Times New Roman Cyr"/>
      <charset val="204"/>
    </font>
    <font>
      <i/>
      <sz val="16"/>
      <name val="Times New Roman"/>
      <family val="1"/>
      <charset val="204"/>
    </font>
    <font>
      <i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i/>
      <sz val="10"/>
      <name val="Arial Cyr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/>
    <xf numFmtId="2" fontId="6" fillId="0" borderId="0" xfId="0" applyNumberFormat="1" applyFont="1" applyFill="1" applyAlignment="1">
      <alignment horizontal="left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2" fontId="6" fillId="0" borderId="0" xfId="0" applyNumberFormat="1" applyFont="1" applyFill="1" applyAlignment="1"/>
    <xf numFmtId="2" fontId="7" fillId="0" borderId="0" xfId="0" applyNumberFormat="1" applyFont="1" applyFill="1" applyAlignment="1">
      <alignment horizontal="center"/>
    </xf>
    <xf numFmtId="0" fontId="0" fillId="0" borderId="0" xfId="0" applyFont="1"/>
    <xf numFmtId="2" fontId="8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2" fontId="8" fillId="0" borderId="0" xfId="0" applyNumberFormat="1" applyFont="1" applyFill="1" applyAlignment="1"/>
    <xf numFmtId="2" fontId="7" fillId="0" borderId="0" xfId="0" applyNumberFormat="1" applyFont="1" applyFill="1" applyAlignment="1"/>
    <xf numFmtId="164" fontId="8" fillId="0" borderId="0" xfId="0" applyNumberFormat="1" applyFont="1" applyFill="1" applyAlignment="1"/>
    <xf numFmtId="4" fontId="3" fillId="0" borderId="0" xfId="0" applyNumberFormat="1" applyFont="1"/>
    <xf numFmtId="0" fontId="11" fillId="0" borderId="0" xfId="0" applyFont="1" applyFill="1" applyAlignment="1">
      <alignment horizontal="center"/>
    </xf>
    <xf numFmtId="0" fontId="12" fillId="0" borderId="0" xfId="0" applyFont="1" applyAlignment="1"/>
    <xf numFmtId="2" fontId="10" fillId="0" borderId="0" xfId="0" applyNumberFormat="1" applyFont="1" applyFill="1" applyAlignment="1">
      <alignment horizontal="left"/>
    </xf>
    <xf numFmtId="0" fontId="13" fillId="0" borderId="0" xfId="0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2" fontId="15" fillId="0" borderId="0" xfId="0" applyNumberFormat="1" applyFont="1" applyAlignment="1">
      <alignment horizontal="left"/>
    </xf>
    <xf numFmtId="0" fontId="15" fillId="0" borderId="0" xfId="0" applyFont="1" applyBorder="1" applyAlignment="1">
      <alignment horizontal="left"/>
    </xf>
    <xf numFmtId="2" fontId="6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/>
    <xf numFmtId="2" fontId="18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  <xf numFmtId="2" fontId="17" fillId="0" borderId="0" xfId="0" applyNumberFormat="1" applyFont="1" applyBorder="1" applyAlignment="1">
      <alignment horizontal="center" vertical="justify"/>
    </xf>
    <xf numFmtId="2" fontId="15" fillId="0" borderId="0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 vertical="justify"/>
    </xf>
    <xf numFmtId="0" fontId="21" fillId="0" borderId="0" xfId="0" applyFont="1" applyFill="1" applyBorder="1" applyAlignment="1">
      <alignment horizontal="center" vertical="justify"/>
    </xf>
    <xf numFmtId="2" fontId="24" fillId="0" borderId="4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center"/>
    </xf>
    <xf numFmtId="4" fontId="15" fillId="2" borderId="14" xfId="0" applyNumberFormat="1" applyFont="1" applyFill="1" applyBorder="1" applyAlignment="1">
      <alignment horizontal="center"/>
    </xf>
    <xf numFmtId="4" fontId="16" fillId="0" borderId="0" xfId="0" applyNumberFormat="1" applyFont="1"/>
    <xf numFmtId="0" fontId="16" fillId="0" borderId="0" xfId="0" applyFont="1" applyBorder="1"/>
    <xf numFmtId="0" fontId="6" fillId="0" borderId="0" xfId="0" applyFont="1" applyFill="1" applyBorder="1"/>
    <xf numFmtId="4" fontId="15" fillId="2" borderId="14" xfId="0" applyNumberFormat="1" applyFont="1" applyFill="1" applyBorder="1"/>
    <xf numFmtId="4" fontId="15" fillId="4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4" xfId="0" applyFont="1" applyBorder="1"/>
    <xf numFmtId="0" fontId="15" fillId="2" borderId="14" xfId="0" applyFont="1" applyFill="1" applyBorder="1"/>
    <xf numFmtId="0" fontId="23" fillId="2" borderId="15" xfId="0" applyFont="1" applyFill="1" applyBorder="1" applyAlignment="1">
      <alignment horizontal="center"/>
    </xf>
    <xf numFmtId="4" fontId="6" fillId="0" borderId="16" xfId="0" applyNumberFormat="1" applyFont="1" applyFill="1" applyBorder="1"/>
    <xf numFmtId="4" fontId="15" fillId="2" borderId="16" xfId="0" applyNumberFormat="1" applyFont="1" applyFill="1" applyBorder="1" applyAlignment="1">
      <alignment horizontal="center"/>
    </xf>
    <xf numFmtId="4" fontId="26" fillId="2" borderId="7" xfId="0" applyNumberFormat="1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left"/>
    </xf>
    <xf numFmtId="2" fontId="19" fillId="4" borderId="21" xfId="0" applyNumberFormat="1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3" fontId="23" fillId="2" borderId="13" xfId="0" applyNumberFormat="1" applyFont="1" applyFill="1" applyBorder="1" applyAlignment="1">
      <alignment horizontal="center"/>
    </xf>
    <xf numFmtId="0" fontId="26" fillId="2" borderId="16" xfId="0" applyFont="1" applyFill="1" applyBorder="1"/>
    <xf numFmtId="4" fontId="27" fillId="2" borderId="16" xfId="0" applyNumberFormat="1" applyFont="1" applyFill="1" applyBorder="1" applyAlignment="1">
      <alignment horizontal="center" wrapText="1"/>
    </xf>
    <xf numFmtId="2" fontId="16" fillId="0" borderId="0" xfId="0" applyNumberFormat="1" applyFont="1"/>
    <xf numFmtId="3" fontId="23" fillId="2" borderId="24" xfId="0" applyNumberFormat="1" applyFont="1" applyFill="1" applyBorder="1" applyAlignment="1">
      <alignment horizontal="center"/>
    </xf>
    <xf numFmtId="4" fontId="15" fillId="2" borderId="1" xfId="0" applyNumberFormat="1" applyFont="1" applyFill="1" applyBorder="1"/>
    <xf numFmtId="4" fontId="15" fillId="2" borderId="25" xfId="0" applyNumberFormat="1" applyFont="1" applyFill="1" applyBorder="1" applyAlignment="1">
      <alignment horizontal="center"/>
    </xf>
    <xf numFmtId="4" fontId="15" fillId="2" borderId="26" xfId="0" applyNumberFormat="1" applyFont="1" applyFill="1" applyBorder="1" applyAlignment="1">
      <alignment horizontal="center"/>
    </xf>
    <xf numFmtId="4" fontId="15" fillId="2" borderId="27" xfId="0" applyNumberFormat="1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6" fillId="2" borderId="19" xfId="0" applyFont="1" applyFill="1" applyBorder="1"/>
    <xf numFmtId="4" fontId="27" fillId="2" borderId="7" xfId="0" applyNumberFormat="1" applyFont="1" applyFill="1" applyBorder="1" applyAlignment="1">
      <alignment horizontal="center" wrapText="1"/>
    </xf>
    <xf numFmtId="3" fontId="29" fillId="2" borderId="13" xfId="0" applyNumberFormat="1" applyFont="1" applyFill="1" applyBorder="1" applyAlignment="1">
      <alignment horizontal="center" wrapText="1"/>
    </xf>
    <xf numFmtId="4" fontId="19" fillId="2" borderId="14" xfId="0" applyNumberFormat="1" applyFont="1" applyFill="1" applyBorder="1" applyAlignment="1">
      <alignment horizontal="center" wrapText="1"/>
    </xf>
    <xf numFmtId="4" fontId="19" fillId="2" borderId="21" xfId="0" applyNumberFormat="1" applyFont="1" applyFill="1" applyBorder="1" applyAlignment="1">
      <alignment horizontal="center" wrapText="1"/>
    </xf>
    <xf numFmtId="4" fontId="15" fillId="2" borderId="33" xfId="0" applyNumberFormat="1" applyFont="1" applyFill="1" applyBorder="1" applyAlignment="1">
      <alignment horizontal="center"/>
    </xf>
    <xf numFmtId="3" fontId="29" fillId="2" borderId="20" xfId="0" applyNumberFormat="1" applyFont="1" applyFill="1" applyBorder="1" applyAlignment="1">
      <alignment horizontal="center" wrapText="1"/>
    </xf>
    <xf numFmtId="4" fontId="19" fillId="4" borderId="14" xfId="0" applyNumberFormat="1" applyFont="1" applyFill="1" applyBorder="1" applyAlignment="1">
      <alignment horizontal="center" wrapText="1"/>
    </xf>
    <xf numFmtId="0" fontId="15" fillId="2" borderId="35" xfId="0" applyFont="1" applyFill="1" applyBorder="1" applyAlignment="1">
      <alignment wrapText="1"/>
    </xf>
    <xf numFmtId="3" fontId="29" fillId="2" borderId="15" xfId="0" applyNumberFormat="1" applyFont="1" applyFill="1" applyBorder="1" applyAlignment="1">
      <alignment horizontal="center" wrapText="1"/>
    </xf>
    <xf numFmtId="0" fontId="15" fillId="2" borderId="36" xfId="0" applyFont="1" applyFill="1" applyBorder="1" applyAlignment="1">
      <alignment wrapText="1"/>
    </xf>
    <xf numFmtId="4" fontId="19" fillId="2" borderId="16" xfId="0" applyNumberFormat="1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/>
    </xf>
    <xf numFmtId="0" fontId="26" fillId="2" borderId="39" xfId="0" applyFont="1" applyFill="1" applyBorder="1"/>
    <xf numFmtId="4" fontId="27" fillId="2" borderId="40" xfId="0" applyNumberFormat="1" applyFont="1" applyFill="1" applyBorder="1" applyAlignment="1">
      <alignment horizontal="center" wrapText="1"/>
    </xf>
    <xf numFmtId="4" fontId="27" fillId="2" borderId="0" xfId="0" applyNumberFormat="1" applyFont="1" applyFill="1" applyBorder="1" applyAlignment="1">
      <alignment horizontal="center" wrapText="1"/>
    </xf>
    <xf numFmtId="4" fontId="15" fillId="2" borderId="14" xfId="0" applyNumberFormat="1" applyFont="1" applyFill="1" applyBorder="1" applyAlignment="1">
      <alignment horizontal="center" wrapText="1"/>
    </xf>
    <xf numFmtId="4" fontId="15" fillId="4" borderId="14" xfId="0" applyNumberFormat="1" applyFont="1" applyFill="1" applyBorder="1" applyAlignment="1">
      <alignment horizontal="center" wrapText="1"/>
    </xf>
    <xf numFmtId="4" fontId="30" fillId="2" borderId="14" xfId="0" applyNumberFormat="1" applyFont="1" applyFill="1" applyBorder="1" applyAlignment="1">
      <alignment horizontal="center" wrapText="1"/>
    </xf>
    <xf numFmtId="3" fontId="23" fillId="2" borderId="14" xfId="0" applyNumberFormat="1" applyFont="1" applyFill="1" applyBorder="1" applyAlignment="1">
      <alignment horizontal="center"/>
    </xf>
    <xf numFmtId="4" fontId="27" fillId="2" borderId="0" xfId="0" applyNumberFormat="1" applyFont="1" applyFill="1" applyBorder="1" applyAlignment="1">
      <alignment horizontal="center"/>
    </xf>
    <xf numFmtId="0" fontId="15" fillId="2" borderId="21" xfId="0" applyFont="1" applyFill="1" applyBorder="1" applyAlignment="1">
      <alignment wrapText="1"/>
    </xf>
    <xf numFmtId="4" fontId="15" fillId="2" borderId="21" xfId="0" applyNumberFormat="1" applyFont="1" applyFill="1" applyBorder="1" applyAlignment="1">
      <alignment horizontal="center" wrapText="1"/>
    </xf>
    <xf numFmtId="4" fontId="15" fillId="2" borderId="21" xfId="0" applyNumberFormat="1" applyFont="1" applyFill="1" applyBorder="1" applyAlignment="1">
      <alignment horizontal="center"/>
    </xf>
    <xf numFmtId="0" fontId="15" fillId="2" borderId="16" xfId="0" applyFont="1" applyFill="1" applyBorder="1" applyAlignment="1">
      <alignment wrapText="1"/>
    </xf>
    <xf numFmtId="4" fontId="31" fillId="0" borderId="0" xfId="0" applyNumberFormat="1" applyFont="1" applyFill="1" applyAlignment="1">
      <alignment horizontal="left"/>
    </xf>
    <xf numFmtId="0" fontId="32" fillId="0" borderId="2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2" fontId="33" fillId="0" borderId="3" xfId="0" applyNumberFormat="1" applyFont="1" applyBorder="1" applyAlignment="1">
      <alignment vertical="center" wrapText="1"/>
    </xf>
    <xf numFmtId="2" fontId="33" fillId="0" borderId="3" xfId="0" applyNumberFormat="1" applyFont="1" applyFill="1" applyBorder="1" applyAlignment="1">
      <alignment vertical="center" wrapText="1"/>
    </xf>
    <xf numFmtId="2" fontId="33" fillId="0" borderId="4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1" fontId="34" fillId="0" borderId="3" xfId="0" applyNumberFormat="1" applyFont="1" applyBorder="1" applyAlignment="1">
      <alignment horizontal="center"/>
    </xf>
    <xf numFmtId="1" fontId="34" fillId="0" borderId="4" xfId="0" applyNumberFormat="1" applyFont="1" applyBorder="1" applyAlignment="1">
      <alignment horizontal="center"/>
    </xf>
    <xf numFmtId="3" fontId="23" fillId="2" borderId="15" xfId="0" applyNumberFormat="1" applyFont="1" applyFill="1" applyBorder="1" applyAlignment="1">
      <alignment horizontal="center"/>
    </xf>
    <xf numFmtId="4" fontId="15" fillId="4" borderId="16" xfId="0" applyNumberFormat="1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/>
    </xf>
    <xf numFmtId="0" fontId="26" fillId="2" borderId="7" xfId="0" applyFont="1" applyFill="1" applyBorder="1"/>
    <xf numFmtId="0" fontId="23" fillId="2" borderId="24" xfId="0" applyFont="1" applyFill="1" applyBorder="1" applyAlignment="1">
      <alignment horizontal="center"/>
    </xf>
    <xf numFmtId="0" fontId="26" fillId="2" borderId="25" xfId="0" applyFont="1" applyFill="1" applyBorder="1"/>
    <xf numFmtId="4" fontId="27" fillId="2" borderId="25" xfId="0" applyNumberFormat="1" applyFont="1" applyFill="1" applyBorder="1" applyAlignment="1">
      <alignment horizontal="center" wrapText="1"/>
    </xf>
    <xf numFmtId="4" fontId="19" fillId="4" borderId="21" xfId="0" applyNumberFormat="1" applyFont="1" applyFill="1" applyBorder="1" applyAlignment="1">
      <alignment horizontal="center"/>
    </xf>
    <xf numFmtId="4" fontId="19" fillId="2" borderId="14" xfId="0" applyNumberFormat="1" applyFont="1" applyFill="1" applyBorder="1" applyAlignment="1">
      <alignment horizontal="center"/>
    </xf>
    <xf numFmtId="4" fontId="15" fillId="4" borderId="33" xfId="0" applyNumberFormat="1" applyFont="1" applyFill="1" applyBorder="1" applyAlignment="1">
      <alignment horizontal="center"/>
    </xf>
    <xf numFmtId="4" fontId="19" fillId="4" borderId="14" xfId="0" applyNumberFormat="1" applyFont="1" applyFill="1" applyBorder="1" applyAlignment="1">
      <alignment horizontal="center"/>
    </xf>
    <xf numFmtId="0" fontId="19" fillId="4" borderId="46" xfId="0" applyFont="1" applyFill="1" applyBorder="1" applyAlignment="1">
      <alignment horizontal="left"/>
    </xf>
    <xf numFmtId="4" fontId="19" fillId="4" borderId="46" xfId="0" applyNumberFormat="1" applyFont="1" applyFill="1" applyBorder="1" applyAlignment="1">
      <alignment horizontal="center"/>
    </xf>
    <xf numFmtId="4" fontId="19" fillId="2" borderId="46" xfId="0" applyNumberFormat="1" applyFont="1" applyFill="1" applyBorder="1" applyAlignment="1">
      <alignment horizontal="center"/>
    </xf>
    <xf numFmtId="3" fontId="23" fillId="2" borderId="38" xfId="0" applyNumberFormat="1" applyFont="1" applyFill="1" applyBorder="1" applyAlignment="1">
      <alignment horizontal="center"/>
    </xf>
    <xf numFmtId="4" fontId="27" fillId="2" borderId="40" xfId="0" applyNumberFormat="1" applyFont="1" applyFill="1" applyBorder="1" applyAlignment="1">
      <alignment horizontal="center"/>
    </xf>
    <xf numFmtId="4" fontId="6" fillId="2" borderId="33" xfId="0" applyNumberFormat="1" applyFont="1" applyFill="1" applyBorder="1" applyAlignment="1">
      <alignment horizontal="center"/>
    </xf>
    <xf numFmtId="4" fontId="6" fillId="2" borderId="47" xfId="0" applyNumberFormat="1" applyFont="1" applyFill="1" applyBorder="1" applyAlignment="1">
      <alignment horizontal="center"/>
    </xf>
    <xf numFmtId="4" fontId="6" fillId="2" borderId="32" xfId="0" applyNumberFormat="1" applyFont="1" applyFill="1" applyBorder="1" applyAlignment="1">
      <alignment horizontal="center"/>
    </xf>
    <xf numFmtId="4" fontId="27" fillId="2" borderId="3" xfId="0" applyNumberFormat="1" applyFont="1" applyFill="1" applyBorder="1" applyAlignment="1">
      <alignment horizontal="center" wrapText="1"/>
    </xf>
    <xf numFmtId="0" fontId="29" fillId="2" borderId="13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wrapText="1"/>
    </xf>
    <xf numFmtId="0" fontId="29" fillId="2" borderId="15" xfId="0" applyFont="1" applyFill="1" applyBorder="1" applyAlignment="1">
      <alignment horizontal="center" wrapText="1"/>
    </xf>
    <xf numFmtId="4" fontId="19" fillId="0" borderId="14" xfId="0" applyNumberFormat="1" applyFont="1" applyFill="1" applyBorder="1" applyAlignment="1">
      <alignment horizontal="center" wrapText="1"/>
    </xf>
    <xf numFmtId="4" fontId="15" fillId="0" borderId="14" xfId="0" applyNumberFormat="1" applyFont="1" applyFill="1" applyBorder="1" applyAlignment="1">
      <alignment horizontal="center"/>
    </xf>
    <xf numFmtId="0" fontId="23" fillId="2" borderId="22" xfId="0" applyFont="1" applyFill="1" applyBorder="1" applyAlignment="1">
      <alignment horizontal="center"/>
    </xf>
    <xf numFmtId="0" fontId="26" fillId="2" borderId="26" xfId="0" applyFont="1" applyFill="1" applyBorder="1"/>
    <xf numFmtId="4" fontId="19" fillId="4" borderId="16" xfId="0" applyNumberFormat="1" applyFont="1" applyFill="1" applyBorder="1" applyAlignment="1">
      <alignment horizontal="center" wrapText="1"/>
    </xf>
    <xf numFmtId="4" fontId="27" fillId="2" borderId="14" xfId="0" applyNumberFormat="1" applyFont="1" applyFill="1" applyBorder="1" applyAlignment="1">
      <alignment horizontal="center" wrapText="1"/>
    </xf>
    <xf numFmtId="0" fontId="23" fillId="2" borderId="48" xfId="0" applyFont="1" applyFill="1" applyBorder="1" applyAlignment="1">
      <alignment horizontal="center"/>
    </xf>
    <xf numFmtId="0" fontId="26" fillId="2" borderId="40" xfId="0" applyFont="1" applyFill="1" applyBorder="1"/>
    <xf numFmtId="0" fontId="23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2" fontId="24" fillId="0" borderId="3" xfId="0" applyNumberFormat="1" applyFont="1" applyBorder="1" applyAlignment="1">
      <alignment vertical="center" wrapText="1"/>
    </xf>
    <xf numFmtId="2" fontId="24" fillId="0" borderId="3" xfId="0" applyNumberFormat="1" applyFont="1" applyFill="1" applyBorder="1" applyAlignment="1">
      <alignment vertical="center" wrapText="1"/>
    </xf>
    <xf numFmtId="2" fontId="24" fillId="0" borderId="4" xfId="0" applyNumberFormat="1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3" fontId="29" fillId="4" borderId="14" xfId="0" applyNumberFormat="1" applyFont="1" applyFill="1" applyBorder="1" applyAlignment="1">
      <alignment horizontal="center"/>
    </xf>
    <xf numFmtId="2" fontId="19" fillId="4" borderId="14" xfId="0" applyNumberFormat="1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3" fontId="23" fillId="2" borderId="48" xfId="0" applyNumberFormat="1" applyFont="1" applyFill="1" applyBorder="1" applyAlignment="1">
      <alignment horizontal="center"/>
    </xf>
    <xf numFmtId="3" fontId="29" fillId="2" borderId="20" xfId="0" applyNumberFormat="1" applyFont="1" applyFill="1" applyBorder="1" applyAlignment="1">
      <alignment horizontal="center" shrinkToFit="1"/>
    </xf>
    <xf numFmtId="0" fontId="15" fillId="2" borderId="51" xfId="0" applyFont="1" applyFill="1" applyBorder="1"/>
    <xf numFmtId="0" fontId="23" fillId="2" borderId="29" xfId="0" applyFont="1" applyFill="1" applyBorder="1" applyAlignment="1">
      <alignment horizontal="center"/>
    </xf>
    <xf numFmtId="0" fontId="26" fillId="2" borderId="42" xfId="0" applyFont="1" applyFill="1" applyBorder="1"/>
    <xf numFmtId="4" fontId="27" fillId="2" borderId="3" xfId="0" applyNumberFormat="1" applyFont="1" applyFill="1" applyBorder="1" applyAlignment="1">
      <alignment horizontal="center"/>
    </xf>
    <xf numFmtId="165" fontId="16" fillId="0" borderId="0" xfId="0" applyNumberFormat="1" applyFont="1"/>
    <xf numFmtId="0" fontId="16" fillId="5" borderId="0" xfId="0" applyFont="1" applyFill="1"/>
    <xf numFmtId="0" fontId="15" fillId="2" borderId="14" xfId="0" applyFont="1" applyFill="1" applyBorder="1" applyAlignment="1">
      <alignment vertical="justify"/>
    </xf>
    <xf numFmtId="3" fontId="29" fillId="2" borderId="13" xfId="0" applyNumberFormat="1" applyFont="1" applyFill="1" applyBorder="1" applyAlignment="1">
      <alignment horizontal="center"/>
    </xf>
    <xf numFmtId="165" fontId="15" fillId="4" borderId="14" xfId="0" applyNumberFormat="1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2" fontId="15" fillId="4" borderId="14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/>
    </xf>
    <xf numFmtId="0" fontId="15" fillId="2" borderId="16" xfId="0" applyFont="1" applyFill="1" applyBorder="1"/>
    <xf numFmtId="0" fontId="15" fillId="4" borderId="16" xfId="0" applyFont="1" applyFill="1" applyBorder="1" applyAlignment="1">
      <alignment horizontal="center"/>
    </xf>
    <xf numFmtId="4" fontId="15" fillId="4" borderId="16" xfId="0" applyNumberFormat="1" applyFont="1" applyFill="1" applyBorder="1" applyAlignment="1">
      <alignment horizontal="center"/>
    </xf>
    <xf numFmtId="2" fontId="27" fillId="2" borderId="25" xfId="0" applyNumberFormat="1" applyFont="1" applyFill="1" applyBorder="1" applyAlignment="1">
      <alignment horizontal="center"/>
    </xf>
    <xf numFmtId="2" fontId="27" fillId="2" borderId="0" xfId="0" applyNumberFormat="1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4" fontId="26" fillId="3" borderId="38" xfId="0" applyNumberFormat="1" applyFont="1" applyFill="1" applyBorder="1" applyAlignment="1">
      <alignment horizontal="center"/>
    </xf>
    <xf numFmtId="4" fontId="26" fillId="3" borderId="52" xfId="0" applyNumberFormat="1" applyFont="1" applyFill="1" applyBorder="1" applyAlignment="1">
      <alignment horizontal="center"/>
    </xf>
    <xf numFmtId="4" fontId="26" fillId="3" borderId="49" xfId="0" applyNumberFormat="1" applyFont="1" applyFill="1" applyBorder="1" applyAlignment="1">
      <alignment horizontal="center"/>
    </xf>
    <xf numFmtId="4" fontId="36" fillId="6" borderId="0" xfId="0" applyNumberFormat="1" applyFont="1" applyFill="1" applyBorder="1" applyAlignment="1">
      <alignment horizontal="center"/>
    </xf>
    <xf numFmtId="4" fontId="16" fillId="0" borderId="0" xfId="0" applyNumberFormat="1" applyFont="1" applyBorder="1"/>
    <xf numFmtId="4" fontId="26" fillId="2" borderId="20" xfId="0" applyNumberFormat="1" applyFont="1" applyFill="1" applyBorder="1" applyAlignment="1">
      <alignment horizontal="center"/>
    </xf>
    <xf numFmtId="4" fontId="26" fillId="2" borderId="55" xfId="0" applyNumberFormat="1" applyFont="1" applyFill="1" applyBorder="1" applyAlignment="1">
      <alignment horizontal="center"/>
    </xf>
    <xf numFmtId="2" fontId="26" fillId="2" borderId="13" xfId="1" applyNumberFormat="1" applyFont="1" applyFill="1" applyBorder="1" applyAlignment="1">
      <alignment horizontal="center"/>
    </xf>
    <xf numFmtId="4" fontId="26" fillId="2" borderId="13" xfId="0" applyNumberFormat="1" applyFont="1" applyFill="1" applyBorder="1" applyAlignment="1">
      <alignment horizontal="center"/>
    </xf>
    <xf numFmtId="4" fontId="26" fillId="2" borderId="56" xfId="0" applyNumberFormat="1" applyFont="1" applyFill="1" applyBorder="1" applyAlignment="1">
      <alignment horizontal="center"/>
    </xf>
    <xf numFmtId="4" fontId="26" fillId="2" borderId="15" xfId="0" applyNumberFormat="1" applyFont="1" applyFill="1" applyBorder="1" applyAlignment="1">
      <alignment horizontal="center"/>
    </xf>
    <xf numFmtId="4" fontId="26" fillId="2" borderId="61" xfId="0" applyNumberFormat="1" applyFont="1" applyFill="1" applyBorder="1" applyAlignment="1">
      <alignment horizontal="center"/>
    </xf>
    <xf numFmtId="4" fontId="26" fillId="2" borderId="59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4" fontId="38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/>
    <xf numFmtId="0" fontId="39" fillId="0" borderId="0" xfId="0" applyFont="1"/>
    <xf numFmtId="0" fontId="0" fillId="0" borderId="0" xfId="0" applyFont="1" applyFill="1"/>
    <xf numFmtId="0" fontId="6" fillId="0" borderId="0" xfId="0" applyFont="1" applyFill="1"/>
    <xf numFmtId="0" fontId="40" fillId="0" borderId="0" xfId="0" applyFont="1" applyFill="1" applyAlignment="1">
      <alignment horizontal="left"/>
    </xf>
    <xf numFmtId="0" fontId="40" fillId="0" borderId="0" xfId="0" applyFont="1" applyFill="1"/>
    <xf numFmtId="0" fontId="41" fillId="0" borderId="0" xfId="0" applyFont="1"/>
    <xf numFmtId="0" fontId="41" fillId="0" borderId="0" xfId="0" applyFont="1" applyFill="1"/>
    <xf numFmtId="0" fontId="6" fillId="0" borderId="14" xfId="0" applyFont="1" applyFill="1" applyBorder="1"/>
    <xf numFmtId="0" fontId="6" fillId="0" borderId="14" xfId="0" applyFont="1" applyFill="1" applyBorder="1" applyAlignment="1">
      <alignment horizontal="left" wrapText="1"/>
    </xf>
    <xf numFmtId="0" fontId="41" fillId="0" borderId="0" xfId="0" applyFont="1" applyFill="1" applyAlignment="1"/>
    <xf numFmtId="9" fontId="41" fillId="0" borderId="0" xfId="1" applyFont="1" applyFill="1"/>
    <xf numFmtId="0" fontId="6" fillId="0" borderId="0" xfId="0" applyFont="1"/>
    <xf numFmtId="4" fontId="15" fillId="4" borderId="25" xfId="0" applyNumberFormat="1" applyFont="1" applyFill="1" applyBorder="1" applyAlignment="1">
      <alignment horizontal="center" wrapText="1"/>
    </xf>
    <xf numFmtId="4" fontId="19" fillId="2" borderId="25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justify"/>
    </xf>
    <xf numFmtId="2" fontId="25" fillId="0" borderId="5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4" fontId="42" fillId="2" borderId="7" xfId="0" applyNumberFormat="1" applyFont="1" applyFill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4" fontId="42" fillId="2" borderId="7" xfId="0" applyNumberFormat="1" applyFont="1" applyFill="1" applyBorder="1" applyAlignment="1">
      <alignment horizontal="center" wrapText="1"/>
    </xf>
    <xf numFmtId="2" fontId="6" fillId="0" borderId="37" xfId="0" applyNumberFormat="1" applyFont="1" applyBorder="1" applyAlignment="1">
      <alignment horizontal="center"/>
    </xf>
    <xf numFmtId="4" fontId="42" fillId="2" borderId="40" xfId="0" applyNumberFormat="1" applyFont="1" applyFill="1" applyBorder="1" applyAlignment="1">
      <alignment horizontal="center" wrapText="1"/>
    </xf>
    <xf numFmtId="2" fontId="6" fillId="0" borderId="14" xfId="0" applyNumberFormat="1" applyFont="1" applyBorder="1" applyAlignment="1">
      <alignment horizontal="center"/>
    </xf>
    <xf numFmtId="2" fontId="43" fillId="0" borderId="41" xfId="0" applyNumberFormat="1" applyFont="1" applyBorder="1" applyAlignment="1">
      <alignment horizontal="center" wrapText="1"/>
    </xf>
    <xf numFmtId="1" fontId="9" fillId="0" borderId="41" xfId="0" applyNumberFormat="1" applyFont="1" applyBorder="1" applyAlignment="1">
      <alignment horizontal="center"/>
    </xf>
    <xf numFmtId="4" fontId="42" fillId="2" borderId="25" xfId="0" applyNumberFormat="1" applyFont="1" applyFill="1" applyBorder="1" applyAlignment="1">
      <alignment horizontal="center" wrapText="1"/>
    </xf>
    <xf numFmtId="4" fontId="42" fillId="2" borderId="40" xfId="0" applyNumberFormat="1" applyFont="1" applyFill="1" applyBorder="1" applyAlignment="1">
      <alignment horizontal="center"/>
    </xf>
    <xf numFmtId="4" fontId="42" fillId="2" borderId="3" xfId="0" applyNumberFormat="1" applyFont="1" applyFill="1" applyBorder="1" applyAlignment="1">
      <alignment horizontal="center" wrapText="1"/>
    </xf>
    <xf numFmtId="2" fontId="25" fillId="0" borderId="41" xfId="0" applyNumberFormat="1" applyFont="1" applyBorder="1" applyAlignment="1">
      <alignment horizontal="center" wrapText="1"/>
    </xf>
    <xf numFmtId="1" fontId="25" fillId="0" borderId="41" xfId="0" applyNumberFormat="1" applyFont="1" applyBorder="1" applyAlignment="1">
      <alignment horizontal="center"/>
    </xf>
    <xf numFmtId="4" fontId="42" fillId="2" borderId="3" xfId="0" applyNumberFormat="1" applyFont="1" applyFill="1" applyBorder="1" applyAlignment="1">
      <alignment horizontal="center"/>
    </xf>
    <xf numFmtId="2" fontId="42" fillId="2" borderId="37" xfId="0" applyNumberFormat="1" applyFont="1" applyFill="1" applyBorder="1" applyAlignment="1">
      <alignment horizontal="center"/>
    </xf>
    <xf numFmtId="4" fontId="42" fillId="3" borderId="52" xfId="0" applyNumberFormat="1" applyFont="1" applyFill="1" applyBorder="1" applyAlignment="1">
      <alignment horizontal="center"/>
    </xf>
    <xf numFmtId="4" fontId="42" fillId="2" borderId="20" xfId="0" applyNumberFormat="1" applyFont="1" applyFill="1" applyBorder="1" applyAlignment="1">
      <alignment horizontal="center"/>
    </xf>
    <xf numFmtId="4" fontId="42" fillId="2" borderId="58" xfId="0" applyNumberFormat="1" applyFont="1" applyFill="1" applyBorder="1" applyAlignment="1">
      <alignment horizontal="center"/>
    </xf>
    <xf numFmtId="4" fontId="42" fillId="2" borderId="62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/>
    <xf numFmtId="0" fontId="15" fillId="0" borderId="14" xfId="0" applyFont="1" applyFill="1" applyBorder="1" applyAlignment="1">
      <alignment vertical="justify"/>
    </xf>
    <xf numFmtId="0" fontId="15" fillId="0" borderId="14" xfId="0" applyFont="1" applyFill="1" applyBorder="1"/>
    <xf numFmtId="0" fontId="15" fillId="0" borderId="14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15" fillId="0" borderId="34" xfId="0" applyFont="1" applyFill="1" applyBorder="1" applyAlignment="1">
      <alignment vertical="justify" wrapText="1"/>
    </xf>
    <xf numFmtId="0" fontId="15" fillId="0" borderId="14" xfId="0" applyFont="1" applyFill="1" applyBorder="1" applyAlignment="1">
      <alignment horizontal="left" vertical="justify" wrapText="1"/>
    </xf>
    <xf numFmtId="0" fontId="15" fillId="0" borderId="14" xfId="0" applyFont="1" applyFill="1" applyBorder="1" applyAlignment="1">
      <alignment wrapText="1"/>
    </xf>
    <xf numFmtId="0" fontId="15" fillId="0" borderId="14" xfId="0" applyFont="1" applyFill="1" applyBorder="1" applyAlignment="1">
      <alignment vertical="justify" wrapText="1"/>
    </xf>
    <xf numFmtId="0" fontId="15" fillId="0" borderId="16" xfId="0" applyFont="1" applyFill="1" applyBorder="1" applyAlignment="1">
      <alignment vertical="justify" wrapText="1"/>
    </xf>
    <xf numFmtId="0" fontId="19" fillId="0" borderId="21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 wrapText="1"/>
    </xf>
    <xf numFmtId="0" fontId="15" fillId="0" borderId="21" xfId="0" applyFont="1" applyFill="1" applyBorder="1" applyAlignment="1">
      <alignment horizontal="left" vertical="justify" wrapText="1"/>
    </xf>
    <xf numFmtId="4" fontId="10" fillId="0" borderId="0" xfId="0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left" vertical="top" wrapText="1"/>
    </xf>
    <xf numFmtId="164" fontId="8" fillId="0" borderId="0" xfId="0" applyNumberFormat="1" applyFont="1" applyFill="1" applyAlignment="1">
      <alignment horizontal="left" wrapText="1"/>
    </xf>
    <xf numFmtId="0" fontId="29" fillId="2" borderId="53" xfId="0" applyFont="1" applyFill="1" applyBorder="1" applyAlignment="1">
      <alignment horizontal="left"/>
    </xf>
    <xf numFmtId="0" fontId="29" fillId="2" borderId="54" xfId="0" applyFont="1" applyFill="1" applyBorder="1" applyAlignment="1">
      <alignment horizontal="left"/>
    </xf>
    <xf numFmtId="0" fontId="29" fillId="2" borderId="56" xfId="0" applyFont="1" applyFill="1" applyBorder="1" applyAlignment="1">
      <alignment horizontal="left"/>
    </xf>
    <xf numFmtId="0" fontId="29" fillId="2" borderId="57" xfId="0" applyFont="1" applyFill="1" applyBorder="1" applyAlignment="1">
      <alignment horizontal="left"/>
    </xf>
    <xf numFmtId="0" fontId="26" fillId="2" borderId="29" xfId="0" applyFont="1" applyFill="1" applyBorder="1" applyAlignment="1">
      <alignment horizontal="left"/>
    </xf>
    <xf numFmtId="0" fontId="26" fillId="2" borderId="42" xfId="0" applyFont="1" applyFill="1" applyBorder="1" applyAlignment="1">
      <alignment horizontal="left"/>
    </xf>
    <xf numFmtId="0" fontId="24" fillId="3" borderId="11" xfId="0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26" fillId="2" borderId="19" xfId="0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23" xfId="0" applyFont="1" applyFill="1" applyBorder="1" applyAlignment="1">
      <alignment horizontal="center"/>
    </xf>
    <xf numFmtId="0" fontId="28" fillId="3" borderId="29" xfId="0" applyFont="1" applyFill="1" applyBorder="1" applyAlignment="1">
      <alignment horizontal="center"/>
    </xf>
    <xf numFmtId="0" fontId="28" fillId="3" borderId="30" xfId="0" applyFont="1" applyFill="1" applyBorder="1" applyAlignment="1">
      <alignment horizontal="center"/>
    </xf>
    <xf numFmtId="0" fontId="28" fillId="3" borderId="31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wrapText="1"/>
    </xf>
    <xf numFmtId="0" fontId="24" fillId="3" borderId="30" xfId="0" applyFont="1" applyFill="1" applyBorder="1" applyAlignment="1">
      <alignment horizontal="center" wrapText="1"/>
    </xf>
    <xf numFmtId="0" fontId="24" fillId="3" borderId="31" xfId="0" applyFont="1" applyFill="1" applyBorder="1" applyAlignment="1">
      <alignment horizontal="center" wrapText="1"/>
    </xf>
    <xf numFmtId="0" fontId="24" fillId="3" borderId="11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wrapText="1"/>
    </xf>
    <xf numFmtId="0" fontId="24" fillId="3" borderId="11" xfId="0" applyFont="1" applyFill="1" applyBorder="1" applyAlignment="1">
      <alignment horizontal="center" shrinkToFit="1"/>
    </xf>
    <xf numFmtId="0" fontId="24" fillId="3" borderId="12" xfId="0" applyFont="1" applyFill="1" applyBorder="1" applyAlignment="1">
      <alignment horizontal="center" shrinkToFit="1"/>
    </xf>
    <xf numFmtId="0" fontId="24" fillId="3" borderId="5" xfId="0" applyFont="1" applyFill="1" applyBorder="1" applyAlignment="1">
      <alignment horizontal="center" shrinkToFit="1"/>
    </xf>
    <xf numFmtId="0" fontId="18" fillId="3" borderId="11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18" fillId="4" borderId="45" xfId="0" applyFont="1" applyFill="1" applyBorder="1" applyAlignment="1">
      <alignment horizontal="center"/>
    </xf>
    <xf numFmtId="0" fontId="29" fillId="2" borderId="59" xfId="0" applyFont="1" applyFill="1" applyBorder="1" applyAlignment="1">
      <alignment horizontal="left"/>
    </xf>
    <xf numFmtId="0" fontId="29" fillId="2" borderId="60" xfId="0" applyFont="1" applyFill="1" applyBorder="1" applyAlignment="1">
      <alignment horizontal="left"/>
    </xf>
    <xf numFmtId="0" fontId="26" fillId="3" borderId="38" xfId="0" applyFont="1" applyFill="1" applyBorder="1" applyAlignment="1">
      <alignment horizontal="left"/>
    </xf>
    <xf numFmtId="0" fontId="26" fillId="3" borderId="50" xfId="0" applyFont="1" applyFill="1" applyBorder="1" applyAlignment="1">
      <alignment horizontal="left"/>
    </xf>
    <xf numFmtId="0" fontId="24" fillId="3" borderId="38" xfId="0" applyFont="1" applyFill="1" applyBorder="1" applyAlignment="1">
      <alignment horizontal="center" shrinkToFit="1"/>
    </xf>
    <xf numFmtId="0" fontId="24" fillId="3" borderId="49" xfId="0" applyFont="1" applyFill="1" applyBorder="1" applyAlignment="1">
      <alignment horizontal="center" shrinkToFit="1"/>
    </xf>
    <xf numFmtId="0" fontId="24" fillId="3" borderId="50" xfId="0" applyFont="1" applyFill="1" applyBorder="1" applyAlignment="1">
      <alignment horizontal="center" shrinkToFit="1"/>
    </xf>
    <xf numFmtId="3" fontId="18" fillId="3" borderId="11" xfId="0" applyNumberFormat="1" applyFont="1" applyFill="1" applyBorder="1" applyAlignment="1">
      <alignment horizontal="center" shrinkToFit="1"/>
    </xf>
    <xf numFmtId="3" fontId="18" fillId="3" borderId="12" xfId="0" applyNumberFormat="1" applyFont="1" applyFill="1" applyBorder="1" applyAlignment="1">
      <alignment horizontal="center" shrinkToFit="1"/>
    </xf>
    <xf numFmtId="0" fontId="26" fillId="2" borderId="22" xfId="0" applyFont="1" applyFill="1" applyBorder="1" applyAlignment="1">
      <alignment horizontal="center"/>
    </xf>
    <xf numFmtId="0" fontId="26" fillId="2" borderId="26" xfId="0" applyFont="1" applyFill="1" applyBorder="1" applyAlignment="1">
      <alignment horizontal="center"/>
    </xf>
    <xf numFmtId="0" fontId="26" fillId="2" borderId="49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5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justify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 wrapText="1"/>
    </xf>
    <xf numFmtId="2" fontId="24" fillId="0" borderId="7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/>
    </xf>
    <xf numFmtId="2" fontId="7" fillId="0" borderId="0" xfId="0" applyNumberFormat="1" applyFont="1" applyFill="1" applyAlignment="1">
      <alignment horizontal="left"/>
    </xf>
    <xf numFmtId="0" fontId="17" fillId="0" borderId="0" xfId="0" applyFont="1" applyBorder="1" applyAlignment="1">
      <alignment horizontal="left" vertical="justify"/>
    </xf>
    <xf numFmtId="0" fontId="41" fillId="0" borderId="0" xfId="0" applyFont="1" applyFill="1" applyAlignment="1">
      <alignment vertical="center" wrapText="1"/>
    </xf>
    <xf numFmtId="0" fontId="41" fillId="0" borderId="0" xfId="0" applyFont="1" applyFill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72;/Downloads/&#1090;&#1072;&#1088;&#1080;&#1092;.&#1085;&#1072;%2001.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8;&#1072;&#1088;&#1080;&#1092;.%2001,01,19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01.07.19р."/>
      <sheetName val="Зміни"/>
      <sheetName val="без сумісництва"/>
      <sheetName val="декларация"/>
      <sheetName val="розрахунок по пмбулатор"/>
    </sheetNames>
    <sheetDataSet>
      <sheetData sheetId="0"/>
      <sheetData sheetId="1"/>
      <sheetData sheetId="2">
        <row r="489">
          <cell r="L489">
            <v>4361</v>
          </cell>
          <cell r="N489">
            <v>0.5</v>
          </cell>
        </row>
        <row r="492">
          <cell r="L492">
            <v>4361</v>
          </cell>
        </row>
        <row r="495">
          <cell r="L495">
            <v>4361</v>
          </cell>
        </row>
        <row r="498">
          <cell r="L498">
            <v>3496</v>
          </cell>
        </row>
        <row r="501">
          <cell r="L501">
            <v>4073</v>
          </cell>
        </row>
        <row r="504">
          <cell r="L504">
            <v>4073</v>
          </cell>
        </row>
        <row r="507">
          <cell r="L507">
            <v>4073</v>
          </cell>
          <cell r="N507">
            <v>0.5</v>
          </cell>
        </row>
        <row r="510">
          <cell r="L510">
            <v>3496</v>
          </cell>
        </row>
        <row r="516">
          <cell r="L516">
            <v>3496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01.01.19р. 04,01,19"/>
      <sheetName val="тариф 01.01.19р.28,01,19"/>
      <sheetName val="тариф 01.02.19р. (9)"/>
      <sheetName val="тариф 01.03.19р. (11)"/>
      <sheetName val="тариф 01.03.19р. (10)"/>
      <sheetName val="тариф 01.04.19р. (11)"/>
      <sheetName val="тариф 01.04.19р. дільнич."/>
      <sheetName val="тариф 01.05.19р. діл.-"/>
      <sheetName val="тариф 01.05.19р. діл.сумісники"/>
      <sheetName val="тариф 01.06.19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7">
          <cell r="Z57">
            <v>48841.235000000001</v>
          </cell>
        </row>
        <row r="108">
          <cell r="Z108">
            <v>15098.71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62"/>
  <sheetViews>
    <sheetView tabSelected="1" view="pageBreakPreview" topLeftCell="A133" zoomScaleNormal="100" zoomScaleSheetLayoutView="100" workbookViewId="0">
      <selection activeCell="B147" sqref="B147"/>
    </sheetView>
  </sheetViews>
  <sheetFormatPr defaultRowHeight="12.75" x14ac:dyDescent="0.2"/>
  <cols>
    <col min="1" max="1" width="5.28515625" style="190" customWidth="1"/>
    <col min="2" max="2" width="50.7109375" customWidth="1"/>
    <col min="3" max="3" width="11.85546875" customWidth="1"/>
    <col min="4" max="4" width="12.7109375" customWidth="1"/>
    <col min="5" max="5" width="12" customWidth="1"/>
    <col min="6" max="6" width="11.7109375" customWidth="1"/>
    <col min="7" max="7" width="13.28515625" customWidth="1"/>
    <col min="8" max="8" width="13.85546875" style="8" customWidth="1"/>
    <col min="9" max="9" width="19.5703125" customWidth="1"/>
    <col min="10" max="10" width="11.85546875" customWidth="1"/>
    <col min="11" max="11" width="12.140625" customWidth="1"/>
    <col min="12" max="12" width="11.7109375" bestFit="1" customWidth="1"/>
    <col min="16" max="16" width="10.42578125" customWidth="1"/>
  </cols>
  <sheetData>
    <row r="1" spans="1:9" ht="15" x14ac:dyDescent="0.25">
      <c r="A1" s="1"/>
      <c r="B1" s="2"/>
      <c r="C1" s="2"/>
      <c r="D1" s="3"/>
      <c r="E1" s="4" t="s">
        <v>0</v>
      </c>
      <c r="F1" s="4"/>
      <c r="G1" s="5" t="s">
        <v>1</v>
      </c>
      <c r="H1" s="2"/>
    </row>
    <row r="2" spans="1:9" ht="15" x14ac:dyDescent="0.25">
      <c r="A2" s="1"/>
      <c r="B2" s="2"/>
      <c r="C2" s="2"/>
      <c r="D2" s="3"/>
      <c r="E2" s="4" t="s">
        <v>2</v>
      </c>
      <c r="F2" s="4"/>
      <c r="G2" s="4"/>
      <c r="H2" s="2"/>
    </row>
    <row r="3" spans="1:9" ht="15" x14ac:dyDescent="0.25">
      <c r="A3" s="1"/>
      <c r="B3" s="2"/>
      <c r="C3" s="2"/>
      <c r="D3" s="3"/>
      <c r="E3" s="4" t="s">
        <v>3</v>
      </c>
      <c r="F3" s="4"/>
      <c r="G3" s="4"/>
      <c r="H3" s="2"/>
    </row>
    <row r="4" spans="1:9" ht="15" x14ac:dyDescent="0.25">
      <c r="A4" s="1"/>
      <c r="B4" s="2"/>
      <c r="C4" s="2"/>
      <c r="D4" s="3"/>
      <c r="E4" s="4" t="s">
        <v>4</v>
      </c>
      <c r="F4" s="4"/>
      <c r="G4" s="4"/>
      <c r="H4" s="2"/>
    </row>
    <row r="5" spans="1:9" ht="15" x14ac:dyDescent="0.25">
      <c r="A5" s="1"/>
      <c r="B5" s="2"/>
      <c r="C5" s="2"/>
      <c r="D5" s="3"/>
      <c r="E5" s="4" t="s">
        <v>5</v>
      </c>
      <c r="F5" s="4"/>
      <c r="G5" s="4"/>
      <c r="H5" s="2"/>
    </row>
    <row r="6" spans="1:9" ht="15" x14ac:dyDescent="0.25">
      <c r="A6" s="1"/>
      <c r="B6" s="2"/>
      <c r="C6" s="2"/>
      <c r="D6" s="3"/>
      <c r="E6" s="3"/>
      <c r="F6" s="4"/>
      <c r="G6" s="4"/>
      <c r="H6" s="2"/>
    </row>
    <row r="7" spans="1:9" ht="15.75" x14ac:dyDescent="0.25">
      <c r="A7" s="6" t="s">
        <v>6</v>
      </c>
      <c r="B7" s="7"/>
      <c r="C7" s="8"/>
      <c r="D7" s="9"/>
      <c r="E7" s="10" t="s">
        <v>7</v>
      </c>
      <c r="F7" s="11"/>
      <c r="G7" s="9"/>
    </row>
    <row r="8" spans="1:9" ht="15" x14ac:dyDescent="0.25">
      <c r="A8" s="13" t="s">
        <v>8</v>
      </c>
      <c r="B8" s="14"/>
      <c r="C8" s="8"/>
      <c r="D8" s="15"/>
      <c r="E8" s="15" t="s">
        <v>9</v>
      </c>
      <c r="F8" s="11"/>
      <c r="G8" s="9"/>
      <c r="I8" s="16"/>
    </row>
    <row r="9" spans="1:9" ht="15" customHeight="1" x14ac:dyDescent="0.25">
      <c r="A9" s="17" t="s">
        <v>10</v>
      </c>
      <c r="B9" s="14"/>
      <c r="C9" s="8"/>
      <c r="D9" s="15"/>
      <c r="E9" s="18" t="s">
        <v>11</v>
      </c>
      <c r="F9" s="11"/>
      <c r="G9" s="9"/>
      <c r="I9" s="2"/>
    </row>
    <row r="10" spans="1:9" ht="28.5" customHeight="1" x14ac:dyDescent="0.25">
      <c r="A10" s="247" t="s">
        <v>118</v>
      </c>
      <c r="B10" s="247"/>
      <c r="C10" s="19"/>
      <c r="D10" s="19"/>
      <c r="E10" s="245">
        <f>G154</f>
        <v>827962.64</v>
      </c>
      <c r="F10" s="246" t="s">
        <v>117</v>
      </c>
      <c r="G10" s="246"/>
      <c r="H10" s="246"/>
      <c r="I10" s="20">
        <f>G154</f>
        <v>827962.64</v>
      </c>
    </row>
    <row r="11" spans="1:9" ht="15" x14ac:dyDescent="0.25">
      <c r="A11" s="6" t="s">
        <v>12</v>
      </c>
      <c r="B11" s="21"/>
      <c r="C11" s="8"/>
      <c r="D11" s="15"/>
      <c r="E11" s="16" t="s">
        <v>13</v>
      </c>
      <c r="F11" s="11"/>
      <c r="G11" s="9"/>
    </row>
    <row r="12" spans="1:9" ht="15" x14ac:dyDescent="0.25">
      <c r="A12" s="6" t="s">
        <v>14</v>
      </c>
      <c r="B12" s="11"/>
      <c r="C12" s="9"/>
      <c r="D12" s="12"/>
      <c r="E12" s="2" t="s">
        <v>15</v>
      </c>
      <c r="F12" s="18"/>
      <c r="G12" s="18"/>
      <c r="H12" s="18"/>
    </row>
    <row r="13" spans="1:9" ht="15" x14ac:dyDescent="0.25">
      <c r="A13" s="22" t="s">
        <v>119</v>
      </c>
      <c r="B13" s="23"/>
      <c r="C13" s="9"/>
      <c r="D13" s="12"/>
      <c r="E13" s="24" t="s">
        <v>16</v>
      </c>
      <c r="F13" s="11"/>
      <c r="G13" s="9"/>
    </row>
    <row r="14" spans="1:9" ht="9" customHeight="1" x14ac:dyDescent="0.2">
      <c r="A14" s="305" t="s">
        <v>17</v>
      </c>
      <c r="B14" s="305"/>
      <c r="C14" s="25"/>
      <c r="D14" s="15"/>
      <c r="E14" s="305" t="s">
        <v>17</v>
      </c>
      <c r="F14" s="305"/>
      <c r="G14" s="18"/>
      <c r="H14" s="18"/>
    </row>
    <row r="15" spans="1:9" x14ac:dyDescent="0.2">
      <c r="A15" s="6" t="s">
        <v>18</v>
      </c>
      <c r="B15" s="14"/>
      <c r="C15" s="25"/>
      <c r="D15" s="15"/>
      <c r="E15" s="306" t="s">
        <v>19</v>
      </c>
      <c r="F15" s="306"/>
      <c r="G15" s="306"/>
      <c r="H15" s="306"/>
    </row>
    <row r="16" spans="1:9" s="33" customFormat="1" ht="6.75" customHeight="1" x14ac:dyDescent="0.25">
      <c r="A16" s="26"/>
      <c r="B16" s="27"/>
      <c r="C16" s="28"/>
      <c r="D16" s="29"/>
      <c r="E16" s="30"/>
      <c r="F16" s="31"/>
      <c r="G16" s="32"/>
      <c r="H16" s="201"/>
    </row>
    <row r="17" spans="1:10" s="33" customFormat="1" ht="18.75" customHeight="1" x14ac:dyDescent="0.25">
      <c r="A17" s="307" t="s">
        <v>20</v>
      </c>
      <c r="B17" s="307"/>
      <c r="C17" s="34"/>
      <c r="D17" s="35"/>
      <c r="E17" s="36" t="s">
        <v>20</v>
      </c>
      <c r="F17" s="37"/>
      <c r="G17" s="38"/>
      <c r="H17" s="201"/>
    </row>
    <row r="18" spans="1:10" s="33" customFormat="1" ht="16.5" customHeight="1" x14ac:dyDescent="0.2">
      <c r="A18" s="304" t="s">
        <v>21</v>
      </c>
      <c r="B18" s="304"/>
      <c r="C18" s="304"/>
      <c r="D18" s="304"/>
      <c r="E18" s="304"/>
      <c r="F18" s="304"/>
      <c r="G18" s="304"/>
      <c r="H18" s="304"/>
    </row>
    <row r="19" spans="1:10" s="33" customFormat="1" ht="15" customHeight="1" x14ac:dyDescent="0.2">
      <c r="A19" s="304" t="s">
        <v>22</v>
      </c>
      <c r="B19" s="304"/>
      <c r="C19" s="304"/>
      <c r="D19" s="304"/>
      <c r="E19" s="304"/>
      <c r="F19" s="304"/>
      <c r="G19" s="304"/>
      <c r="H19" s="304"/>
    </row>
    <row r="20" spans="1:10" s="33" customFormat="1" ht="15.75" customHeight="1" x14ac:dyDescent="0.2">
      <c r="A20" s="295" t="s">
        <v>23</v>
      </c>
      <c r="B20" s="295"/>
      <c r="C20" s="295"/>
      <c r="D20" s="295"/>
      <c r="E20" s="295"/>
      <c r="F20" s="295"/>
      <c r="G20" s="295"/>
      <c r="H20" s="295"/>
    </row>
    <row r="21" spans="1:10" s="33" customFormat="1" ht="14.25" customHeight="1" x14ac:dyDescent="0.2">
      <c r="A21" s="295" t="s">
        <v>24</v>
      </c>
      <c r="B21" s="295"/>
      <c r="C21" s="295"/>
      <c r="D21" s="295"/>
      <c r="E21" s="295"/>
      <c r="F21" s="295"/>
      <c r="G21" s="295"/>
      <c r="H21" s="295"/>
    </row>
    <row r="22" spans="1:10" s="33" customFormat="1" ht="12.75" customHeight="1" thickBot="1" x14ac:dyDescent="0.25">
      <c r="A22" s="296" t="s">
        <v>25</v>
      </c>
      <c r="B22" s="296"/>
      <c r="C22" s="296"/>
      <c r="D22" s="296"/>
      <c r="E22" s="296"/>
      <c r="F22" s="296"/>
      <c r="G22" s="296"/>
      <c r="H22" s="296"/>
    </row>
    <row r="23" spans="1:10" s="33" customFormat="1" ht="6" customHeight="1" thickBot="1" x14ac:dyDescent="0.25">
      <c r="A23" s="39"/>
      <c r="B23" s="40"/>
      <c r="C23" s="40"/>
      <c r="D23" s="40"/>
      <c r="E23" s="40"/>
      <c r="F23" s="40"/>
      <c r="G23" s="40"/>
      <c r="H23" s="204"/>
    </row>
    <row r="24" spans="1:10" s="33" customFormat="1" ht="15.75" x14ac:dyDescent="0.25">
      <c r="A24" s="297" t="s">
        <v>26</v>
      </c>
      <c r="B24" s="299" t="s">
        <v>27</v>
      </c>
      <c r="C24" s="299" t="s">
        <v>28</v>
      </c>
      <c r="D24" s="302" t="s">
        <v>29</v>
      </c>
      <c r="E24" s="302" t="s">
        <v>30</v>
      </c>
      <c r="F24" s="302" t="s">
        <v>31</v>
      </c>
      <c r="G24" s="41" t="s">
        <v>32</v>
      </c>
      <c r="H24" s="205" t="s">
        <v>32</v>
      </c>
    </row>
    <row r="25" spans="1:10" s="33" customFormat="1" ht="15.75" x14ac:dyDescent="0.25">
      <c r="A25" s="298"/>
      <c r="B25" s="300"/>
      <c r="C25" s="301"/>
      <c r="D25" s="303"/>
      <c r="E25" s="303"/>
      <c r="F25" s="303"/>
      <c r="G25" s="42" t="s">
        <v>33</v>
      </c>
      <c r="H25" s="206" t="s">
        <v>33</v>
      </c>
    </row>
    <row r="26" spans="1:10" s="33" customFormat="1" ht="15.75" x14ac:dyDescent="0.25">
      <c r="A26" s="298"/>
      <c r="B26" s="300"/>
      <c r="C26" s="301"/>
      <c r="D26" s="303"/>
      <c r="E26" s="303"/>
      <c r="F26" s="303"/>
      <c r="G26" s="42" t="s">
        <v>34</v>
      </c>
      <c r="H26" s="206" t="s">
        <v>34</v>
      </c>
    </row>
    <row r="27" spans="1:10" s="33" customFormat="1" ht="15.75" x14ac:dyDescent="0.25">
      <c r="A27" s="298"/>
      <c r="B27" s="300"/>
      <c r="C27" s="301"/>
      <c r="D27" s="303"/>
      <c r="E27" s="303"/>
      <c r="F27" s="303"/>
      <c r="G27" s="42" t="s">
        <v>35</v>
      </c>
      <c r="H27" s="206" t="s">
        <v>36</v>
      </c>
    </row>
    <row r="28" spans="1:10" s="33" customFormat="1" ht="16.5" thickBot="1" x14ac:dyDescent="0.3">
      <c r="A28" s="298"/>
      <c r="B28" s="300"/>
      <c r="C28" s="301"/>
      <c r="D28" s="303"/>
      <c r="E28" s="303"/>
      <c r="F28" s="303"/>
      <c r="G28" s="42" t="s">
        <v>37</v>
      </c>
      <c r="H28" s="207" t="s">
        <v>37</v>
      </c>
    </row>
    <row r="29" spans="1:10" s="33" customFormat="1" ht="16.5" thickBot="1" x14ac:dyDescent="0.3">
      <c r="A29" s="43">
        <v>1</v>
      </c>
      <c r="B29" s="44">
        <f>A29+1</f>
        <v>2</v>
      </c>
      <c r="C29" s="44">
        <f t="shared" ref="C29:H29" si="0">B29+1</f>
        <v>3</v>
      </c>
      <c r="D29" s="44">
        <f t="shared" si="0"/>
        <v>4</v>
      </c>
      <c r="E29" s="44">
        <f t="shared" si="0"/>
        <v>5</v>
      </c>
      <c r="F29" s="44">
        <f t="shared" si="0"/>
        <v>6</v>
      </c>
      <c r="G29" s="44">
        <f t="shared" si="0"/>
        <v>7</v>
      </c>
      <c r="H29" s="208">
        <f t="shared" si="0"/>
        <v>8</v>
      </c>
    </row>
    <row r="30" spans="1:10" s="33" customFormat="1" ht="15" customHeight="1" x14ac:dyDescent="0.25">
      <c r="A30" s="254" t="s">
        <v>38</v>
      </c>
      <c r="B30" s="255"/>
      <c r="C30" s="255"/>
      <c r="D30" s="255"/>
      <c r="E30" s="255"/>
      <c r="F30" s="255"/>
      <c r="G30" s="255"/>
      <c r="H30" s="256"/>
    </row>
    <row r="31" spans="1:10" s="33" customFormat="1" ht="17.100000000000001" customHeight="1" x14ac:dyDescent="0.25">
      <c r="A31" s="45">
        <v>1</v>
      </c>
      <c r="B31" s="231" t="s">
        <v>13</v>
      </c>
      <c r="C31" s="46">
        <v>1</v>
      </c>
      <c r="D31" s="46">
        <v>7302.55</v>
      </c>
      <c r="E31" s="46"/>
      <c r="F31" s="46">
        <v>2190.7649999999999</v>
      </c>
      <c r="G31" s="47">
        <f>(C31*D31)+E31+F31</f>
        <v>9493.3150000000005</v>
      </c>
      <c r="H31" s="209">
        <f>G31*12</f>
        <v>113919.78</v>
      </c>
    </row>
    <row r="32" spans="1:10" s="33" customFormat="1" ht="17.100000000000001" customHeight="1" x14ac:dyDescent="0.25">
      <c r="A32" s="45">
        <f t="shared" ref="A32:A36" si="1">A31+1</f>
        <v>2</v>
      </c>
      <c r="B32" s="198" t="s">
        <v>39</v>
      </c>
      <c r="C32" s="46">
        <v>1</v>
      </c>
      <c r="D32" s="46">
        <v>6984.8</v>
      </c>
      <c r="E32" s="46"/>
      <c r="F32" s="46">
        <v>2095.44</v>
      </c>
      <c r="G32" s="47">
        <f>(C32*D32)+E32+F32</f>
        <v>9080.24</v>
      </c>
      <c r="H32" s="209">
        <f t="shared" ref="H32:H37" si="2">G32*12</f>
        <v>108962.88</v>
      </c>
      <c r="I32" s="48"/>
      <c r="J32" s="49"/>
    </row>
    <row r="33" spans="1:10" s="33" customFormat="1" ht="17.100000000000001" customHeight="1" x14ac:dyDescent="0.25">
      <c r="A33" s="45">
        <f t="shared" si="1"/>
        <v>3</v>
      </c>
      <c r="B33" s="198" t="s">
        <v>40</v>
      </c>
      <c r="C33" s="46">
        <v>1</v>
      </c>
      <c r="D33" s="46">
        <v>6041</v>
      </c>
      <c r="E33" s="46"/>
      <c r="F33" s="46"/>
      <c r="G33" s="47">
        <f t="shared" ref="G33:G37" si="3">(C33*D33)+E33+F33</f>
        <v>6041</v>
      </c>
      <c r="H33" s="209">
        <f t="shared" si="2"/>
        <v>72492</v>
      </c>
      <c r="I33" s="50"/>
      <c r="J33" s="49"/>
    </row>
    <row r="34" spans="1:10" s="33" customFormat="1" ht="17.100000000000001" customHeight="1" x14ac:dyDescent="0.25">
      <c r="A34" s="45">
        <v>4</v>
      </c>
      <c r="B34" s="232" t="s">
        <v>42</v>
      </c>
      <c r="C34" s="52">
        <v>1</v>
      </c>
      <c r="D34" s="47">
        <v>4420.87</v>
      </c>
      <c r="E34" s="47"/>
      <c r="F34" s="47">
        <v>1211.8900000000001</v>
      </c>
      <c r="G34" s="47">
        <f t="shared" si="3"/>
        <v>5632.76</v>
      </c>
      <c r="H34" s="209">
        <f t="shared" si="2"/>
        <v>67593.119999999995</v>
      </c>
      <c r="I34" s="50"/>
      <c r="J34" s="49"/>
    </row>
    <row r="35" spans="1:10" ht="17.100000000000001" customHeight="1" x14ac:dyDescent="0.25">
      <c r="A35" s="45">
        <v>5</v>
      </c>
      <c r="B35" s="197" t="s">
        <v>43</v>
      </c>
      <c r="C35" s="53">
        <v>0.5</v>
      </c>
      <c r="D35" s="47">
        <v>3537</v>
      </c>
      <c r="E35" s="54"/>
      <c r="F35" s="54"/>
      <c r="G35" s="47">
        <f t="shared" si="3"/>
        <v>1768.5</v>
      </c>
      <c r="H35" s="209">
        <f t="shared" si="2"/>
        <v>21222</v>
      </c>
    </row>
    <row r="36" spans="1:10" s="33" customFormat="1" ht="17.100000000000001" customHeight="1" x14ac:dyDescent="0.25">
      <c r="A36" s="45">
        <f t="shared" si="1"/>
        <v>6</v>
      </c>
      <c r="B36" s="233" t="s">
        <v>44</v>
      </c>
      <c r="C36" s="47">
        <v>1</v>
      </c>
      <c r="D36" s="47">
        <v>3048</v>
      </c>
      <c r="E36" s="47"/>
      <c r="F36" s="47"/>
      <c r="G36" s="47">
        <f t="shared" si="3"/>
        <v>3048</v>
      </c>
      <c r="H36" s="209">
        <f t="shared" si="2"/>
        <v>36576</v>
      </c>
    </row>
    <row r="37" spans="1:10" s="33" customFormat="1" ht="17.100000000000001" customHeight="1" thickBot="1" x14ac:dyDescent="0.3">
      <c r="A37" s="45">
        <v>7</v>
      </c>
      <c r="B37" s="57" t="s">
        <v>45</v>
      </c>
      <c r="C37" s="58">
        <v>1</v>
      </c>
      <c r="D37" s="58">
        <v>2670</v>
      </c>
      <c r="E37" s="58"/>
      <c r="F37" s="58"/>
      <c r="G37" s="58">
        <f t="shared" si="3"/>
        <v>2670</v>
      </c>
      <c r="H37" s="210">
        <f t="shared" si="2"/>
        <v>32040</v>
      </c>
    </row>
    <row r="38" spans="1:10" s="33" customFormat="1" ht="16.5" customHeight="1" thickBot="1" x14ac:dyDescent="0.3">
      <c r="A38" s="257" t="s">
        <v>46</v>
      </c>
      <c r="B38" s="258"/>
      <c r="C38" s="59">
        <f t="shared" ref="C38:H38" si="4">SUM(C31:C37)</f>
        <v>6.5</v>
      </c>
      <c r="D38" s="59">
        <f>SUM(D31:D37)</f>
        <v>34004.22</v>
      </c>
      <c r="E38" s="59">
        <f t="shared" si="4"/>
        <v>0</v>
      </c>
      <c r="F38" s="59">
        <f t="shared" si="4"/>
        <v>5498.0950000000003</v>
      </c>
      <c r="G38" s="59">
        <f t="shared" si="4"/>
        <v>37733.815000000002</v>
      </c>
      <c r="H38" s="211">
        <f t="shared" si="4"/>
        <v>452805.78</v>
      </c>
      <c r="I38" s="48"/>
    </row>
    <row r="39" spans="1:10" s="33" customFormat="1" ht="14.25" customHeight="1" x14ac:dyDescent="0.25">
      <c r="A39" s="254" t="s">
        <v>47</v>
      </c>
      <c r="B39" s="255"/>
      <c r="C39" s="255"/>
      <c r="D39" s="255"/>
      <c r="E39" s="255"/>
      <c r="F39" s="255"/>
      <c r="G39" s="255"/>
      <c r="H39" s="256"/>
    </row>
    <row r="40" spans="1:10" s="33" customFormat="1" ht="17.100000000000001" customHeight="1" x14ac:dyDescent="0.25">
      <c r="A40" s="45">
        <v>8</v>
      </c>
      <c r="B40" s="51" t="s">
        <v>41</v>
      </c>
      <c r="C40" s="47">
        <v>1</v>
      </c>
      <c r="D40" s="47">
        <v>5723</v>
      </c>
      <c r="E40" s="47"/>
      <c r="F40" s="47"/>
      <c r="G40" s="47">
        <f>(C40*D40)+E40+F40</f>
        <v>5723</v>
      </c>
      <c r="H40" s="209">
        <f>G40*12</f>
        <v>68676</v>
      </c>
    </row>
    <row r="41" spans="1:10" s="33" customFormat="1" ht="14.25" customHeight="1" x14ac:dyDescent="0.25">
      <c r="A41" s="60">
        <v>9</v>
      </c>
      <c r="B41" s="61" t="s">
        <v>48</v>
      </c>
      <c r="C41" s="47">
        <v>1</v>
      </c>
      <c r="D41" s="62">
        <v>4578</v>
      </c>
      <c r="E41" s="63"/>
      <c r="F41" s="63"/>
      <c r="G41" s="47">
        <f>(C41*D41)+E41+F41</f>
        <v>4578</v>
      </c>
      <c r="H41" s="209">
        <f t="shared" ref="H41:H42" si="5">G41*12</f>
        <v>54936</v>
      </c>
    </row>
    <row r="42" spans="1:10" s="33" customFormat="1" ht="15.75" customHeight="1" x14ac:dyDescent="0.25">
      <c r="A42" s="64">
        <f>A41+1</f>
        <v>10</v>
      </c>
      <c r="B42" s="51" t="s">
        <v>49</v>
      </c>
      <c r="C42" s="47">
        <f>0.5+0.5+1+1</f>
        <v>3</v>
      </c>
      <c r="D42" s="47">
        <v>3407</v>
      </c>
      <c r="E42" s="47"/>
      <c r="F42" s="47"/>
      <c r="G42" s="47">
        <f>(C42*D42)+E42+F42</f>
        <v>10221</v>
      </c>
      <c r="H42" s="209">
        <f t="shared" si="5"/>
        <v>122652</v>
      </c>
    </row>
    <row r="43" spans="1:10" s="33" customFormat="1" ht="16.5" customHeight="1" thickBot="1" x14ac:dyDescent="0.3">
      <c r="A43" s="56"/>
      <c r="B43" s="65" t="s">
        <v>46</v>
      </c>
      <c r="C43" s="66">
        <f>SUM(C40:C42)</f>
        <v>5</v>
      </c>
      <c r="D43" s="66">
        <f>SUM(D40:D42)</f>
        <v>13708</v>
      </c>
      <c r="E43" s="66">
        <f t="shared" ref="E43:H43" si="6">SUM(E40:E42)</f>
        <v>0</v>
      </c>
      <c r="F43" s="66">
        <f t="shared" si="6"/>
        <v>0</v>
      </c>
      <c r="G43" s="66">
        <f t="shared" si="6"/>
        <v>20522</v>
      </c>
      <c r="H43" s="66">
        <f t="shared" si="6"/>
        <v>246264</v>
      </c>
      <c r="I43" s="67"/>
    </row>
    <row r="44" spans="1:10" s="33" customFormat="1" ht="20.100000000000001" customHeight="1" thickBot="1" x14ac:dyDescent="0.3">
      <c r="A44" s="259" t="s">
        <v>50</v>
      </c>
      <c r="B44" s="260"/>
      <c r="C44" s="260"/>
      <c r="D44" s="260"/>
      <c r="E44" s="260"/>
      <c r="F44" s="260"/>
      <c r="G44" s="260"/>
      <c r="H44" s="261"/>
    </row>
    <row r="45" spans="1:10" s="33" customFormat="1" ht="15.75" customHeight="1" thickBot="1" x14ac:dyDescent="0.3">
      <c r="A45" s="68">
        <f>A42+1</f>
        <v>11</v>
      </c>
      <c r="B45" s="69" t="s">
        <v>51</v>
      </c>
      <c r="C45" s="70">
        <f>2+0.5</f>
        <v>2.5</v>
      </c>
      <c r="D45" s="71">
        <v>4212</v>
      </c>
      <c r="E45" s="71"/>
      <c r="F45" s="71"/>
      <c r="G45" s="72">
        <f>(C45*D45)+E45+F45</f>
        <v>10530</v>
      </c>
      <c r="H45" s="212">
        <f t="shared" ref="H45" si="7">G45*12</f>
        <v>126360</v>
      </c>
    </row>
    <row r="46" spans="1:10" s="33" customFormat="1" ht="15.75" customHeight="1" thickBot="1" x14ac:dyDescent="0.3">
      <c r="A46" s="73"/>
      <c r="B46" s="74" t="s">
        <v>46</v>
      </c>
      <c r="C46" s="75">
        <f>SUM(C45)</f>
        <v>2.5</v>
      </c>
      <c r="D46" s="75">
        <f t="shared" ref="D46:H46" si="8">SUM(D45)</f>
        <v>4212</v>
      </c>
      <c r="E46" s="75">
        <f t="shared" si="8"/>
        <v>0</v>
      </c>
      <c r="F46" s="75">
        <f t="shared" si="8"/>
        <v>0</v>
      </c>
      <c r="G46" s="75">
        <f t="shared" si="8"/>
        <v>10530</v>
      </c>
      <c r="H46" s="213">
        <f t="shared" si="8"/>
        <v>126360</v>
      </c>
      <c r="I46" s="67"/>
    </row>
    <row r="47" spans="1:10" s="33" customFormat="1" ht="20.100000000000001" customHeight="1" thickBot="1" x14ac:dyDescent="0.4">
      <c r="A47" s="262" t="s">
        <v>52</v>
      </c>
      <c r="B47" s="263"/>
      <c r="C47" s="263"/>
      <c r="D47" s="263"/>
      <c r="E47" s="263"/>
      <c r="F47" s="263"/>
      <c r="G47" s="263"/>
      <c r="H47" s="264"/>
      <c r="I47" s="67"/>
    </row>
    <row r="48" spans="1:10" s="33" customFormat="1" ht="20.100000000000001" customHeight="1" x14ac:dyDescent="0.25">
      <c r="A48" s="265" t="s">
        <v>53</v>
      </c>
      <c r="B48" s="266"/>
      <c r="C48" s="266"/>
      <c r="D48" s="266"/>
      <c r="E48" s="266"/>
      <c r="F48" s="266"/>
      <c r="G48" s="266"/>
      <c r="H48" s="267"/>
    </row>
    <row r="49" spans="1:11" s="33" customFormat="1" ht="29.25" customHeight="1" x14ac:dyDescent="0.25">
      <c r="A49" s="76">
        <f>A45+1</f>
        <v>12</v>
      </c>
      <c r="B49" s="234" t="s">
        <v>54</v>
      </c>
      <c r="C49" s="77">
        <v>1</v>
      </c>
      <c r="D49" s="77">
        <v>6104.4</v>
      </c>
      <c r="E49" s="77"/>
      <c r="F49" s="77">
        <v>1220.8799999999999</v>
      </c>
      <c r="G49" s="47">
        <f t="shared" ref="G49:G53" si="9">(C49*D49)+E49+F49</f>
        <v>7325.28</v>
      </c>
      <c r="H49" s="209">
        <f t="shared" ref="H49:H55" si="10">G49*12</f>
        <v>87903.360000000001</v>
      </c>
    </row>
    <row r="50" spans="1:11" s="33" customFormat="1" ht="16.5" customHeight="1" x14ac:dyDescent="0.25">
      <c r="A50" s="76">
        <f>A49+1</f>
        <v>13</v>
      </c>
      <c r="B50" s="235" t="s">
        <v>55</v>
      </c>
      <c r="C50" s="78">
        <f>0.5+0.5+1+0.5+1+0.5+1</f>
        <v>5</v>
      </c>
      <c r="D50" s="78">
        <v>5458.1</v>
      </c>
      <c r="E50" s="78"/>
      <c r="F50" s="78">
        <v>3654.8500000000004</v>
      </c>
      <c r="G50" s="79">
        <f t="shared" si="9"/>
        <v>30945.35</v>
      </c>
      <c r="H50" s="212">
        <f t="shared" si="10"/>
        <v>371344.19999999995</v>
      </c>
      <c r="I50" s="48"/>
    </row>
    <row r="51" spans="1:11" s="33" customFormat="1" ht="15.75" customHeight="1" x14ac:dyDescent="0.25">
      <c r="A51" s="80">
        <f>A50+1</f>
        <v>14</v>
      </c>
      <c r="B51" s="236" t="s">
        <v>56</v>
      </c>
      <c r="C51" s="81">
        <v>1</v>
      </c>
      <c r="D51" s="77">
        <v>3999.6</v>
      </c>
      <c r="E51" s="77"/>
      <c r="F51" s="77">
        <v>1199.8799999999999</v>
      </c>
      <c r="G51" s="79">
        <f t="shared" si="9"/>
        <v>5199.4799999999996</v>
      </c>
      <c r="H51" s="212">
        <f t="shared" si="10"/>
        <v>62393.759999999995</v>
      </c>
    </row>
    <row r="52" spans="1:11" s="33" customFormat="1" ht="15.75" customHeight="1" x14ac:dyDescent="0.25">
      <c r="A52" s="80">
        <f>A51+1</f>
        <v>15</v>
      </c>
      <c r="B52" s="236" t="s">
        <v>57</v>
      </c>
      <c r="C52" s="81">
        <v>1</v>
      </c>
      <c r="D52" s="77">
        <v>3636</v>
      </c>
      <c r="E52" s="77"/>
      <c r="F52" s="77">
        <v>727.2</v>
      </c>
      <c r="G52" s="79">
        <f t="shared" si="9"/>
        <v>4363.2</v>
      </c>
      <c r="H52" s="212">
        <f t="shared" si="10"/>
        <v>52358.399999999994</v>
      </c>
      <c r="I52" s="48"/>
    </row>
    <row r="53" spans="1:11" s="33" customFormat="1" ht="16.5" customHeight="1" x14ac:dyDescent="0.25">
      <c r="A53" s="76">
        <f>A52+1</f>
        <v>16</v>
      </c>
      <c r="B53" s="236" t="s">
        <v>58</v>
      </c>
      <c r="C53" s="81">
        <f>0.5+0.5+1+0.5+1+0.5</f>
        <v>4</v>
      </c>
      <c r="D53" s="77">
        <v>4497.75</v>
      </c>
      <c r="E53" s="77"/>
      <c r="F53" s="77">
        <v>4363.2</v>
      </c>
      <c r="G53" s="79">
        <f t="shared" si="9"/>
        <v>22354.2</v>
      </c>
      <c r="H53" s="212">
        <f t="shared" si="10"/>
        <v>268250.40000000002</v>
      </c>
      <c r="I53" s="48"/>
    </row>
    <row r="54" spans="1:11" s="33" customFormat="1" ht="29.25" customHeight="1" x14ac:dyDescent="0.25">
      <c r="A54" s="76">
        <f t="shared" ref="A54:A55" si="11">A53+1</f>
        <v>17</v>
      </c>
      <c r="B54" s="82" t="s">
        <v>59</v>
      </c>
      <c r="C54" s="77">
        <v>1</v>
      </c>
      <c r="D54" s="77">
        <v>2480</v>
      </c>
      <c r="E54" s="77">
        <v>248</v>
      </c>
      <c r="F54" s="77"/>
      <c r="G54" s="79">
        <f>(C54*D54)+E54+F54</f>
        <v>2728</v>
      </c>
      <c r="H54" s="212">
        <f t="shared" si="10"/>
        <v>32736</v>
      </c>
      <c r="I54" s="48"/>
    </row>
    <row r="55" spans="1:11" s="33" customFormat="1" ht="17.25" customHeight="1" thickBot="1" x14ac:dyDescent="0.3">
      <c r="A55" s="83">
        <f t="shared" si="11"/>
        <v>18</v>
      </c>
      <c r="B55" s="84" t="s">
        <v>60</v>
      </c>
      <c r="C55" s="85">
        <v>1.5</v>
      </c>
      <c r="D55" s="85">
        <v>5718</v>
      </c>
      <c r="E55" s="85"/>
      <c r="F55" s="85"/>
      <c r="G55" s="72">
        <f>(C55*D55)+E55+F55</f>
        <v>8577</v>
      </c>
      <c r="H55" s="214">
        <f t="shared" si="10"/>
        <v>102924</v>
      </c>
    </row>
    <row r="56" spans="1:11" s="33" customFormat="1" ht="20.100000000000001" customHeight="1" thickBot="1" x14ac:dyDescent="0.3">
      <c r="A56" s="86"/>
      <c r="B56" s="87" t="s">
        <v>46</v>
      </c>
      <c r="C56" s="88">
        <f>SUM(C49:C55)</f>
        <v>14.5</v>
      </c>
      <c r="D56" s="88">
        <f t="shared" ref="D56:H56" si="12">SUM(D49:D55)</f>
        <v>31893.85</v>
      </c>
      <c r="E56" s="88">
        <f t="shared" si="12"/>
        <v>248</v>
      </c>
      <c r="F56" s="88">
        <f t="shared" si="12"/>
        <v>11166.01</v>
      </c>
      <c r="G56" s="88">
        <f t="shared" si="12"/>
        <v>81492.509999999995</v>
      </c>
      <c r="H56" s="215">
        <f t="shared" si="12"/>
        <v>977910.12</v>
      </c>
      <c r="I56" s="89"/>
      <c r="J56" s="48"/>
    </row>
    <row r="57" spans="1:11" s="33" customFormat="1" ht="15.75" x14ac:dyDescent="0.25">
      <c r="A57" s="268" t="s">
        <v>61</v>
      </c>
      <c r="B57" s="269"/>
      <c r="C57" s="269"/>
      <c r="D57" s="269"/>
      <c r="E57" s="269"/>
      <c r="F57" s="269"/>
      <c r="G57" s="269"/>
      <c r="H57" s="270"/>
    </row>
    <row r="58" spans="1:11" s="33" customFormat="1" ht="28.5" customHeight="1" x14ac:dyDescent="0.25">
      <c r="A58" s="64">
        <f>A55+1</f>
        <v>19</v>
      </c>
      <c r="B58" s="234" t="s">
        <v>62</v>
      </c>
      <c r="C58" s="90">
        <v>1</v>
      </c>
      <c r="D58" s="90">
        <v>6358.75</v>
      </c>
      <c r="E58" s="90"/>
      <c r="F58" s="90">
        <v>1907.625</v>
      </c>
      <c r="G58" s="47">
        <f t="shared" ref="G58:G60" si="13">(C58*D58)+E58+F58</f>
        <v>8266.375</v>
      </c>
      <c r="H58" s="209">
        <f t="shared" ref="H58:H67" si="14">G58*12</f>
        <v>99196.5</v>
      </c>
    </row>
    <row r="59" spans="1:11" s="33" customFormat="1" ht="14.25" customHeight="1" x14ac:dyDescent="0.25">
      <c r="A59" s="45">
        <f t="shared" ref="A59:A67" si="15">A58+1</f>
        <v>20</v>
      </c>
      <c r="B59" s="234" t="s">
        <v>55</v>
      </c>
      <c r="C59" s="90">
        <f>0.5+1+0.25+1+1+1+1+1+0.25</f>
        <v>7</v>
      </c>
      <c r="D59" s="90">
        <v>6292.7142857142853</v>
      </c>
      <c r="E59" s="90"/>
      <c r="F59" s="90">
        <v>8999</v>
      </c>
      <c r="G59" s="47">
        <f>(C59*D59)+E59+F59</f>
        <v>53048</v>
      </c>
      <c r="H59" s="209">
        <f t="shared" si="14"/>
        <v>636576</v>
      </c>
      <c r="I59" s="48"/>
      <c r="J59" s="48"/>
    </row>
    <row r="60" spans="1:11" s="33" customFormat="1" ht="14.45" customHeight="1" x14ac:dyDescent="0.25">
      <c r="A60" s="45">
        <f t="shared" si="15"/>
        <v>21</v>
      </c>
      <c r="B60" s="237" t="s">
        <v>63</v>
      </c>
      <c r="C60" s="90">
        <v>1</v>
      </c>
      <c r="D60" s="90">
        <v>4772</v>
      </c>
      <c r="E60" s="90"/>
      <c r="F60" s="90">
        <v>1431.6</v>
      </c>
      <c r="G60" s="47">
        <f t="shared" si="13"/>
        <v>6203.6</v>
      </c>
      <c r="H60" s="209">
        <f t="shared" si="14"/>
        <v>74443.200000000012</v>
      </c>
      <c r="I60" s="48"/>
      <c r="J60" s="48"/>
    </row>
    <row r="61" spans="1:11" s="33" customFormat="1" ht="15.75" x14ac:dyDescent="0.25">
      <c r="A61" s="45">
        <f t="shared" si="15"/>
        <v>22</v>
      </c>
      <c r="B61" s="238" t="s">
        <v>64</v>
      </c>
      <c r="C61" s="91">
        <v>1</v>
      </c>
      <c r="D61" s="90">
        <v>4208.6000000000004</v>
      </c>
      <c r="E61" s="90"/>
      <c r="F61" s="90">
        <v>841.72000000000014</v>
      </c>
      <c r="G61" s="47">
        <f>(C61*D61)+E61+F61</f>
        <v>5050.3200000000006</v>
      </c>
      <c r="H61" s="209">
        <f t="shared" si="14"/>
        <v>60603.840000000011</v>
      </c>
      <c r="I61" s="48"/>
    </row>
    <row r="62" spans="1:11" s="33" customFormat="1" ht="33" customHeight="1" x14ac:dyDescent="0.25">
      <c r="A62" s="45">
        <f t="shared" si="15"/>
        <v>23</v>
      </c>
      <c r="B62" s="239" t="s">
        <v>65</v>
      </c>
      <c r="C62" s="91">
        <f>1+1+0.25+1+1+1+0.75+1+0.5+1+0.5+1</f>
        <v>10</v>
      </c>
      <c r="D62" s="90">
        <v>4503.3999999999996</v>
      </c>
      <c r="E62" s="92"/>
      <c r="F62" s="90">
        <v>9667.9499999999989</v>
      </c>
      <c r="G62" s="47">
        <f>(C62*D62)+E62+F62</f>
        <v>54701.95</v>
      </c>
      <c r="H62" s="209">
        <f t="shared" si="14"/>
        <v>656423.39999999991</v>
      </c>
      <c r="I62" s="48"/>
      <c r="J62" s="48"/>
      <c r="K62" s="48"/>
    </row>
    <row r="63" spans="1:11" s="33" customFormat="1" ht="18" customHeight="1" x14ac:dyDescent="0.25">
      <c r="A63" s="76">
        <f>A62+1</f>
        <v>24</v>
      </c>
      <c r="B63" s="239" t="s">
        <v>66</v>
      </c>
      <c r="C63" s="81">
        <v>5</v>
      </c>
      <c r="D63" s="77">
        <v>4363.2</v>
      </c>
      <c r="E63" s="77"/>
      <c r="F63" s="77">
        <v>4908.6000000000004</v>
      </c>
      <c r="G63" s="47">
        <f>(C63*D63)+E63+F63</f>
        <v>26724.6</v>
      </c>
      <c r="H63" s="209">
        <f t="shared" si="14"/>
        <v>320695.19999999995</v>
      </c>
      <c r="I63" s="48"/>
      <c r="K63" s="48"/>
    </row>
    <row r="64" spans="1:11" s="33" customFormat="1" ht="18" customHeight="1" x14ac:dyDescent="0.25">
      <c r="A64" s="76"/>
      <c r="B64" s="239" t="s">
        <v>67</v>
      </c>
      <c r="C64" s="81"/>
      <c r="D64" s="77"/>
      <c r="E64" s="77"/>
      <c r="F64" s="77"/>
      <c r="G64" s="47"/>
      <c r="H64" s="209"/>
      <c r="I64" s="48"/>
      <c r="K64" s="48"/>
    </row>
    <row r="65" spans="1:10" s="33" customFormat="1" ht="20.100000000000001" customHeight="1" x14ac:dyDescent="0.25">
      <c r="A65" s="93">
        <f>A63+1</f>
        <v>25</v>
      </c>
      <c r="B65" s="239" t="s">
        <v>66</v>
      </c>
      <c r="C65" s="81">
        <v>1.5</v>
      </c>
      <c r="D65" s="77">
        <v>7076</v>
      </c>
      <c r="E65" s="77"/>
      <c r="F65" s="77">
        <v>1159.6500000000001</v>
      </c>
      <c r="G65" s="47">
        <f>(C65*D65)+E65+F65</f>
        <v>11773.65</v>
      </c>
      <c r="H65" s="216">
        <f t="shared" ref="H65" si="16">G65*12</f>
        <v>141283.79999999999</v>
      </c>
      <c r="I65" s="94"/>
    </row>
    <row r="66" spans="1:10" s="33" customFormat="1" ht="29.25" customHeight="1" x14ac:dyDescent="0.25">
      <c r="A66" s="80">
        <f>A65+1</f>
        <v>26</v>
      </c>
      <c r="B66" s="95" t="s">
        <v>59</v>
      </c>
      <c r="C66" s="96">
        <f>1+1+1+0.5</f>
        <v>3.5</v>
      </c>
      <c r="D66" s="96">
        <v>2834.2857142857142</v>
      </c>
      <c r="E66" s="96">
        <v>868</v>
      </c>
      <c r="F66" s="96"/>
      <c r="G66" s="97">
        <f t="shared" ref="G66" si="17">(C66*D66)+E66+F66</f>
        <v>10788</v>
      </c>
      <c r="H66" s="212">
        <f t="shared" si="14"/>
        <v>129456</v>
      </c>
    </row>
    <row r="67" spans="1:10" s="33" customFormat="1" ht="21" customHeight="1" thickBot="1" x14ac:dyDescent="0.3">
      <c r="A67" s="83">
        <f t="shared" si="15"/>
        <v>27</v>
      </c>
      <c r="B67" s="98" t="s">
        <v>60</v>
      </c>
      <c r="C67" s="85">
        <f>1+0.5+1+0.5+0.5+0.5</f>
        <v>4</v>
      </c>
      <c r="D67" s="85">
        <v>3573.75</v>
      </c>
      <c r="E67" s="85"/>
      <c r="F67" s="85"/>
      <c r="G67" s="58">
        <f>(C67*D67)+E67+F67</f>
        <v>14295</v>
      </c>
      <c r="H67" s="210">
        <f t="shared" si="14"/>
        <v>171540</v>
      </c>
    </row>
    <row r="68" spans="1:10" s="33" customFormat="1" ht="21" customHeight="1" thickBot="1" x14ac:dyDescent="0.4">
      <c r="A68" s="73"/>
      <c r="B68" s="74" t="s">
        <v>46</v>
      </c>
      <c r="C68" s="75">
        <f t="shared" ref="C68:H68" si="18">SUM(C58:C67)</f>
        <v>34</v>
      </c>
      <c r="D68" s="75">
        <f t="shared" si="18"/>
        <v>43982.700000000004</v>
      </c>
      <c r="E68" s="75">
        <f t="shared" si="18"/>
        <v>868</v>
      </c>
      <c r="F68" s="75">
        <f t="shared" si="18"/>
        <v>28916.144999999997</v>
      </c>
      <c r="G68" s="75">
        <f t="shared" si="18"/>
        <v>190851.495</v>
      </c>
      <c r="H68" s="213">
        <f t="shared" si="18"/>
        <v>2290217.94</v>
      </c>
      <c r="I68" s="99"/>
      <c r="J68" s="48"/>
    </row>
    <row r="69" spans="1:10" ht="38.25" customHeight="1" thickBot="1" x14ac:dyDescent="0.25">
      <c r="A69" s="100" t="s">
        <v>26</v>
      </c>
      <c r="B69" s="101" t="s">
        <v>27</v>
      </c>
      <c r="C69" s="101" t="s">
        <v>28</v>
      </c>
      <c r="D69" s="102" t="s">
        <v>29</v>
      </c>
      <c r="E69" s="102" t="s">
        <v>30</v>
      </c>
      <c r="F69" s="103" t="s">
        <v>31</v>
      </c>
      <c r="G69" s="104" t="s">
        <v>68</v>
      </c>
      <c r="H69" s="217" t="s">
        <v>69</v>
      </c>
    </row>
    <row r="70" spans="1:10" ht="13.5" thickBot="1" x14ac:dyDescent="0.25">
      <c r="A70" s="105">
        <v>1</v>
      </c>
      <c r="B70" s="106">
        <f>A70+1</f>
        <v>2</v>
      </c>
      <c r="C70" s="107">
        <v>3</v>
      </c>
      <c r="D70" s="108">
        <v>4</v>
      </c>
      <c r="E70" s="108">
        <v>5</v>
      </c>
      <c r="F70" s="108">
        <v>6</v>
      </c>
      <c r="G70" s="109">
        <v>9</v>
      </c>
      <c r="H70" s="218">
        <v>10</v>
      </c>
    </row>
    <row r="71" spans="1:10" s="33" customFormat="1" ht="20.25" customHeight="1" x14ac:dyDescent="0.25">
      <c r="A71" s="271" t="s">
        <v>70</v>
      </c>
      <c r="B71" s="272"/>
      <c r="C71" s="272"/>
      <c r="D71" s="272"/>
      <c r="E71" s="272"/>
      <c r="F71" s="272"/>
      <c r="G71" s="272"/>
      <c r="H71" s="273"/>
      <c r="I71" s="48"/>
      <c r="J71" s="48"/>
    </row>
    <row r="72" spans="1:10" s="33" customFormat="1" ht="19.5" customHeight="1" thickBot="1" x14ac:dyDescent="0.3">
      <c r="A72" s="110">
        <f>A67+1</f>
        <v>28</v>
      </c>
      <c r="B72" s="240" t="s">
        <v>66</v>
      </c>
      <c r="C72" s="111">
        <v>1.5</v>
      </c>
      <c r="D72" s="85">
        <v>3636</v>
      </c>
      <c r="E72" s="85"/>
      <c r="F72" s="85">
        <v>1636.1999999999998</v>
      </c>
      <c r="G72" s="58">
        <f t="shared" ref="G72" si="19">(C72*D72)+E72+F72</f>
        <v>7090.2</v>
      </c>
      <c r="H72" s="210">
        <f t="shared" ref="H72" si="20">G72*12</f>
        <v>85082.4</v>
      </c>
      <c r="I72" s="48"/>
      <c r="J72" s="48"/>
    </row>
    <row r="73" spans="1:10" s="33" customFormat="1" ht="18.75" customHeight="1" thickBot="1" x14ac:dyDescent="0.3">
      <c r="A73" s="112"/>
      <c r="B73" s="113" t="s">
        <v>46</v>
      </c>
      <c r="C73" s="75">
        <f>SUM(C72)</f>
        <v>1.5</v>
      </c>
      <c r="D73" s="75">
        <f t="shared" ref="D73:H73" si="21">SUM(D72)</f>
        <v>3636</v>
      </c>
      <c r="E73" s="75">
        <f t="shared" si="21"/>
        <v>0</v>
      </c>
      <c r="F73" s="75">
        <f t="shared" si="21"/>
        <v>1636.1999999999998</v>
      </c>
      <c r="G73" s="75">
        <f t="shared" si="21"/>
        <v>7090.2</v>
      </c>
      <c r="H73" s="213">
        <f t="shared" si="21"/>
        <v>85082.4</v>
      </c>
      <c r="I73" s="48"/>
      <c r="J73" s="48"/>
    </row>
    <row r="74" spans="1:10" s="33" customFormat="1" ht="15" customHeight="1" x14ac:dyDescent="0.25">
      <c r="A74" s="274" t="s">
        <v>71</v>
      </c>
      <c r="B74" s="275"/>
      <c r="C74" s="275"/>
      <c r="D74" s="275"/>
      <c r="E74" s="275"/>
      <c r="F74" s="275"/>
      <c r="G74" s="275"/>
      <c r="H74" s="276"/>
      <c r="I74" s="48"/>
      <c r="J74" s="48"/>
    </row>
    <row r="75" spans="1:10" s="33" customFormat="1" ht="18" customHeight="1" thickBot="1" x14ac:dyDescent="0.3">
      <c r="A75" s="110">
        <f>A72+1</f>
        <v>29</v>
      </c>
      <c r="B75" s="240" t="s">
        <v>66</v>
      </c>
      <c r="C75" s="111">
        <v>1.5</v>
      </c>
      <c r="D75" s="85">
        <v>3636</v>
      </c>
      <c r="E75" s="85"/>
      <c r="F75" s="85">
        <v>1636.1999999999998</v>
      </c>
      <c r="G75" s="58">
        <f>(C75*D75)+E75+F75</f>
        <v>7090.2</v>
      </c>
      <c r="H75" s="210">
        <f>G75*12</f>
        <v>85082.4</v>
      </c>
      <c r="I75" s="48"/>
      <c r="J75" s="48"/>
    </row>
    <row r="76" spans="1:10" s="33" customFormat="1" ht="20.25" customHeight="1" thickBot="1" x14ac:dyDescent="0.3">
      <c r="A76" s="114"/>
      <c r="B76" s="115" t="s">
        <v>46</v>
      </c>
      <c r="C76" s="116">
        <f t="shared" ref="C76:H76" si="22">SUM(C75)</f>
        <v>1.5</v>
      </c>
      <c r="D76" s="116">
        <f t="shared" si="22"/>
        <v>3636</v>
      </c>
      <c r="E76" s="116">
        <f t="shared" si="22"/>
        <v>0</v>
      </c>
      <c r="F76" s="116">
        <f t="shared" si="22"/>
        <v>1636.1999999999998</v>
      </c>
      <c r="G76" s="116">
        <f t="shared" si="22"/>
        <v>7090.2</v>
      </c>
      <c r="H76" s="219">
        <f t="shared" si="22"/>
        <v>85082.4</v>
      </c>
      <c r="I76" s="48"/>
      <c r="J76" s="48"/>
    </row>
    <row r="77" spans="1:10" s="33" customFormat="1" ht="19.5" customHeight="1" x14ac:dyDescent="0.25">
      <c r="A77" s="277" t="s">
        <v>72</v>
      </c>
      <c r="B77" s="278"/>
      <c r="C77" s="278"/>
      <c r="D77" s="278"/>
      <c r="E77" s="278"/>
      <c r="F77" s="278"/>
      <c r="G77" s="278"/>
      <c r="H77" s="279"/>
      <c r="I77" s="94"/>
    </row>
    <row r="78" spans="1:10" s="33" customFormat="1" ht="15.75" x14ac:dyDescent="0.25">
      <c r="A78" s="93">
        <f>A75+1</f>
        <v>30</v>
      </c>
      <c r="B78" s="241" t="s">
        <v>116</v>
      </c>
      <c r="C78" s="117">
        <v>1</v>
      </c>
      <c r="D78" s="118">
        <v>4762.1499999999996</v>
      </c>
      <c r="E78" s="118"/>
      <c r="F78" s="118">
        <v>1428.6449999999998</v>
      </c>
      <c r="G78" s="119">
        <f>(C78*D78)+E78+F78</f>
        <v>6190.7949999999992</v>
      </c>
      <c r="H78" s="212">
        <f t="shared" ref="H78:H81" si="23">G78*12</f>
        <v>74289.539999999994</v>
      </c>
      <c r="I78" s="94">
        <v>1</v>
      </c>
    </row>
    <row r="79" spans="1:10" s="33" customFormat="1" ht="15.75" x14ac:dyDescent="0.25">
      <c r="A79" s="93">
        <f t="shared" ref="A79:A81" si="24">A78+1</f>
        <v>31</v>
      </c>
      <c r="B79" s="242" t="s">
        <v>73</v>
      </c>
      <c r="C79" s="120">
        <v>2.25</v>
      </c>
      <c r="D79" s="118">
        <v>3911.0222222222219</v>
      </c>
      <c r="E79" s="118"/>
      <c r="F79" s="118">
        <v>1649.9624999999996</v>
      </c>
      <c r="G79" s="119">
        <f>(C79*D79)+E79+F79</f>
        <v>10449.762499999999</v>
      </c>
      <c r="H79" s="212">
        <f t="shared" si="23"/>
        <v>125397.15</v>
      </c>
      <c r="I79" s="94"/>
    </row>
    <row r="80" spans="1:10" s="33" customFormat="1" ht="15.75" x14ac:dyDescent="0.25">
      <c r="A80" s="93">
        <f t="shared" si="24"/>
        <v>32</v>
      </c>
      <c r="B80" s="242" t="s">
        <v>74</v>
      </c>
      <c r="C80" s="120">
        <v>1.25</v>
      </c>
      <c r="D80" s="118">
        <v>6690.24</v>
      </c>
      <c r="E80" s="118"/>
      <c r="F80" s="118">
        <v>1568.0249999999999</v>
      </c>
      <c r="G80" s="119">
        <f>(C80*D80)+E80+F80</f>
        <v>9930.8249999999989</v>
      </c>
      <c r="H80" s="212">
        <f t="shared" si="23"/>
        <v>119169.9</v>
      </c>
      <c r="I80" s="94"/>
    </row>
    <row r="81" spans="1:11" s="33" customFormat="1" ht="16.5" thickBot="1" x14ac:dyDescent="0.3">
      <c r="A81" s="93">
        <f t="shared" si="24"/>
        <v>33</v>
      </c>
      <c r="B81" s="121" t="s">
        <v>75</v>
      </c>
      <c r="C81" s="122">
        <v>0.5</v>
      </c>
      <c r="D81" s="123">
        <v>2480</v>
      </c>
      <c r="E81" s="123">
        <v>124</v>
      </c>
      <c r="F81" s="123"/>
      <c r="G81" s="119">
        <f>(C81*D81)+E81+F81</f>
        <v>1364</v>
      </c>
      <c r="H81" s="212">
        <f t="shared" si="23"/>
        <v>16368</v>
      </c>
      <c r="I81" s="94"/>
    </row>
    <row r="82" spans="1:11" s="33" customFormat="1" ht="20.25" customHeight="1" thickBot="1" x14ac:dyDescent="0.3">
      <c r="A82" s="124"/>
      <c r="B82" s="87" t="s">
        <v>46</v>
      </c>
      <c r="C82" s="125">
        <f>SUM(C78:C81)</f>
        <v>5</v>
      </c>
      <c r="D82" s="125">
        <f t="shared" ref="D82:G82" si="25">SUM(D78:D81)</f>
        <v>17843.412222222221</v>
      </c>
      <c r="E82" s="125">
        <f t="shared" si="25"/>
        <v>124</v>
      </c>
      <c r="F82" s="125">
        <f t="shared" si="25"/>
        <v>4646.6324999999988</v>
      </c>
      <c r="G82" s="125">
        <f t="shared" si="25"/>
        <v>27935.3825</v>
      </c>
      <c r="H82" s="220">
        <f>SUM(H78:H81)</f>
        <v>335224.58999999997</v>
      </c>
      <c r="I82" s="94"/>
      <c r="J82" s="48"/>
    </row>
    <row r="83" spans="1:11" s="33" customFormat="1" ht="21" customHeight="1" x14ac:dyDescent="0.35">
      <c r="A83" s="292" t="s">
        <v>76</v>
      </c>
      <c r="B83" s="293"/>
      <c r="C83" s="293"/>
      <c r="D83" s="293"/>
      <c r="E83" s="293"/>
      <c r="F83" s="293"/>
      <c r="G83" s="293"/>
      <c r="H83" s="294"/>
      <c r="I83" s="48"/>
      <c r="J83" s="48"/>
    </row>
    <row r="84" spans="1:11" s="33" customFormat="1" ht="21" customHeight="1" thickBot="1" x14ac:dyDescent="0.3">
      <c r="A84" s="64">
        <f>A81+1</f>
        <v>34</v>
      </c>
      <c r="B84" s="243" t="s">
        <v>77</v>
      </c>
      <c r="C84" s="126">
        <v>1</v>
      </c>
      <c r="D84" s="46">
        <v>6041</v>
      </c>
      <c r="E84" s="127"/>
      <c r="F84" s="128">
        <v>1208.2</v>
      </c>
      <c r="G84" s="79">
        <f>(C84*D84)+E84+F84</f>
        <v>7249.2</v>
      </c>
      <c r="H84" s="212">
        <f t="shared" ref="H84" si="26">G84*12</f>
        <v>86990.399999999994</v>
      </c>
      <c r="I84" s="50"/>
      <c r="J84" s="49"/>
    </row>
    <row r="85" spans="1:11" s="33" customFormat="1" ht="21" customHeight="1" thickBot="1" x14ac:dyDescent="0.3">
      <c r="A85" s="252" t="s">
        <v>46</v>
      </c>
      <c r="B85" s="253"/>
      <c r="C85" s="129">
        <f>SUM(C84)</f>
        <v>1</v>
      </c>
      <c r="D85" s="129">
        <f t="shared" ref="D85:H85" si="27">SUM(D84)</f>
        <v>6041</v>
      </c>
      <c r="E85" s="129">
        <f t="shared" si="27"/>
        <v>0</v>
      </c>
      <c r="F85" s="129">
        <f t="shared" si="27"/>
        <v>1208.2</v>
      </c>
      <c r="G85" s="129">
        <f t="shared" si="27"/>
        <v>7249.2</v>
      </c>
      <c r="H85" s="221">
        <f t="shared" si="27"/>
        <v>86990.399999999994</v>
      </c>
      <c r="I85" s="48"/>
      <c r="J85" s="48"/>
    </row>
    <row r="86" spans="1:11" s="33" customFormat="1" ht="15" customHeight="1" x14ac:dyDescent="0.25">
      <c r="A86" s="268" t="s">
        <v>78</v>
      </c>
      <c r="B86" s="269"/>
      <c r="C86" s="269"/>
      <c r="D86" s="269"/>
      <c r="E86" s="269"/>
      <c r="F86" s="269"/>
      <c r="G86" s="269"/>
      <c r="H86" s="270"/>
    </row>
    <row r="87" spans="1:11" s="33" customFormat="1" ht="27.75" customHeight="1" x14ac:dyDescent="0.25">
      <c r="A87" s="76">
        <f>A84+1</f>
        <v>35</v>
      </c>
      <c r="B87" s="234" t="s">
        <v>54</v>
      </c>
      <c r="C87" s="77">
        <v>1</v>
      </c>
      <c r="D87" s="77">
        <v>5726.4</v>
      </c>
      <c r="E87" s="77"/>
      <c r="F87" s="77">
        <v>1717.9199999999998</v>
      </c>
      <c r="G87" s="47">
        <f>(C87*D87)+E87+F87</f>
        <v>7444.32</v>
      </c>
      <c r="H87" s="209">
        <f t="shared" ref="H87:H93" si="28">G87*12</f>
        <v>89331.839999999997</v>
      </c>
    </row>
    <row r="88" spans="1:11" s="33" customFormat="1" ht="16.5" customHeight="1" x14ac:dyDescent="0.25">
      <c r="A88" s="130">
        <f>A87+1</f>
        <v>36</v>
      </c>
      <c r="B88" s="234" t="s">
        <v>55</v>
      </c>
      <c r="C88" s="77">
        <f>0.5+1+1+1+0.5+1</f>
        <v>5</v>
      </c>
      <c r="D88" s="77">
        <v>6459.8</v>
      </c>
      <c r="E88" s="77"/>
      <c r="F88" s="77">
        <v>5324.9500000000007</v>
      </c>
      <c r="G88" s="47">
        <f>(C88*D88)+E88+F88</f>
        <v>37623.949999999997</v>
      </c>
      <c r="H88" s="209">
        <f t="shared" si="28"/>
        <v>451487.39999999997</v>
      </c>
      <c r="I88" s="48"/>
    </row>
    <row r="89" spans="1:11" s="33" customFormat="1" ht="14.25" customHeight="1" x14ac:dyDescent="0.25">
      <c r="A89" s="130">
        <f>A88+1</f>
        <v>37</v>
      </c>
      <c r="B89" s="239" t="s">
        <v>56</v>
      </c>
      <c r="C89" s="81">
        <v>1</v>
      </c>
      <c r="D89" s="77">
        <v>3999.6</v>
      </c>
      <c r="E89" s="77"/>
      <c r="F89" s="77">
        <v>1199.8799999999999</v>
      </c>
      <c r="G89" s="47">
        <f t="shared" ref="G89:G92" si="29">(C89*D89)+E89+F89</f>
        <v>5199.4799999999996</v>
      </c>
      <c r="H89" s="209">
        <f t="shared" si="28"/>
        <v>62393.759999999995</v>
      </c>
    </row>
    <row r="90" spans="1:11" s="33" customFormat="1" ht="32.25" customHeight="1" x14ac:dyDescent="0.25">
      <c r="A90" s="130">
        <f>A89+1</f>
        <v>38</v>
      </c>
      <c r="B90" s="239" t="s">
        <v>57</v>
      </c>
      <c r="C90" s="81">
        <v>2.5</v>
      </c>
      <c r="D90" s="77">
        <v>4591.2</v>
      </c>
      <c r="E90" s="77"/>
      <c r="F90" s="77">
        <v>1913.0000000000002</v>
      </c>
      <c r="G90" s="47">
        <f>(C90*D90)+E90+F90+0.02</f>
        <v>13391.02</v>
      </c>
      <c r="H90" s="209">
        <f t="shared" si="28"/>
        <v>160692.24</v>
      </c>
      <c r="I90" s="48"/>
    </row>
    <row r="91" spans="1:11" s="33" customFormat="1" ht="15.75" x14ac:dyDescent="0.25">
      <c r="A91" s="130">
        <f>A90+1</f>
        <v>39</v>
      </c>
      <c r="B91" s="239" t="s">
        <v>58</v>
      </c>
      <c r="C91" s="81">
        <v>2</v>
      </c>
      <c r="D91" s="77">
        <v>5454</v>
      </c>
      <c r="E91" s="77"/>
      <c r="F91" s="77">
        <v>1999.7999999999997</v>
      </c>
      <c r="G91" s="47">
        <f t="shared" si="29"/>
        <v>12907.8</v>
      </c>
      <c r="H91" s="209">
        <f t="shared" si="28"/>
        <v>154893.59999999998</v>
      </c>
      <c r="I91" s="48"/>
    </row>
    <row r="92" spans="1:11" s="33" customFormat="1" ht="30" customHeight="1" x14ac:dyDescent="0.25">
      <c r="A92" s="130">
        <f t="shared" ref="A92:A93" si="30">A91+1</f>
        <v>40</v>
      </c>
      <c r="B92" s="131" t="s">
        <v>59</v>
      </c>
      <c r="C92" s="77">
        <v>1</v>
      </c>
      <c r="D92" s="77">
        <v>2480</v>
      </c>
      <c r="E92" s="77">
        <v>248</v>
      </c>
      <c r="F92" s="77"/>
      <c r="G92" s="47">
        <f t="shared" si="29"/>
        <v>2728</v>
      </c>
      <c r="H92" s="209">
        <f t="shared" si="28"/>
        <v>32736</v>
      </c>
      <c r="I92" s="48"/>
    </row>
    <row r="93" spans="1:11" s="33" customFormat="1" ht="16.5" thickBot="1" x14ac:dyDescent="0.3">
      <c r="A93" s="132">
        <f t="shared" si="30"/>
        <v>41</v>
      </c>
      <c r="B93" s="98" t="s">
        <v>60</v>
      </c>
      <c r="C93" s="85">
        <v>2</v>
      </c>
      <c r="D93" s="85">
        <v>2859</v>
      </c>
      <c r="E93" s="85"/>
      <c r="F93" s="85"/>
      <c r="G93" s="58">
        <f>(C93*D93)+E93+F93</f>
        <v>5718</v>
      </c>
      <c r="H93" s="210">
        <f t="shared" si="28"/>
        <v>68616</v>
      </c>
    </row>
    <row r="94" spans="1:11" s="33" customFormat="1" ht="17.25" customHeight="1" thickBot="1" x14ac:dyDescent="0.3">
      <c r="A94" s="73"/>
      <c r="B94" s="74" t="s">
        <v>46</v>
      </c>
      <c r="C94" s="75">
        <f>SUM(C87:C93)</f>
        <v>14.5</v>
      </c>
      <c r="D94" s="75">
        <f t="shared" ref="D94:H94" si="31">SUM(D87:D93)</f>
        <v>31570</v>
      </c>
      <c r="E94" s="75">
        <f t="shared" si="31"/>
        <v>248</v>
      </c>
      <c r="F94" s="75">
        <f t="shared" si="31"/>
        <v>12155.55</v>
      </c>
      <c r="G94" s="75">
        <f t="shared" si="31"/>
        <v>85012.57</v>
      </c>
      <c r="H94" s="213">
        <f t="shared" si="31"/>
        <v>1020150.84</v>
      </c>
      <c r="I94" s="89">
        <v>62271.749999999993</v>
      </c>
      <c r="J94" s="89"/>
      <c r="K94" s="48"/>
    </row>
    <row r="95" spans="1:11" s="33" customFormat="1" ht="13.5" customHeight="1" x14ac:dyDescent="0.25">
      <c r="A95" s="268" t="s">
        <v>79</v>
      </c>
      <c r="B95" s="269"/>
      <c r="C95" s="269"/>
      <c r="D95" s="269"/>
      <c r="E95" s="269"/>
      <c r="F95" s="269"/>
      <c r="G95" s="269"/>
      <c r="H95" s="270"/>
    </row>
    <row r="96" spans="1:11" s="33" customFormat="1" ht="16.5" customHeight="1" x14ac:dyDescent="0.25">
      <c r="A96" s="130">
        <f>A93+1</f>
        <v>42</v>
      </c>
      <c r="B96" s="234" t="s">
        <v>80</v>
      </c>
      <c r="C96" s="81">
        <v>1</v>
      </c>
      <c r="D96" s="133">
        <v>5965</v>
      </c>
      <c r="E96" s="133"/>
      <c r="F96" s="133">
        <v>1789.5</v>
      </c>
      <c r="G96" s="134">
        <f t="shared" ref="G96:G105" si="32">(C96*D96)+E96+F96</f>
        <v>7754.5</v>
      </c>
      <c r="H96" s="209">
        <f t="shared" ref="H96:H105" si="33">G96*12</f>
        <v>93054</v>
      </c>
    </row>
    <row r="97" spans="1:12" s="33" customFormat="1" ht="15" customHeight="1" x14ac:dyDescent="0.25">
      <c r="A97" s="45">
        <f t="shared" ref="A97:A105" si="34">A96+1</f>
        <v>43</v>
      </c>
      <c r="B97" s="237" t="s">
        <v>63</v>
      </c>
      <c r="C97" s="81">
        <f>0.5+1+1+1+0.5+1+0.25+1+0.5+0.25+1</f>
        <v>8</v>
      </c>
      <c r="D97" s="133">
        <v>5052.875</v>
      </c>
      <c r="E97" s="133"/>
      <c r="F97" s="133">
        <v>8354.7000000000007</v>
      </c>
      <c r="G97" s="134">
        <f>(C97*D97)+E97+F97</f>
        <v>48777.7</v>
      </c>
      <c r="H97" s="209">
        <f t="shared" si="33"/>
        <v>585332.39999999991</v>
      </c>
      <c r="I97" s="48">
        <f>'[1]без сумісництва'!$L$489*'[1]без сумісництва'!$N$489+'[1]без сумісництва'!$L$492+'[1]без сумісництва'!$L$495+'[1]без сумісництва'!$L$498+'[1]без сумісництва'!$L$501+'[1]без сумісництва'!$L$504+'[1]без сумісництва'!$L$507*'[1]без сумісництва'!$N$507+'[1]без сумісництва'!$L$510+'[1]без сумісництва'!$L$516</f>
        <v>31573</v>
      </c>
      <c r="J97" s="48">
        <f>I97/8</f>
        <v>3946.625</v>
      </c>
      <c r="L97" s="48"/>
    </row>
    <row r="98" spans="1:12" s="33" customFormat="1" ht="17.25" customHeight="1" x14ac:dyDescent="0.25">
      <c r="A98" s="45">
        <f t="shared" si="34"/>
        <v>44</v>
      </c>
      <c r="B98" s="234" t="s">
        <v>55</v>
      </c>
      <c r="C98" s="81">
        <v>0.5</v>
      </c>
      <c r="D98" s="133">
        <v>4614</v>
      </c>
      <c r="E98" s="133"/>
      <c r="F98" s="133">
        <v>346.05</v>
      </c>
      <c r="G98" s="134">
        <f>(C98*D98)+E98+F98</f>
        <v>2653.05</v>
      </c>
      <c r="H98" s="209">
        <f t="shared" si="33"/>
        <v>31836.600000000002</v>
      </c>
      <c r="I98" s="48"/>
      <c r="J98" s="48"/>
      <c r="K98" s="48"/>
    </row>
    <row r="99" spans="1:12" s="33" customFormat="1" ht="15" customHeight="1" x14ac:dyDescent="0.25">
      <c r="A99" s="45">
        <f t="shared" si="34"/>
        <v>45</v>
      </c>
      <c r="B99" s="237" t="s">
        <v>81</v>
      </c>
      <c r="C99" s="81">
        <v>1</v>
      </c>
      <c r="D99" s="133">
        <v>4772</v>
      </c>
      <c r="E99" s="133"/>
      <c r="F99" s="133">
        <v>1431.6</v>
      </c>
      <c r="G99" s="134">
        <f t="shared" si="32"/>
        <v>6203.6</v>
      </c>
      <c r="H99" s="209">
        <f t="shared" si="33"/>
        <v>74443.200000000012</v>
      </c>
      <c r="I99" s="48"/>
    </row>
    <row r="100" spans="1:12" s="33" customFormat="1" ht="15" customHeight="1" x14ac:dyDescent="0.25">
      <c r="A100" s="45">
        <f t="shared" si="34"/>
        <v>46</v>
      </c>
      <c r="B100" s="237" t="s">
        <v>82</v>
      </c>
      <c r="C100" s="81">
        <v>1</v>
      </c>
      <c r="D100" s="133">
        <v>3826</v>
      </c>
      <c r="E100" s="133"/>
      <c r="F100" s="133">
        <v>0</v>
      </c>
      <c r="G100" s="134">
        <f t="shared" si="32"/>
        <v>3826</v>
      </c>
      <c r="H100" s="209">
        <f t="shared" si="33"/>
        <v>45912</v>
      </c>
    </row>
    <row r="101" spans="1:12" s="33" customFormat="1" ht="15" customHeight="1" x14ac:dyDescent="0.25">
      <c r="A101" s="45">
        <f t="shared" si="34"/>
        <v>47</v>
      </c>
      <c r="B101" s="239" t="s">
        <v>56</v>
      </c>
      <c r="C101" s="81">
        <v>1</v>
      </c>
      <c r="D101" s="133">
        <v>3999.6</v>
      </c>
      <c r="E101" s="133"/>
      <c r="F101" s="133">
        <v>799.92000000000007</v>
      </c>
      <c r="G101" s="134">
        <f t="shared" si="32"/>
        <v>4799.5200000000004</v>
      </c>
      <c r="H101" s="209">
        <f t="shared" si="33"/>
        <v>57594.240000000005</v>
      </c>
      <c r="I101" s="48"/>
      <c r="J101" s="48"/>
    </row>
    <row r="102" spans="1:12" s="33" customFormat="1" ht="15" customHeight="1" x14ac:dyDescent="0.25">
      <c r="A102" s="45">
        <f t="shared" si="34"/>
        <v>48</v>
      </c>
      <c r="B102" s="239" t="s">
        <v>58</v>
      </c>
      <c r="C102" s="81">
        <f>1+1+1+1+1+1+1+1+1+0.5</f>
        <v>9.5</v>
      </c>
      <c r="D102" s="81">
        <v>3827.3684210526317</v>
      </c>
      <c r="E102" s="81"/>
      <c r="F102" s="81">
        <v>8726.4000000000015</v>
      </c>
      <c r="G102" s="52">
        <f>(C102*D102)+E102+F102</f>
        <v>45086.400000000001</v>
      </c>
      <c r="H102" s="209">
        <f t="shared" si="33"/>
        <v>541036.80000000005</v>
      </c>
      <c r="I102" s="48"/>
    </row>
    <row r="103" spans="1:12" s="33" customFormat="1" ht="15" customHeight="1" x14ac:dyDescent="0.25">
      <c r="A103" s="130">
        <f t="shared" si="34"/>
        <v>49</v>
      </c>
      <c r="B103" s="239" t="s">
        <v>66</v>
      </c>
      <c r="C103" s="81">
        <v>2</v>
      </c>
      <c r="D103" s="81">
        <v>3636</v>
      </c>
      <c r="E103" s="81"/>
      <c r="F103" s="81">
        <v>2181.6</v>
      </c>
      <c r="G103" s="52">
        <f t="shared" si="32"/>
        <v>9453.6</v>
      </c>
      <c r="H103" s="209">
        <f t="shared" si="33"/>
        <v>113443.20000000001</v>
      </c>
      <c r="I103" s="48"/>
    </row>
    <row r="104" spans="1:12" s="33" customFormat="1" ht="30" customHeight="1" x14ac:dyDescent="0.25">
      <c r="A104" s="130">
        <f t="shared" si="34"/>
        <v>50</v>
      </c>
      <c r="B104" s="131" t="s">
        <v>59</v>
      </c>
      <c r="C104" s="81">
        <v>1.5</v>
      </c>
      <c r="D104" s="81">
        <v>3306.6666666666665</v>
      </c>
      <c r="E104" s="81">
        <v>372</v>
      </c>
      <c r="F104" s="81"/>
      <c r="G104" s="52">
        <f t="shared" si="32"/>
        <v>5332</v>
      </c>
      <c r="H104" s="209">
        <f t="shared" si="33"/>
        <v>63984</v>
      </c>
      <c r="I104" s="48"/>
    </row>
    <row r="105" spans="1:12" s="33" customFormat="1" ht="18.75" customHeight="1" thickBot="1" x14ac:dyDescent="0.3">
      <c r="A105" s="132">
        <f t="shared" si="34"/>
        <v>51</v>
      </c>
      <c r="B105" s="98" t="s">
        <v>60</v>
      </c>
      <c r="C105" s="85">
        <v>2</v>
      </c>
      <c r="D105" s="85">
        <v>2859</v>
      </c>
      <c r="E105" s="85"/>
      <c r="F105" s="85"/>
      <c r="G105" s="58">
        <f t="shared" si="32"/>
        <v>5718</v>
      </c>
      <c r="H105" s="210">
        <f t="shared" si="33"/>
        <v>68616</v>
      </c>
      <c r="I105" s="48"/>
    </row>
    <row r="106" spans="1:12" s="33" customFormat="1" ht="18" customHeight="1" thickBot="1" x14ac:dyDescent="0.3">
      <c r="A106" s="73"/>
      <c r="B106" s="74" t="s">
        <v>46</v>
      </c>
      <c r="C106" s="75">
        <f t="shared" ref="C106:H106" si="35">SUM(C96:C105)</f>
        <v>27.5</v>
      </c>
      <c r="D106" s="75">
        <f t="shared" si="35"/>
        <v>41858.510087719296</v>
      </c>
      <c r="E106" s="75">
        <f t="shared" si="35"/>
        <v>372</v>
      </c>
      <c r="F106" s="75">
        <f t="shared" si="35"/>
        <v>23629.77</v>
      </c>
      <c r="G106" s="75">
        <f t="shared" si="35"/>
        <v>139604.37000000002</v>
      </c>
      <c r="H106" s="213">
        <f t="shared" si="35"/>
        <v>1675252.44</v>
      </c>
      <c r="I106" s="89"/>
      <c r="J106" s="48"/>
    </row>
    <row r="107" spans="1:12" s="33" customFormat="1" ht="15" customHeight="1" x14ac:dyDescent="0.25">
      <c r="A107" s="268" t="s">
        <v>83</v>
      </c>
      <c r="B107" s="269"/>
      <c r="C107" s="269"/>
      <c r="D107" s="269"/>
      <c r="E107" s="269"/>
      <c r="F107" s="269"/>
      <c r="G107" s="269"/>
      <c r="H107" s="270"/>
      <c r="I107" s="48"/>
    </row>
    <row r="108" spans="1:12" s="33" customFormat="1" ht="19.5" customHeight="1" x14ac:dyDescent="0.25">
      <c r="A108" s="130">
        <f>A105+1</f>
        <v>52</v>
      </c>
      <c r="B108" s="234" t="s">
        <v>84</v>
      </c>
      <c r="C108" s="77">
        <v>1</v>
      </c>
      <c r="D108" s="77">
        <v>5965</v>
      </c>
      <c r="E108" s="77"/>
      <c r="F108" s="77">
        <v>1789.5</v>
      </c>
      <c r="G108" s="47">
        <f>(C108*D108)+E108+F108</f>
        <v>7754.5</v>
      </c>
      <c r="H108" s="209">
        <f t="shared" ref="H108:H113" si="36">G108*12</f>
        <v>93054</v>
      </c>
      <c r="I108" s="48"/>
      <c r="J108" s="48"/>
    </row>
    <row r="109" spans="1:12" s="33" customFormat="1" ht="16.5" customHeight="1" x14ac:dyDescent="0.25">
      <c r="A109" s="45">
        <f>A108+1</f>
        <v>53</v>
      </c>
      <c r="B109" s="237" t="s">
        <v>63</v>
      </c>
      <c r="C109" s="77">
        <f>0.5+1+1+1+0.25+1+1+1+1+0.25</f>
        <v>8</v>
      </c>
      <c r="D109" s="77">
        <v>5551</v>
      </c>
      <c r="E109" s="77"/>
      <c r="F109" s="77">
        <v>8302.3124999999982</v>
      </c>
      <c r="G109" s="47">
        <f>(C109*D109)+E109+F109</f>
        <v>52710.3125</v>
      </c>
      <c r="H109" s="209">
        <f t="shared" si="36"/>
        <v>632523.75</v>
      </c>
      <c r="I109" s="48"/>
      <c r="J109" s="48"/>
    </row>
    <row r="110" spans="1:12" s="33" customFormat="1" ht="15.75" x14ac:dyDescent="0.25">
      <c r="A110" s="45">
        <f>A109+1</f>
        <v>54</v>
      </c>
      <c r="B110" s="239" t="s">
        <v>56</v>
      </c>
      <c r="C110" s="81">
        <v>1</v>
      </c>
      <c r="D110" s="77">
        <v>3999.6</v>
      </c>
      <c r="E110" s="77"/>
      <c r="F110" s="77">
        <v>1199.8799999999999</v>
      </c>
      <c r="G110" s="47">
        <f>(C110*D110)+E110+F110</f>
        <v>5199.4799999999996</v>
      </c>
      <c r="H110" s="209">
        <f t="shared" si="36"/>
        <v>62393.759999999995</v>
      </c>
      <c r="I110" s="48"/>
    </row>
    <row r="111" spans="1:12" s="33" customFormat="1" ht="15.75" x14ac:dyDescent="0.25">
      <c r="A111" s="45">
        <f>A110+1</f>
        <v>55</v>
      </c>
      <c r="B111" s="239" t="s">
        <v>58</v>
      </c>
      <c r="C111" s="81">
        <f>1+1+1+1+1+1+1+0.5+0.5</f>
        <v>8</v>
      </c>
      <c r="D111" s="77">
        <v>4043.25</v>
      </c>
      <c r="E111" s="77"/>
      <c r="F111" s="81">
        <v>7560</v>
      </c>
      <c r="G111" s="47">
        <f>(C111*D111)+E111+F111</f>
        <v>39906</v>
      </c>
      <c r="H111" s="209">
        <f t="shared" si="36"/>
        <v>478872</v>
      </c>
      <c r="I111" s="48"/>
    </row>
    <row r="112" spans="1:12" s="33" customFormat="1" ht="31.5" x14ac:dyDescent="0.25">
      <c r="A112" s="45">
        <f t="shared" ref="A112:A113" si="37">A111+1</f>
        <v>56</v>
      </c>
      <c r="B112" s="238" t="s">
        <v>59</v>
      </c>
      <c r="C112" s="77">
        <v>1</v>
      </c>
      <c r="D112" s="77">
        <v>2480</v>
      </c>
      <c r="E112" s="77">
        <v>248</v>
      </c>
      <c r="F112" s="77"/>
      <c r="G112" s="47">
        <f>(C112*D112)+E112+F112</f>
        <v>2728</v>
      </c>
      <c r="H112" s="209">
        <f t="shared" si="36"/>
        <v>32736</v>
      </c>
      <c r="I112" s="48"/>
    </row>
    <row r="113" spans="1:12" s="33" customFormat="1" ht="18.75" customHeight="1" thickBot="1" x14ac:dyDescent="0.3">
      <c r="A113" s="56">
        <f t="shared" si="37"/>
        <v>57</v>
      </c>
      <c r="B113" s="98" t="s">
        <v>60</v>
      </c>
      <c r="C113" s="85">
        <v>1</v>
      </c>
      <c r="D113" s="85">
        <v>2859</v>
      </c>
      <c r="E113" s="85"/>
      <c r="F113" s="85"/>
      <c r="G113" s="58">
        <f t="shared" ref="G113" si="38">(C113*D113)+E113+F113</f>
        <v>2859</v>
      </c>
      <c r="H113" s="210">
        <f t="shared" si="36"/>
        <v>34308</v>
      </c>
    </row>
    <row r="114" spans="1:12" s="33" customFormat="1" ht="16.5" customHeight="1" thickBot="1" x14ac:dyDescent="0.3">
      <c r="A114" s="135"/>
      <c r="B114" s="136" t="s">
        <v>46</v>
      </c>
      <c r="C114" s="116">
        <f>SUM(C108:C113)</f>
        <v>20</v>
      </c>
      <c r="D114" s="116">
        <f t="shared" ref="D114:H114" si="39">SUM(D108:D113)</f>
        <v>24897.85</v>
      </c>
      <c r="E114" s="116">
        <f t="shared" si="39"/>
        <v>248</v>
      </c>
      <c r="F114" s="116">
        <f t="shared" si="39"/>
        <v>18851.692499999997</v>
      </c>
      <c r="G114" s="116">
        <f t="shared" si="39"/>
        <v>111157.2925</v>
      </c>
      <c r="H114" s="219">
        <f t="shared" si="39"/>
        <v>1333887.51</v>
      </c>
      <c r="I114" s="48"/>
      <c r="J114" s="48"/>
      <c r="K114" s="48"/>
    </row>
    <row r="115" spans="1:12" s="33" customFormat="1" ht="18.75" customHeight="1" x14ac:dyDescent="0.25">
      <c r="A115" s="274" t="s">
        <v>120</v>
      </c>
      <c r="B115" s="275"/>
      <c r="C115" s="275"/>
      <c r="D115" s="275"/>
      <c r="E115" s="275"/>
      <c r="F115" s="275"/>
      <c r="G115" s="275"/>
      <c r="H115" s="276"/>
      <c r="I115" s="48"/>
      <c r="J115" s="48"/>
    </row>
    <row r="116" spans="1:12" s="33" customFormat="1" ht="18" customHeight="1" thickBot="1" x14ac:dyDescent="0.3">
      <c r="A116" s="56">
        <f>A113+1</f>
        <v>58</v>
      </c>
      <c r="B116" s="240" t="s">
        <v>66</v>
      </c>
      <c r="C116" s="137">
        <v>3.5</v>
      </c>
      <c r="D116" s="85">
        <v>3711.4285714285716</v>
      </c>
      <c r="E116" s="66"/>
      <c r="F116" s="85">
        <v>1431.45</v>
      </c>
      <c r="G116" s="58">
        <f>(C116*D116)+E116+F116</f>
        <v>14421.45</v>
      </c>
      <c r="H116" s="210">
        <f t="shared" ref="H116" si="40">G116*12</f>
        <v>173057.40000000002</v>
      </c>
      <c r="I116" s="48"/>
      <c r="J116" s="48"/>
    </row>
    <row r="117" spans="1:12" s="33" customFormat="1" ht="22.5" customHeight="1" thickBot="1" x14ac:dyDescent="0.3">
      <c r="A117" s="135"/>
      <c r="B117" s="136" t="s">
        <v>46</v>
      </c>
      <c r="C117" s="116">
        <f>SUM(C116)</f>
        <v>3.5</v>
      </c>
      <c r="D117" s="116">
        <f t="shared" ref="D117:H117" si="41">SUM(D116)</f>
        <v>3711.4285714285716</v>
      </c>
      <c r="E117" s="116">
        <f t="shared" si="41"/>
        <v>0</v>
      </c>
      <c r="F117" s="116">
        <f t="shared" si="41"/>
        <v>1431.45</v>
      </c>
      <c r="G117" s="116">
        <f t="shared" si="41"/>
        <v>14421.45</v>
      </c>
      <c r="H117" s="219">
        <f t="shared" si="41"/>
        <v>173057.40000000002</v>
      </c>
      <c r="I117" s="48"/>
      <c r="J117" s="48"/>
    </row>
    <row r="118" spans="1:12" s="33" customFormat="1" ht="18.75" customHeight="1" x14ac:dyDescent="0.25">
      <c r="A118" s="271" t="s">
        <v>85</v>
      </c>
      <c r="B118" s="272"/>
      <c r="C118" s="272"/>
      <c r="D118" s="272"/>
      <c r="E118" s="272"/>
      <c r="F118" s="272"/>
      <c r="G118" s="272"/>
      <c r="H118" s="273"/>
      <c r="I118" s="48"/>
      <c r="J118" s="48"/>
    </row>
    <row r="119" spans="1:12" s="33" customFormat="1" ht="17.25" customHeight="1" x14ac:dyDescent="0.25">
      <c r="A119" s="64">
        <f>A116+1</f>
        <v>59</v>
      </c>
      <c r="B119" s="242" t="s">
        <v>86</v>
      </c>
      <c r="C119" s="77">
        <v>1</v>
      </c>
      <c r="D119" s="77">
        <v>4141</v>
      </c>
      <c r="E119" s="138"/>
      <c r="F119" s="138">
        <v>414.1</v>
      </c>
      <c r="G119" s="47">
        <f>(C119*D119)+E119+F119</f>
        <v>4555.1000000000004</v>
      </c>
      <c r="H119" s="209">
        <f>G119*12</f>
        <v>54661.200000000004</v>
      </c>
      <c r="I119" s="48"/>
      <c r="J119" s="48"/>
    </row>
    <row r="120" spans="1:12" s="33" customFormat="1" ht="17.25" customHeight="1" x14ac:dyDescent="0.25">
      <c r="A120" s="64">
        <f>A119+1</f>
        <v>60</v>
      </c>
      <c r="B120" s="234" t="s">
        <v>55</v>
      </c>
      <c r="C120" s="90">
        <f>1+0.5</f>
        <v>1.5</v>
      </c>
      <c r="D120" s="77">
        <v>4666.666666666667</v>
      </c>
      <c r="E120" s="77"/>
      <c r="F120" s="77">
        <v>1447.3</v>
      </c>
      <c r="G120" s="47">
        <f>(C120*D120)+E120+F120</f>
        <v>8447.2999999999993</v>
      </c>
      <c r="H120" s="209">
        <f t="shared" ref="H120:H122" si="42">G120*12</f>
        <v>101367.59999999999</v>
      </c>
      <c r="I120" s="48"/>
      <c r="J120" s="48"/>
    </row>
    <row r="121" spans="1:12" s="33" customFormat="1" ht="16.5" customHeight="1" thickBot="1" x14ac:dyDescent="0.3">
      <c r="A121" s="110">
        <f>A120+1</f>
        <v>61</v>
      </c>
      <c r="B121" s="240" t="s">
        <v>65</v>
      </c>
      <c r="C121" s="111">
        <v>2</v>
      </c>
      <c r="D121" s="85">
        <v>3678.75</v>
      </c>
      <c r="E121" s="85"/>
      <c r="F121" s="85">
        <v>2207.25</v>
      </c>
      <c r="G121" s="58">
        <f>(C121*D121)+E121+F121</f>
        <v>9564.75</v>
      </c>
      <c r="H121" s="210">
        <f t="shared" si="42"/>
        <v>114777</v>
      </c>
      <c r="I121" s="48"/>
      <c r="J121" s="48"/>
    </row>
    <row r="122" spans="1:12" s="33" customFormat="1" ht="16.5" customHeight="1" thickBot="1" x14ac:dyDescent="0.3">
      <c r="A122" s="68">
        <v>62</v>
      </c>
      <c r="B122" s="240" t="s">
        <v>66</v>
      </c>
      <c r="C122" s="202">
        <v>1</v>
      </c>
      <c r="D122" s="203">
        <v>3636</v>
      </c>
      <c r="E122" s="203"/>
      <c r="F122" s="203">
        <v>1090.8</v>
      </c>
      <c r="G122" s="58">
        <f>(C122*D122)+E122+F122</f>
        <v>4726.8</v>
      </c>
      <c r="H122" s="210">
        <f t="shared" si="42"/>
        <v>56721.600000000006</v>
      </c>
      <c r="I122" s="48"/>
      <c r="J122" s="48"/>
    </row>
    <row r="123" spans="1:12" s="33" customFormat="1" ht="20.100000000000001" customHeight="1" thickBot="1" x14ac:dyDescent="0.3">
      <c r="A123" s="139"/>
      <c r="B123" s="140" t="s">
        <v>46</v>
      </c>
      <c r="C123" s="88">
        <f>SUM(C119:C122)</f>
        <v>5.5</v>
      </c>
      <c r="D123" s="88">
        <f t="shared" ref="D123:H123" si="43">SUM(D119:D122)</f>
        <v>16122.416666666668</v>
      </c>
      <c r="E123" s="88">
        <f t="shared" si="43"/>
        <v>0</v>
      </c>
      <c r="F123" s="88">
        <f t="shared" si="43"/>
        <v>5159.45</v>
      </c>
      <c r="G123" s="88">
        <f>SUM(G119:G122)</f>
        <v>27293.95</v>
      </c>
      <c r="H123" s="88">
        <f t="shared" si="43"/>
        <v>327527.40000000002</v>
      </c>
      <c r="I123" s="48"/>
      <c r="J123" s="48"/>
    </row>
    <row r="124" spans="1:12" s="33" customFormat="1" ht="50.25" customHeight="1" thickBot="1" x14ac:dyDescent="0.3">
      <c r="A124" s="141" t="s">
        <v>26</v>
      </c>
      <c r="B124" s="142" t="s">
        <v>27</v>
      </c>
      <c r="C124" s="142" t="s">
        <v>28</v>
      </c>
      <c r="D124" s="143" t="s">
        <v>29</v>
      </c>
      <c r="E124" s="143" t="s">
        <v>30</v>
      </c>
      <c r="F124" s="144" t="s">
        <v>31</v>
      </c>
      <c r="G124" s="145" t="s">
        <v>68</v>
      </c>
      <c r="H124" s="222" t="s">
        <v>69</v>
      </c>
    </row>
    <row r="125" spans="1:12" s="33" customFormat="1" ht="16.5" thickBot="1" x14ac:dyDescent="0.3">
      <c r="A125" s="146">
        <v>1</v>
      </c>
      <c r="B125" s="147">
        <f>A125+1</f>
        <v>2</v>
      </c>
      <c r="C125" s="44">
        <v>3</v>
      </c>
      <c r="D125" s="148">
        <v>4</v>
      </c>
      <c r="E125" s="148">
        <v>5</v>
      </c>
      <c r="F125" s="148">
        <v>6</v>
      </c>
      <c r="G125" s="149">
        <v>9</v>
      </c>
      <c r="H125" s="223">
        <v>10</v>
      </c>
    </row>
    <row r="126" spans="1:12" s="33" customFormat="1" ht="20.100000000000001" customHeight="1" x14ac:dyDescent="0.25">
      <c r="A126" s="274" t="s">
        <v>87</v>
      </c>
      <c r="B126" s="275"/>
      <c r="C126" s="275"/>
      <c r="D126" s="275"/>
      <c r="E126" s="275"/>
      <c r="F126" s="275"/>
      <c r="G126" s="275"/>
      <c r="H126" s="276"/>
      <c r="I126" s="94"/>
    </row>
    <row r="127" spans="1:12" s="33" customFormat="1" ht="20.100000000000001" customHeight="1" x14ac:dyDescent="0.25">
      <c r="A127" s="150">
        <v>63</v>
      </c>
      <c r="B127" s="244" t="s">
        <v>88</v>
      </c>
      <c r="C127" s="151">
        <v>1</v>
      </c>
      <c r="D127" s="77">
        <v>5249.2</v>
      </c>
      <c r="E127" s="152"/>
      <c r="F127" s="77">
        <v>1574.76</v>
      </c>
      <c r="G127" s="119">
        <f>(C127*D127)+E127+F127</f>
        <v>6823.96</v>
      </c>
      <c r="H127" s="212">
        <f t="shared" ref="H127:H128" si="44">G127*12</f>
        <v>81887.520000000004</v>
      </c>
      <c r="I127" s="94"/>
      <c r="L127" s="33">
        <v>1</v>
      </c>
    </row>
    <row r="128" spans="1:12" s="33" customFormat="1" ht="18" customHeight="1" x14ac:dyDescent="0.25">
      <c r="A128" s="93">
        <v>64</v>
      </c>
      <c r="B128" s="236" t="s">
        <v>56</v>
      </c>
      <c r="C128" s="81">
        <v>1</v>
      </c>
      <c r="D128" s="77">
        <v>3655.3</v>
      </c>
      <c r="E128" s="77"/>
      <c r="F128" s="77">
        <v>1199.8799999999999</v>
      </c>
      <c r="G128" s="119">
        <f>(C128*D128)+E128+F128</f>
        <v>4855.18</v>
      </c>
      <c r="H128" s="212">
        <f t="shared" si="44"/>
        <v>58262.16</v>
      </c>
      <c r="I128" s="94"/>
    </row>
    <row r="129" spans="1:16" s="33" customFormat="1" ht="16.5" customHeight="1" thickBot="1" x14ac:dyDescent="0.3">
      <c r="A129" s="68">
        <v>65</v>
      </c>
      <c r="B129" s="240" t="s">
        <v>66</v>
      </c>
      <c r="C129" s="202">
        <v>1</v>
      </c>
      <c r="D129" s="203">
        <v>3636</v>
      </c>
      <c r="E129" s="203"/>
      <c r="F129" s="203">
        <v>501.29999999999995</v>
      </c>
      <c r="G129" s="58">
        <f>(C129*D129)+E129+F129</f>
        <v>4137.3</v>
      </c>
      <c r="H129" s="210">
        <f>G129*12</f>
        <v>49647.600000000006</v>
      </c>
      <c r="I129" s="48"/>
      <c r="J129" s="48"/>
    </row>
    <row r="130" spans="1:16" s="33" customFormat="1" ht="20.100000000000001" customHeight="1" thickBot="1" x14ac:dyDescent="0.3">
      <c r="A130" s="153">
        <v>66</v>
      </c>
      <c r="B130" s="140" t="s">
        <v>46</v>
      </c>
      <c r="C130" s="125">
        <f>SUM(C127:C129)</f>
        <v>3</v>
      </c>
      <c r="D130" s="125">
        <f t="shared" ref="D130:H130" si="45">SUM(D127:D129)</f>
        <v>12540.5</v>
      </c>
      <c r="E130" s="125">
        <f t="shared" si="45"/>
        <v>0</v>
      </c>
      <c r="F130" s="125">
        <f t="shared" si="45"/>
        <v>3275.9399999999996</v>
      </c>
      <c r="G130" s="125">
        <f t="shared" si="45"/>
        <v>15816.439999999999</v>
      </c>
      <c r="H130" s="125">
        <f t="shared" si="45"/>
        <v>189797.28</v>
      </c>
      <c r="I130" s="94"/>
    </row>
    <row r="131" spans="1:16" s="33" customFormat="1" ht="15" customHeight="1" thickBot="1" x14ac:dyDescent="0.3">
      <c r="A131" s="284" t="s">
        <v>89</v>
      </c>
      <c r="B131" s="285"/>
      <c r="C131" s="285"/>
      <c r="D131" s="285"/>
      <c r="E131" s="285"/>
      <c r="F131" s="285"/>
      <c r="G131" s="285"/>
      <c r="H131" s="286"/>
    </row>
    <row r="132" spans="1:16" s="33" customFormat="1" ht="15.75" customHeight="1" x14ac:dyDescent="0.25">
      <c r="A132" s="154">
        <v>66</v>
      </c>
      <c r="B132" s="244" t="s">
        <v>90</v>
      </c>
      <c r="C132" s="96">
        <v>1</v>
      </c>
      <c r="D132" s="96">
        <v>4208.6000000000004</v>
      </c>
      <c r="E132" s="96"/>
      <c r="F132" s="96">
        <v>420.86000000000007</v>
      </c>
      <c r="G132" s="79">
        <f>(C132*D132)+E132+F132</f>
        <v>4629.46</v>
      </c>
      <c r="H132" s="212">
        <f t="shared" ref="H132:H134" si="46">G132*12</f>
        <v>55553.520000000004</v>
      </c>
      <c r="I132" s="48"/>
      <c r="J132" s="48"/>
      <c r="K132" s="48"/>
    </row>
    <row r="133" spans="1:16" s="33" customFormat="1" ht="15.75" x14ac:dyDescent="0.25">
      <c r="A133" s="154">
        <v>67</v>
      </c>
      <c r="B133" s="244" t="s">
        <v>91</v>
      </c>
      <c r="C133" s="96">
        <v>0.5</v>
      </c>
      <c r="D133" s="96">
        <v>3826</v>
      </c>
      <c r="E133" s="96"/>
      <c r="F133" s="96">
        <v>191.3</v>
      </c>
      <c r="G133" s="79">
        <f>(C133*D133)+E133+F133</f>
        <v>2104.3000000000002</v>
      </c>
      <c r="H133" s="212">
        <f t="shared" si="46"/>
        <v>25251.600000000002</v>
      </c>
      <c r="J133" s="48"/>
    </row>
    <row r="134" spans="1:16" s="33" customFormat="1" ht="16.5" thickBot="1" x14ac:dyDescent="0.3">
      <c r="A134" s="154">
        <v>68</v>
      </c>
      <c r="B134" s="155" t="s">
        <v>92</v>
      </c>
      <c r="C134" s="47">
        <v>1</v>
      </c>
      <c r="D134" s="47">
        <v>3048</v>
      </c>
      <c r="E134" s="47"/>
      <c r="F134" s="47"/>
      <c r="G134" s="79">
        <f t="shared" ref="G134" si="47">(C134*D134)+E134+F134</f>
        <v>3048</v>
      </c>
      <c r="H134" s="212">
        <f t="shared" si="46"/>
        <v>36576</v>
      </c>
      <c r="J134" s="48"/>
    </row>
    <row r="135" spans="1:16" s="33" customFormat="1" ht="17.25" customHeight="1" thickBot="1" x14ac:dyDescent="0.3">
      <c r="A135" s="156"/>
      <c r="B135" s="157" t="s">
        <v>46</v>
      </c>
      <c r="C135" s="158">
        <f t="shared" ref="C135:H135" si="48">SUM(C132:C134)</f>
        <v>2.5</v>
      </c>
      <c r="D135" s="158">
        <f t="shared" si="48"/>
        <v>11082.6</v>
      </c>
      <c r="E135" s="158">
        <f t="shared" si="48"/>
        <v>0</v>
      </c>
      <c r="F135" s="158">
        <f t="shared" si="48"/>
        <v>612.16000000000008</v>
      </c>
      <c r="G135" s="158">
        <f t="shared" si="48"/>
        <v>9781.76</v>
      </c>
      <c r="H135" s="224">
        <f t="shared" si="48"/>
        <v>117381.12000000001</v>
      </c>
      <c r="I135" s="94">
        <f>'[2]тариф 01.06.19р.'!$Z$108</f>
        <v>15098.71</v>
      </c>
    </row>
    <row r="136" spans="1:16" s="33" customFormat="1" ht="17.25" customHeight="1" x14ac:dyDescent="0.25">
      <c r="A136" s="287" t="s">
        <v>93</v>
      </c>
      <c r="B136" s="288"/>
      <c r="C136" s="288"/>
      <c r="D136" s="288"/>
      <c r="E136" s="288"/>
      <c r="F136" s="288"/>
      <c r="G136" s="288"/>
      <c r="H136" s="288"/>
      <c r="I136" s="94"/>
    </row>
    <row r="137" spans="1:16" s="33" customFormat="1" ht="15.75" x14ac:dyDescent="0.25">
      <c r="A137" s="64">
        <v>69</v>
      </c>
      <c r="B137" s="155" t="s">
        <v>94</v>
      </c>
      <c r="C137" s="47">
        <v>1</v>
      </c>
      <c r="D137" s="47">
        <v>3237</v>
      </c>
      <c r="E137" s="47"/>
      <c r="F137" s="47"/>
      <c r="G137" s="79">
        <f>(C137*D137)+E137+F137</f>
        <v>3237</v>
      </c>
      <c r="H137" s="212">
        <f t="shared" ref="H137:H140" si="49">G137*12</f>
        <v>38844</v>
      </c>
      <c r="I137" s="48"/>
      <c r="P137" s="159"/>
    </row>
    <row r="138" spans="1:16" s="33" customFormat="1" ht="15.75" x14ac:dyDescent="0.25">
      <c r="A138" s="45">
        <v>70</v>
      </c>
      <c r="B138" s="155" t="s">
        <v>95</v>
      </c>
      <c r="C138" s="47">
        <v>0.5</v>
      </c>
      <c r="D138" s="47">
        <v>3447</v>
      </c>
      <c r="E138" s="47"/>
      <c r="F138" s="47"/>
      <c r="G138" s="79">
        <f>(C138*D138)+E138+F138</f>
        <v>1723.5</v>
      </c>
      <c r="H138" s="212">
        <f t="shared" si="49"/>
        <v>20682</v>
      </c>
      <c r="I138" s="48"/>
    </row>
    <row r="139" spans="1:16" s="33" customFormat="1" ht="15.75" x14ac:dyDescent="0.25">
      <c r="A139" s="45">
        <v>71</v>
      </c>
      <c r="B139" s="155" t="s">
        <v>96</v>
      </c>
      <c r="C139" s="47">
        <v>0.5</v>
      </c>
      <c r="D139" s="47">
        <v>3237</v>
      </c>
      <c r="E139" s="47"/>
      <c r="F139" s="47"/>
      <c r="G139" s="79">
        <v>1479</v>
      </c>
      <c r="H139" s="212">
        <f t="shared" si="49"/>
        <v>17748</v>
      </c>
      <c r="I139" s="48"/>
      <c r="P139" s="159"/>
    </row>
    <row r="140" spans="1:16" s="33" customFormat="1" ht="16.5" thickBot="1" x14ac:dyDescent="0.3">
      <c r="A140" s="154">
        <v>72</v>
      </c>
      <c r="B140" s="155" t="s">
        <v>97</v>
      </c>
      <c r="C140" s="47">
        <v>1</v>
      </c>
      <c r="D140" s="47">
        <v>3237</v>
      </c>
      <c r="E140" s="47"/>
      <c r="F140" s="47"/>
      <c r="G140" s="79">
        <f>(C140*D140)+E140+F140</f>
        <v>3237</v>
      </c>
      <c r="H140" s="212">
        <f t="shared" si="49"/>
        <v>38844</v>
      </c>
    </row>
    <row r="141" spans="1:16" s="33" customFormat="1" ht="17.25" customHeight="1" thickBot="1" x14ac:dyDescent="0.3">
      <c r="A141" s="156"/>
      <c r="B141" s="157" t="s">
        <v>46</v>
      </c>
      <c r="C141" s="158">
        <f>SUM(C137:C140)</f>
        <v>3</v>
      </c>
      <c r="D141" s="158">
        <f t="shared" ref="D141:H141" si="50">SUM(D137:D140)</f>
        <v>13158</v>
      </c>
      <c r="E141" s="158">
        <f t="shared" si="50"/>
        <v>0</v>
      </c>
      <c r="F141" s="158">
        <f t="shared" si="50"/>
        <v>0</v>
      </c>
      <c r="G141" s="158">
        <f t="shared" si="50"/>
        <v>9676.5</v>
      </c>
      <c r="H141" s="224">
        <f t="shared" si="50"/>
        <v>116118</v>
      </c>
      <c r="I141" s="94"/>
    </row>
    <row r="142" spans="1:16" s="33" customFormat="1" ht="16.5" customHeight="1" x14ac:dyDescent="0.25">
      <c r="A142" s="254" t="s">
        <v>98</v>
      </c>
      <c r="B142" s="255"/>
      <c r="C142" s="255"/>
      <c r="D142" s="255"/>
      <c r="E142" s="255"/>
      <c r="F142" s="255"/>
      <c r="G142" s="255"/>
      <c r="H142" s="256"/>
      <c r="I142" s="160"/>
    </row>
    <row r="143" spans="1:16" s="33" customFormat="1" ht="15.75" x14ac:dyDescent="0.25">
      <c r="A143" s="64">
        <v>73</v>
      </c>
      <c r="B143" s="161" t="s">
        <v>99</v>
      </c>
      <c r="C143" s="47">
        <v>1</v>
      </c>
      <c r="D143" s="47">
        <v>3237</v>
      </c>
      <c r="E143" s="47"/>
      <c r="F143" s="47"/>
      <c r="G143" s="47">
        <f>(C143*D143)+E143+F143</f>
        <v>3237</v>
      </c>
      <c r="H143" s="209">
        <f t="shared" ref="H143:H151" si="51">G143*12</f>
        <v>38844</v>
      </c>
      <c r="I143" s="50"/>
    </row>
    <row r="144" spans="1:16" s="33" customFormat="1" ht="15.75" x14ac:dyDescent="0.25">
      <c r="A144" s="162">
        <v>74</v>
      </c>
      <c r="B144" s="55" t="s">
        <v>100</v>
      </c>
      <c r="C144" s="163">
        <v>1</v>
      </c>
      <c r="D144" s="52">
        <v>2670</v>
      </c>
      <c r="E144" s="47"/>
      <c r="F144" s="47"/>
      <c r="G144" s="47">
        <f>(C144*D144)+E144+F144</f>
        <v>2670</v>
      </c>
      <c r="H144" s="209">
        <f t="shared" si="51"/>
        <v>32040</v>
      </c>
    </row>
    <row r="145" spans="1:10" s="33" customFormat="1" ht="15.75" x14ac:dyDescent="0.25">
      <c r="A145" s="164">
        <v>75</v>
      </c>
      <c r="B145" s="55" t="s">
        <v>101</v>
      </c>
      <c r="C145" s="52">
        <f>0.5+0.25+0.25+1</f>
        <v>2</v>
      </c>
      <c r="D145" s="52">
        <v>2670</v>
      </c>
      <c r="E145" s="47"/>
      <c r="F145" s="47"/>
      <c r="G145" s="47">
        <f t="shared" ref="G145:G151" si="52">(C145*D145)+E145+F145</f>
        <v>5340</v>
      </c>
      <c r="H145" s="209">
        <f t="shared" si="51"/>
        <v>64080</v>
      </c>
    </row>
    <row r="146" spans="1:10" s="33" customFormat="1" ht="15.75" x14ac:dyDescent="0.25">
      <c r="A146" s="164">
        <v>76</v>
      </c>
      <c r="B146" s="55" t="s">
        <v>102</v>
      </c>
      <c r="C146" s="163">
        <v>2</v>
      </c>
      <c r="D146" s="52">
        <v>2102</v>
      </c>
      <c r="E146" s="47"/>
      <c r="F146" s="47"/>
      <c r="G146" s="47">
        <f t="shared" si="52"/>
        <v>4204</v>
      </c>
      <c r="H146" s="209">
        <f t="shared" si="51"/>
        <v>50448</v>
      </c>
    </row>
    <row r="147" spans="1:10" s="33" customFormat="1" ht="15.75" x14ac:dyDescent="0.25">
      <c r="A147" s="164">
        <v>77</v>
      </c>
      <c r="B147" s="131" t="s">
        <v>103</v>
      </c>
      <c r="C147" s="163">
        <v>0.5</v>
      </c>
      <c r="D147" s="52">
        <v>2480</v>
      </c>
      <c r="E147" s="47"/>
      <c r="F147" s="47"/>
      <c r="G147" s="47">
        <f t="shared" si="52"/>
        <v>1240</v>
      </c>
      <c r="H147" s="209">
        <f t="shared" si="51"/>
        <v>14880</v>
      </c>
    </row>
    <row r="148" spans="1:10" s="33" customFormat="1" ht="17.25" customHeight="1" x14ac:dyDescent="0.25">
      <c r="A148" s="45">
        <v>78</v>
      </c>
      <c r="B148" s="161" t="s">
        <v>104</v>
      </c>
      <c r="C148" s="165">
        <v>0.75</v>
      </c>
      <c r="D148" s="52">
        <v>2102</v>
      </c>
      <c r="E148" s="166"/>
      <c r="F148" s="166"/>
      <c r="G148" s="47">
        <f t="shared" si="52"/>
        <v>1576.5</v>
      </c>
      <c r="H148" s="209">
        <f t="shared" si="51"/>
        <v>18918</v>
      </c>
    </row>
    <row r="149" spans="1:10" s="33" customFormat="1" ht="17.25" customHeight="1" x14ac:dyDescent="0.25">
      <c r="A149" s="45">
        <v>79</v>
      </c>
      <c r="B149" s="161" t="s">
        <v>105</v>
      </c>
      <c r="C149" s="165">
        <v>0.5</v>
      </c>
      <c r="D149" s="52">
        <v>2670</v>
      </c>
      <c r="E149" s="166"/>
      <c r="F149" s="166"/>
      <c r="G149" s="47">
        <f t="shared" si="52"/>
        <v>1335</v>
      </c>
      <c r="H149" s="209">
        <f t="shared" si="51"/>
        <v>16020</v>
      </c>
    </row>
    <row r="150" spans="1:10" s="33" customFormat="1" ht="15.75" x14ac:dyDescent="0.25">
      <c r="A150" s="45">
        <v>80</v>
      </c>
      <c r="B150" s="55" t="s">
        <v>106</v>
      </c>
      <c r="C150" s="163">
        <v>2</v>
      </c>
      <c r="D150" s="52">
        <v>2291</v>
      </c>
      <c r="E150" s="47"/>
      <c r="F150" s="47">
        <v>1145.5</v>
      </c>
      <c r="G150" s="47">
        <f>(C150*D150)+E150+F150</f>
        <v>5727.5</v>
      </c>
      <c r="H150" s="209">
        <f t="shared" si="51"/>
        <v>68730</v>
      </c>
    </row>
    <row r="151" spans="1:10" s="33" customFormat="1" ht="16.5" thickBot="1" x14ac:dyDescent="0.3">
      <c r="A151" s="56">
        <v>81</v>
      </c>
      <c r="B151" s="167" t="s">
        <v>107</v>
      </c>
      <c r="C151" s="168">
        <v>0.25</v>
      </c>
      <c r="D151" s="169">
        <v>2102</v>
      </c>
      <c r="E151" s="58"/>
      <c r="F151" s="58"/>
      <c r="G151" s="58">
        <f t="shared" si="52"/>
        <v>525.5</v>
      </c>
      <c r="H151" s="210">
        <f t="shared" si="51"/>
        <v>6306</v>
      </c>
    </row>
    <row r="152" spans="1:10" s="33" customFormat="1" ht="17.25" customHeight="1" thickBot="1" x14ac:dyDescent="0.3">
      <c r="A152" s="289" t="s">
        <v>46</v>
      </c>
      <c r="B152" s="290"/>
      <c r="C152" s="170">
        <f t="shared" ref="C152:H152" si="53">SUM(C143:C151)</f>
        <v>10</v>
      </c>
      <c r="D152" s="170">
        <f t="shared" si="53"/>
        <v>22324</v>
      </c>
      <c r="E152" s="170">
        <f t="shared" si="53"/>
        <v>0</v>
      </c>
      <c r="F152" s="170">
        <f t="shared" si="53"/>
        <v>1145.5</v>
      </c>
      <c r="G152" s="170">
        <f t="shared" si="53"/>
        <v>25855.5</v>
      </c>
      <c r="H152" s="225">
        <f t="shared" si="53"/>
        <v>310266</v>
      </c>
      <c r="I152" s="171"/>
    </row>
    <row r="153" spans="1:10" s="33" customFormat="1" ht="16.5" thickBot="1" x14ac:dyDescent="0.3">
      <c r="A153" s="172"/>
      <c r="B153" s="291"/>
      <c r="C153" s="291"/>
      <c r="D153" s="291"/>
      <c r="E153" s="291"/>
      <c r="F153" s="291"/>
      <c r="G153" s="291"/>
      <c r="H153" s="291"/>
      <c r="I153" s="49"/>
    </row>
    <row r="154" spans="1:10" s="33" customFormat="1" ht="20.100000000000001" customHeight="1" thickBot="1" x14ac:dyDescent="0.35">
      <c r="A154" s="282" t="s">
        <v>108</v>
      </c>
      <c r="B154" s="283"/>
      <c r="C154" s="173">
        <f>SUM(C155:C159)</f>
        <v>161</v>
      </c>
      <c r="D154" s="174">
        <f>SUM(D155:D159)</f>
        <v>526268.13</v>
      </c>
      <c r="E154" s="175">
        <f t="shared" ref="E154:H154" si="54">SUM(E155:E159)</f>
        <v>2108</v>
      </c>
      <c r="F154" s="174">
        <f t="shared" si="54"/>
        <v>120969</v>
      </c>
      <c r="G154" s="175">
        <f>SUM(G155:G159)</f>
        <v>827962.64</v>
      </c>
      <c r="H154" s="226">
        <f t="shared" si="54"/>
        <v>9878830.0199999996</v>
      </c>
      <c r="I154" s="176"/>
      <c r="J154" s="177"/>
    </row>
    <row r="155" spans="1:10" s="33" customFormat="1" ht="20.100000000000001" customHeight="1" x14ac:dyDescent="0.3">
      <c r="A155" s="248" t="s">
        <v>109</v>
      </c>
      <c r="B155" s="249"/>
      <c r="C155" s="178">
        <f>ROUND((C31+C32+C132+C78+C50+C49+C58+C59+C60+C133+C120+C119+C87+C88+C96+C97+C108+C109+C99+C100+C98+C84+C127),2)</f>
        <v>50.5</v>
      </c>
      <c r="D155" s="179">
        <f>G155-F155-E155</f>
        <v>281868.35000000003</v>
      </c>
      <c r="E155" s="178">
        <f>ROUND((E31+E32+E132+E78+E50+E49+E58+E59+E60+E133+E120+E119+E87+E88+E96+E97+E108+E109+E99+E100+E98+E84+E127),2)</f>
        <v>0</v>
      </c>
      <c r="F155" s="178">
        <f>ROUND((F31+F32+F132+F78+F50+F49+F58+F59+F60+F133+F120+F119+F87+F88+F96+F97+F108+F109+F99+F100+F98+F84+F127),2)</f>
        <v>57241.86</v>
      </c>
      <c r="G155" s="178">
        <f>ROUND((G31+G32+G132+G78+G50+G49+G58+G59+G60+G133+G120+G119+G87+G88+G96+G97+G108+G109+G99+G100+G98+G84+G127),2)</f>
        <v>339110.21</v>
      </c>
      <c r="H155" s="227">
        <f>ROUND((H31+H32+H132+H78+H50+H49+H58+H59+H60+H133+H120+H119+H87+H88+H96+H97+H108+H109+H99+H100+H98+H84+H127),2)</f>
        <v>4069322.49</v>
      </c>
      <c r="I155" s="176"/>
      <c r="J155" s="177"/>
    </row>
    <row r="156" spans="1:10" s="33" customFormat="1" ht="20.100000000000001" customHeight="1" x14ac:dyDescent="0.3">
      <c r="A156" s="250" t="s">
        <v>110</v>
      </c>
      <c r="B156" s="251"/>
      <c r="C156" s="180">
        <f>ROUND((C34+C61+C62+C53+C65+C128+C79+C72+C75+C121+C89+C90+C91+C122+C110+C111+C101+C102+C51+C103+C63+C116+C52+C80+C129),2)</f>
        <v>66.5</v>
      </c>
      <c r="D156" s="180">
        <f t="shared" ref="D156:H156" si="55">ROUND((D34+D61+D62+D53+D65+D128+D79+D72+D75+D121+D89+D90+D91++D110+D111+D101+D102+D51+D103+D63+D116+D52+D80+D129),2)</f>
        <v>102810.78</v>
      </c>
      <c r="E156" s="180">
        <f t="shared" si="55"/>
        <v>0</v>
      </c>
      <c r="F156" s="180">
        <f>ROUND((F34+F61+F62+F53+F65+F128+F79+F72+F75+F121+F89+F90+F91+F122+F110+F111+F101+F102+F51+F103+F63+F116+F52+F80+F129),2)</f>
        <v>62581.64</v>
      </c>
      <c r="G156" s="180">
        <f>ROUND((G34+G61+G62+G53+G65+G128+G79+G72+G75+G121+G89+G90+G91+G122+G110+G111+G101+G102+G51+G103+G63+G116+G52+G80+G129),2)</f>
        <v>344009.93</v>
      </c>
      <c r="H156" s="180">
        <f t="shared" si="55"/>
        <v>4071397.53</v>
      </c>
      <c r="I156" s="176"/>
      <c r="J156" s="177"/>
    </row>
    <row r="157" spans="1:10" s="33" customFormat="1" ht="20.100000000000001" customHeight="1" x14ac:dyDescent="0.3">
      <c r="A157" s="250" t="s">
        <v>111</v>
      </c>
      <c r="B157" s="251"/>
      <c r="C157" s="181">
        <f>C81+C54+C66+C92+C104+C112</f>
        <v>8.5</v>
      </c>
      <c r="D157" s="179">
        <f t="shared" ref="D157:D159" si="56">G157-F157-E157</f>
        <v>23560</v>
      </c>
      <c r="E157" s="181">
        <f>E81+E54+E66+E92+E104+E112</f>
        <v>2108</v>
      </c>
      <c r="F157" s="181">
        <f>F81+F54+F66+F92+F104+F112</f>
        <v>0</v>
      </c>
      <c r="G157" s="182">
        <f>G81+G54+G66+G92+G104+G112</f>
        <v>25668</v>
      </c>
      <c r="H157" s="228">
        <f>H81+H54+H66+H92+H104+H112</f>
        <v>308016</v>
      </c>
      <c r="I157" s="176"/>
      <c r="J157" s="177"/>
    </row>
    <row r="158" spans="1:10" s="33" customFormat="1" ht="20.100000000000001" customHeight="1" x14ac:dyDescent="0.3">
      <c r="A158" s="250" t="s">
        <v>112</v>
      </c>
      <c r="B158" s="251"/>
      <c r="C158" s="181">
        <f>ROUND((C33+C36+C137+C138+C46+C139+C140+C40+C35+C42+C41),2)</f>
        <v>13</v>
      </c>
      <c r="D158" s="179">
        <f t="shared" si="56"/>
        <v>47008</v>
      </c>
      <c r="E158" s="181">
        <f>ROUND((E33+E36+E137+E138+E46+E139+E140+E40+E35+E42),2)</f>
        <v>0</v>
      </c>
      <c r="F158" s="181">
        <f>ROUND((F33+F36+F137+F138+F46+F139+F140+F40+F35+F42),2)</f>
        <v>0</v>
      </c>
      <c r="G158" s="182">
        <f>ROUND((G33+G36+G137+G138+G46+G139+G140+G40+G35+G42),2)</f>
        <v>47008</v>
      </c>
      <c r="H158" s="228">
        <f>ROUND((H33+H36+H137+H138+H46+H139+H140+H40+H35+H42),2)</f>
        <v>564096</v>
      </c>
      <c r="I158" s="176"/>
      <c r="J158" s="177"/>
    </row>
    <row r="159" spans="1:10" s="33" customFormat="1" ht="20.100000000000001" customHeight="1" thickBot="1" x14ac:dyDescent="0.35">
      <c r="A159" s="280" t="s">
        <v>113</v>
      </c>
      <c r="B159" s="281"/>
      <c r="C159" s="183">
        <f>C152+C37+C140+C55+C67+C93+C105+C113</f>
        <v>22.5</v>
      </c>
      <c r="D159" s="184">
        <f t="shared" si="56"/>
        <v>71021</v>
      </c>
      <c r="E159" s="183">
        <f>E152+E37+E143+E140+E55+E67+E93+E105+E113</f>
        <v>0</v>
      </c>
      <c r="F159" s="183">
        <f>F152+F37+F143+F140+F55+F67+F93+F105+F113</f>
        <v>1145.5</v>
      </c>
      <c r="G159" s="185">
        <f>G152+G37+G143+G140+G55+G67+G93+G105+G113</f>
        <v>72166.5</v>
      </c>
      <c r="H159" s="229">
        <f>H152+H37+H143+H140+H55+H67+H93+H105+H113</f>
        <v>865998</v>
      </c>
      <c r="I159" s="176"/>
      <c r="J159" s="177"/>
    </row>
    <row r="160" spans="1:10" ht="15" x14ac:dyDescent="0.2">
      <c r="A160" s="186"/>
      <c r="B160" s="187"/>
      <c r="C160" s="188"/>
      <c r="D160" s="188"/>
      <c r="E160" s="188"/>
      <c r="F160" s="188"/>
      <c r="G160" s="188"/>
      <c r="H160" s="230"/>
      <c r="J160" s="189"/>
    </row>
    <row r="161" spans="2:8" ht="15.75" customHeight="1" x14ac:dyDescent="0.2">
      <c r="B161" s="191"/>
      <c r="C161" s="191"/>
      <c r="D161" s="191"/>
      <c r="E161" s="191"/>
      <c r="F161" s="191"/>
    </row>
    <row r="162" spans="2:8" ht="15.75" x14ac:dyDescent="0.25">
      <c r="B162" s="192" t="s">
        <v>114</v>
      </c>
      <c r="C162" s="192"/>
      <c r="D162" s="192"/>
      <c r="E162" s="192"/>
      <c r="F162" s="192"/>
      <c r="G162" s="192" t="s">
        <v>115</v>
      </c>
      <c r="H162" s="201"/>
    </row>
  </sheetData>
  <mergeCells count="46">
    <mergeCell ref="A19:H19"/>
    <mergeCell ref="A14:B14"/>
    <mergeCell ref="E14:F14"/>
    <mergeCell ref="E15:H15"/>
    <mergeCell ref="A17:B17"/>
    <mergeCell ref="A18:H18"/>
    <mergeCell ref="A83:H83"/>
    <mergeCell ref="A20:H20"/>
    <mergeCell ref="A21:H21"/>
    <mergeCell ref="A22:H22"/>
    <mergeCell ref="A24:A28"/>
    <mergeCell ref="B24:B28"/>
    <mergeCell ref="C24:C28"/>
    <mergeCell ref="D24:D28"/>
    <mergeCell ref="E24:E28"/>
    <mergeCell ref="F24:F28"/>
    <mergeCell ref="A158:B158"/>
    <mergeCell ref="A159:B159"/>
    <mergeCell ref="A154:B154"/>
    <mergeCell ref="A86:H86"/>
    <mergeCell ref="A95:H95"/>
    <mergeCell ref="A107:H107"/>
    <mergeCell ref="A115:H115"/>
    <mergeCell ref="A118:H118"/>
    <mergeCell ref="A126:H126"/>
    <mergeCell ref="A131:H131"/>
    <mergeCell ref="A136:H136"/>
    <mergeCell ref="A142:H142"/>
    <mergeCell ref="A152:B152"/>
    <mergeCell ref="B153:H153"/>
    <mergeCell ref="F10:H10"/>
    <mergeCell ref="A10:B10"/>
    <mergeCell ref="A155:B155"/>
    <mergeCell ref="A156:B156"/>
    <mergeCell ref="A157:B157"/>
    <mergeCell ref="A85:B85"/>
    <mergeCell ref="A30:H30"/>
    <mergeCell ref="A38:B38"/>
    <mergeCell ref="A39:H39"/>
    <mergeCell ref="A44:H44"/>
    <mergeCell ref="A47:H47"/>
    <mergeCell ref="A48:H48"/>
    <mergeCell ref="A57:H57"/>
    <mergeCell ref="A71:H71"/>
    <mergeCell ref="A74:H74"/>
    <mergeCell ref="A77:H77"/>
  </mergeCells>
  <pageMargins left="0.31496062992125984" right="0.31496062992125984" top="0.55118110236220474" bottom="0.19685039370078741" header="0.31496062992125984" footer="0.31496062992125984"/>
  <pageSetup paperSize="9" scale="74" orientation="portrait" r:id="rId1"/>
  <headerFooter alignWithMargins="0"/>
  <rowBreaks count="2" manualBreakCount="2">
    <brk id="68" max="7" man="1"/>
    <brk id="123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79A53-D209-4031-A2EB-F75324E31C66}">
  <dimension ref="A1:AF1"/>
  <sheetViews>
    <sheetView workbookViewId="0">
      <selection activeCell="B18" sqref="B18"/>
    </sheetView>
  </sheetViews>
  <sheetFormatPr defaultColWidth="5.85546875" defaultRowHeight="15.75" x14ac:dyDescent="0.25"/>
  <cols>
    <col min="1" max="1" width="5.85546875" style="196"/>
    <col min="2" max="2" width="5.85546875" style="308"/>
    <col min="3" max="3" width="5.85546875" style="309"/>
    <col min="4" max="20" width="5.85546875" style="196"/>
    <col min="21" max="21" width="5.85546875" style="199"/>
    <col min="22" max="23" width="5.85546875" style="196"/>
    <col min="24" max="24" width="5.85546875" style="200"/>
    <col min="25" max="26" width="5.85546875" style="196"/>
    <col min="27" max="28" width="5.85546875" style="193"/>
    <col min="29" max="29" width="5.85546875" style="194"/>
    <col min="30" max="32" width="5.85546875" style="196"/>
    <col min="33" max="16384" width="5.85546875" style="195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штати 2020р (5)</vt:lpstr>
      <vt:lpstr>Лист1</vt:lpstr>
      <vt:lpstr>'штати 2020р (5)'!Область_печати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Анна Кузьменко</cp:lastModifiedBy>
  <cp:lastPrinted>2020-01-10T09:37:20Z</cp:lastPrinted>
  <dcterms:created xsi:type="dcterms:W3CDTF">2019-12-24T14:23:24Z</dcterms:created>
  <dcterms:modified xsi:type="dcterms:W3CDTF">2020-02-11T13:56:07Z</dcterms:modified>
</cp:coreProperties>
</file>