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60" windowHeight="8085" tabRatio="784" activeTab="3"/>
  </bookViews>
  <sheets>
    <sheet name="явка" sheetId="1" r:id="rId1"/>
    <sheet name="Порядок денний " sheetId="27" r:id="rId2"/>
    <sheet name="1" sheetId="3" r:id="rId3"/>
    <sheet name="2" sheetId="58" r:id="rId4"/>
    <sheet name="3" sheetId="59" r:id="rId5"/>
    <sheet name="4" sheetId="60" r:id="rId6"/>
    <sheet name="5" sheetId="61" r:id="rId7"/>
    <sheet name="6" sheetId="62" r:id="rId8"/>
    <sheet name="7" sheetId="63" r:id="rId9"/>
    <sheet name="8" sheetId="64" r:id="rId10"/>
    <sheet name="9" sheetId="65" r:id="rId11"/>
    <sheet name="10" sheetId="66" r:id="rId12"/>
    <sheet name="11" sheetId="67" r:id="rId13"/>
    <sheet name="12" sheetId="68" r:id="rId14"/>
    <sheet name="13" sheetId="69" r:id="rId15"/>
    <sheet name="14" sheetId="70" r:id="rId16"/>
    <sheet name="15" sheetId="71" r:id="rId17"/>
    <sheet name="16" sheetId="72" r:id="rId18"/>
    <sheet name="17" sheetId="73" r:id="rId19"/>
    <sheet name="18" sheetId="74" r:id="rId20"/>
    <sheet name="19" sheetId="75" r:id="rId21"/>
    <sheet name="20" sheetId="76" r:id="rId22"/>
    <sheet name="21" sheetId="78" r:id="rId23"/>
    <sheet name="22" sheetId="80" r:id="rId24"/>
    <sheet name="23" sheetId="81" r:id="rId25"/>
    <sheet name="24" sheetId="82" r:id="rId26"/>
    <sheet name="25" sheetId="83" r:id="rId27"/>
    <sheet name="26" sheetId="84" r:id="rId28"/>
    <sheet name="27" sheetId="85" r:id="rId29"/>
    <sheet name="28" sheetId="86" r:id="rId30"/>
    <sheet name="29" sheetId="87" r:id="rId31"/>
    <sheet name="30" sheetId="88" r:id="rId32"/>
    <sheet name="31" sheetId="89" r:id="rId33"/>
    <sheet name="32" sheetId="90" r:id="rId34"/>
    <sheet name="33" sheetId="91" r:id="rId35"/>
    <sheet name="34" sheetId="92" r:id="rId36"/>
    <sheet name="35" sheetId="93" r:id="rId37"/>
    <sheet name="36" sheetId="94" r:id="rId38"/>
    <sheet name="37" sheetId="95" r:id="rId39"/>
    <sheet name="38" sheetId="96" r:id="rId40"/>
    <sheet name="39" sheetId="97" r:id="rId41"/>
    <sheet name="40" sheetId="98" r:id="rId42"/>
    <sheet name="41" sheetId="99" r:id="rId43"/>
    <sheet name="42" sheetId="100" r:id="rId44"/>
    <sheet name="43" sheetId="101" r:id="rId45"/>
    <sheet name="44" sheetId="102" r:id="rId46"/>
    <sheet name="45" sheetId="103" r:id="rId47"/>
    <sheet name="46" sheetId="104" r:id="rId48"/>
    <sheet name="47" sheetId="105" r:id="rId49"/>
    <sheet name="48" sheetId="106" r:id="rId50"/>
    <sheet name="49" sheetId="107" r:id="rId51"/>
    <sheet name="50" sheetId="108" r:id="rId52"/>
    <sheet name="51" sheetId="109" r:id="rId53"/>
    <sheet name="52" sheetId="110" r:id="rId54"/>
    <sheet name="53" sheetId="111" r:id="rId55"/>
    <sheet name="54" sheetId="112" r:id="rId56"/>
    <sheet name="55" sheetId="113" r:id="rId57"/>
    <sheet name="56" sheetId="114" r:id="rId58"/>
    <sheet name="57" sheetId="116" r:id="rId59"/>
    <sheet name="58" sheetId="115" r:id="rId60"/>
    <sheet name="59" sheetId="117" r:id="rId61"/>
    <sheet name="60" sheetId="118" r:id="rId62"/>
    <sheet name="61" sheetId="119" r:id="rId63"/>
    <sheet name="62" sheetId="120" r:id="rId64"/>
    <sheet name="63" sheetId="121" r:id="rId65"/>
    <sheet name="64" sheetId="122" r:id="rId66"/>
    <sheet name="65" sheetId="124" r:id="rId67"/>
    <sheet name="66" sheetId="125" r:id="rId68"/>
    <sheet name="67" sheetId="126" r:id="rId69"/>
    <sheet name="68" sheetId="127" r:id="rId70"/>
    <sheet name="69" sheetId="128" r:id="rId71"/>
    <sheet name="70" sheetId="129" r:id="rId72"/>
    <sheet name="регламент" sheetId="14" r:id="rId73"/>
    <sheet name="лічильна комісія" sheetId="18" r:id="rId74"/>
    <sheet name="Секретар" sheetId="17" r:id="rId75"/>
    <sheet name="резерв" sheetId="19" r:id="rId76"/>
    <sheet name="За порядок денний" sheetId="16" r:id="rId77"/>
    <sheet name="дані" sheetId="2" r:id="rId78"/>
  </sheets>
  <definedNames>
    <definedName name="_xlnm.Print_Area" localSheetId="2">'1'!$A$1:$F$38</definedName>
    <definedName name="_xlnm.Print_Area" localSheetId="11">'10'!$A$1:$F$38</definedName>
    <definedName name="_xlnm.Print_Area" localSheetId="12">'11'!$A$1:$F$38</definedName>
    <definedName name="_xlnm.Print_Area" localSheetId="13">'12'!$A$1:$F$38</definedName>
    <definedName name="_xlnm.Print_Area" localSheetId="14">'13'!$A$1:$F$38</definedName>
    <definedName name="_xlnm.Print_Area" localSheetId="15">'14'!$A$1:$F$38</definedName>
    <definedName name="_xlnm.Print_Area" localSheetId="16">'15'!$A$1:$F$38</definedName>
    <definedName name="_xlnm.Print_Area" localSheetId="17">'16'!$A$1:$F$38</definedName>
    <definedName name="_xlnm.Print_Area" localSheetId="18">'17'!$A$1:$F$38</definedName>
    <definedName name="_xlnm.Print_Area" localSheetId="19">'18'!$A$1:$F$38</definedName>
    <definedName name="_xlnm.Print_Area" localSheetId="20">'19'!$A$1:$F$38</definedName>
    <definedName name="_xlnm.Print_Area" localSheetId="3">'2'!$A$1:$F$38</definedName>
    <definedName name="_xlnm.Print_Area" localSheetId="21">'20'!$A$1:$F$38</definedName>
    <definedName name="_xlnm.Print_Area" localSheetId="22">'21'!$A$1:$F$38</definedName>
    <definedName name="_xlnm.Print_Area" localSheetId="23">'22'!$A$1:$F$38</definedName>
    <definedName name="_xlnm.Print_Area" localSheetId="24">'23'!$A$1:$F$38</definedName>
    <definedName name="_xlnm.Print_Area" localSheetId="25">'24'!$A$1:$F$38</definedName>
    <definedName name="_xlnm.Print_Area" localSheetId="26">'25'!$A$1:$F$38</definedName>
    <definedName name="_xlnm.Print_Area" localSheetId="27">'26'!$A$1:$F$38</definedName>
    <definedName name="_xlnm.Print_Area" localSheetId="28">'27'!$A$1:$F$38</definedName>
    <definedName name="_xlnm.Print_Area" localSheetId="29">'28'!$A$1:$F$38</definedName>
    <definedName name="_xlnm.Print_Area" localSheetId="30">'29'!$A$1:$F$38</definedName>
    <definedName name="_xlnm.Print_Area" localSheetId="4">'3'!$A$1:$F$38</definedName>
    <definedName name="_xlnm.Print_Area" localSheetId="31">'30'!$A$1:$F$38</definedName>
    <definedName name="_xlnm.Print_Area" localSheetId="32">'31'!$A$1:$F$38</definedName>
    <definedName name="_xlnm.Print_Area" localSheetId="33">'32'!$A$1:$F$38</definedName>
    <definedName name="_xlnm.Print_Area" localSheetId="34">'33'!$A$1:$F$38</definedName>
    <definedName name="_xlnm.Print_Area" localSheetId="35">'34'!$A$1:$F$38</definedName>
    <definedName name="_xlnm.Print_Area" localSheetId="36">'35'!$A$1:$F$38</definedName>
    <definedName name="_xlnm.Print_Area" localSheetId="37">'36'!$A$1:$F$38</definedName>
    <definedName name="_xlnm.Print_Area" localSheetId="38">'37'!$A$1:$F$38</definedName>
    <definedName name="_xlnm.Print_Area" localSheetId="39">'38'!$A$1:$F$38</definedName>
    <definedName name="_xlnm.Print_Area" localSheetId="40">'39'!$A$1:$F$38</definedName>
    <definedName name="_xlnm.Print_Area" localSheetId="5">'4'!$A$1:$F$38</definedName>
    <definedName name="_xlnm.Print_Area" localSheetId="41">'40'!$A$1:$F$38</definedName>
    <definedName name="_xlnm.Print_Area" localSheetId="42">'41'!$A$1:$F$38</definedName>
    <definedName name="_xlnm.Print_Area" localSheetId="43">'42'!$A$1:$F$38</definedName>
    <definedName name="_xlnm.Print_Area" localSheetId="44">'43'!$A$1:$F$38</definedName>
    <definedName name="_xlnm.Print_Area" localSheetId="45">'44'!$A$1:$F$38</definedName>
    <definedName name="_xlnm.Print_Area" localSheetId="46">'45'!$A$1:$F$38</definedName>
    <definedName name="_xlnm.Print_Area" localSheetId="47">'46'!$A$1:$F$38</definedName>
    <definedName name="_xlnm.Print_Area" localSheetId="48">'47'!$A$1:$F$38</definedName>
    <definedName name="_xlnm.Print_Area" localSheetId="49">'48'!$A$1:$F$38</definedName>
    <definedName name="_xlnm.Print_Area" localSheetId="50">'49'!$A$1:$F$38</definedName>
    <definedName name="_xlnm.Print_Area" localSheetId="6">'5'!$A$1:$F$38</definedName>
    <definedName name="_xlnm.Print_Area" localSheetId="51">'50'!$A$1:$F$38</definedName>
    <definedName name="_xlnm.Print_Area" localSheetId="52">'51'!$A$1:$F$38</definedName>
    <definedName name="_xlnm.Print_Area" localSheetId="53">'52'!$A$1:$F$38</definedName>
    <definedName name="_xlnm.Print_Area" localSheetId="54">'53'!$A$1:$F$38</definedName>
    <definedName name="_xlnm.Print_Area" localSheetId="55">'54'!$A$1:$F$38</definedName>
    <definedName name="_xlnm.Print_Area" localSheetId="56">'55'!$A$1:$F$38</definedName>
    <definedName name="_xlnm.Print_Area" localSheetId="57">'56'!$A$1:$F$38</definedName>
    <definedName name="_xlnm.Print_Area" localSheetId="58">'57'!$A$1:$F$38</definedName>
    <definedName name="_xlnm.Print_Area" localSheetId="59">'58'!$A$1:$F$38</definedName>
    <definedName name="_xlnm.Print_Area" localSheetId="60">'59'!$A$1:$F$38</definedName>
    <definedName name="_xlnm.Print_Area" localSheetId="7">'6'!$A$1:$F$38</definedName>
    <definedName name="_xlnm.Print_Area" localSheetId="61">'60'!$A$1:$F$38</definedName>
    <definedName name="_xlnm.Print_Area" localSheetId="62">'61'!$A$1:$F$38</definedName>
    <definedName name="_xlnm.Print_Area" localSheetId="63">'62'!$A$1:$F$38</definedName>
    <definedName name="_xlnm.Print_Area" localSheetId="64">'63'!$A$1:$F$38</definedName>
    <definedName name="_xlnm.Print_Area" localSheetId="65">'64'!$A$1:$F$38</definedName>
    <definedName name="_xlnm.Print_Area" localSheetId="66">'65'!$A$1:$F$38</definedName>
    <definedName name="_xlnm.Print_Area" localSheetId="67">'66'!$A$1:$F$38</definedName>
    <definedName name="_xlnm.Print_Area" localSheetId="68">'67'!$A$1:$F$38</definedName>
    <definedName name="_xlnm.Print_Area" localSheetId="69">'68'!$A$1:$F$38</definedName>
    <definedName name="_xlnm.Print_Area" localSheetId="70">'69'!$A$1:$F$38</definedName>
    <definedName name="_xlnm.Print_Area" localSheetId="8">'7'!$A$1:$F$38</definedName>
    <definedName name="_xlnm.Print_Area" localSheetId="71">'70'!$A$1:$F$38</definedName>
    <definedName name="_xlnm.Print_Area" localSheetId="9">'8'!$A$1:$F$38</definedName>
    <definedName name="_xlnm.Print_Area" localSheetId="10">'9'!$A$1:$F$38</definedName>
    <definedName name="_xlnm.Print_Area" localSheetId="1">'Порядок денний '!$A$1:$J$72</definedName>
  </definedNames>
  <calcPr calcId="145621"/>
</workbook>
</file>

<file path=xl/calcChain.xml><?xml version="1.0" encoding="utf-8"?>
<calcChain xmlns="http://schemas.openxmlformats.org/spreadsheetml/2006/main">
  <c r="A2" i="27" l="1"/>
  <c r="F71" i="27" l="1"/>
  <c r="E70" i="27"/>
  <c r="D69" i="27"/>
  <c r="B1" i="129"/>
  <c r="B1" i="128"/>
  <c r="B1" i="127"/>
  <c r="B1" i="126"/>
  <c r="B38" i="129"/>
  <c r="B36" i="129"/>
  <c r="B34" i="129"/>
  <c r="B33" i="129"/>
  <c r="F30" i="129"/>
  <c r="E30" i="129"/>
  <c r="E71" i="27" s="1"/>
  <c r="D30" i="129"/>
  <c r="D71" i="27" s="1"/>
  <c r="C30" i="129"/>
  <c r="B31" i="129" s="1"/>
  <c r="G71" i="27" s="1"/>
  <c r="B38" i="128"/>
  <c r="B36" i="128"/>
  <c r="B34" i="128"/>
  <c r="B33" i="128"/>
  <c r="F30" i="128"/>
  <c r="F70" i="27" s="1"/>
  <c r="E30" i="128"/>
  <c r="D30" i="128"/>
  <c r="D70" i="27" s="1"/>
  <c r="C30" i="128"/>
  <c r="B31" i="128" s="1"/>
  <c r="G70" i="27" s="1"/>
  <c r="B38" i="127"/>
  <c r="B36" i="127"/>
  <c r="B34" i="127"/>
  <c r="B33" i="127"/>
  <c r="F30" i="127"/>
  <c r="F69" i="27" s="1"/>
  <c r="E30" i="127"/>
  <c r="E69" i="27" s="1"/>
  <c r="D30" i="127"/>
  <c r="C30" i="127"/>
  <c r="B31" i="127" s="1"/>
  <c r="G69" i="27" s="1"/>
  <c r="A68" i="27"/>
  <c r="A69" i="27"/>
  <c r="A70" i="27"/>
  <c r="A71" i="27"/>
  <c r="B38" i="126"/>
  <c r="B36" i="126"/>
  <c r="B34" i="126"/>
  <c r="B33" i="126"/>
  <c r="F30" i="126"/>
  <c r="F68" i="27" s="1"/>
  <c r="E30" i="126"/>
  <c r="E68" i="27" s="1"/>
  <c r="D30" i="126"/>
  <c r="D68" i="27" s="1"/>
  <c r="C30" i="126"/>
  <c r="B31" i="126" s="1"/>
  <c r="G68" i="27" s="1"/>
  <c r="C69" i="27" l="1"/>
  <c r="C70" i="27"/>
  <c r="C68" i="27"/>
  <c r="C71" i="27"/>
  <c r="F67" i="27"/>
  <c r="E66" i="27"/>
  <c r="D65" i="27"/>
  <c r="G64" i="27"/>
  <c r="C64" i="27"/>
  <c r="F63" i="27"/>
  <c r="E62" i="27"/>
  <c r="D61" i="27"/>
  <c r="G60" i="27"/>
  <c r="C60" i="27"/>
  <c r="D57" i="27"/>
  <c r="A57" i="27"/>
  <c r="A58" i="27"/>
  <c r="A59" i="27"/>
  <c r="A60" i="27"/>
  <c r="A61" i="27"/>
  <c r="A62" i="27"/>
  <c r="A63" i="27"/>
  <c r="A64" i="27"/>
  <c r="A65" i="27"/>
  <c r="A66" i="27"/>
  <c r="A67" i="27"/>
  <c r="B1" i="125"/>
  <c r="B1" i="124"/>
  <c r="B1" i="122"/>
  <c r="B1" i="121"/>
  <c r="B1" i="120"/>
  <c r="B1" i="119"/>
  <c r="B1" i="118"/>
  <c r="B1" i="117"/>
  <c r="B1" i="115"/>
  <c r="B1" i="116"/>
  <c r="B1" i="114"/>
  <c r="B38" i="125"/>
  <c r="B36" i="125"/>
  <c r="B34" i="125"/>
  <c r="B33" i="125"/>
  <c r="F30" i="125"/>
  <c r="E30" i="125"/>
  <c r="E67" i="27" s="1"/>
  <c r="D30" i="125"/>
  <c r="D67" i="27" s="1"/>
  <c r="C30" i="125"/>
  <c r="B31" i="125" s="1"/>
  <c r="G67" i="27" s="1"/>
  <c r="B38" i="124"/>
  <c r="B36" i="124"/>
  <c r="B34" i="124"/>
  <c r="B33" i="124"/>
  <c r="F30" i="124"/>
  <c r="F66" i="27" s="1"/>
  <c r="E30" i="124"/>
  <c r="D30" i="124"/>
  <c r="D66" i="27" s="1"/>
  <c r="C30" i="124"/>
  <c r="B31" i="124" s="1"/>
  <c r="G66" i="27" s="1"/>
  <c r="B38" i="122"/>
  <c r="B36" i="122"/>
  <c r="B34" i="122"/>
  <c r="B33" i="122"/>
  <c r="F30" i="122"/>
  <c r="F65" i="27" s="1"/>
  <c r="E30" i="122"/>
  <c r="E65" i="27" s="1"/>
  <c r="D30" i="122"/>
  <c r="C30" i="122"/>
  <c r="B31" i="122" s="1"/>
  <c r="G65" i="27" s="1"/>
  <c r="B38" i="121"/>
  <c r="B36" i="121"/>
  <c r="B34" i="121"/>
  <c r="B33" i="121"/>
  <c r="F30" i="121"/>
  <c r="F64" i="27" s="1"/>
  <c r="E30" i="121"/>
  <c r="E64" i="27" s="1"/>
  <c r="D30" i="121"/>
  <c r="D64" i="27" s="1"/>
  <c r="C30" i="121"/>
  <c r="B31" i="121" s="1"/>
  <c r="B38" i="120"/>
  <c r="B36" i="120"/>
  <c r="B34" i="120"/>
  <c r="B33" i="120"/>
  <c r="F30" i="120"/>
  <c r="E30" i="120"/>
  <c r="E63" i="27" s="1"/>
  <c r="D30" i="120"/>
  <c r="D63" i="27" s="1"/>
  <c r="C30" i="120"/>
  <c r="B31" i="120" s="1"/>
  <c r="G63" i="27" s="1"/>
  <c r="B38" i="119"/>
  <c r="B36" i="119"/>
  <c r="B34" i="119"/>
  <c r="B33" i="119"/>
  <c r="F30" i="119"/>
  <c r="F62" i="27" s="1"/>
  <c r="E30" i="119"/>
  <c r="D30" i="119"/>
  <c r="D62" i="27" s="1"/>
  <c r="C30" i="119"/>
  <c r="B31" i="119" s="1"/>
  <c r="B38" i="118"/>
  <c r="B36" i="118"/>
  <c r="B34" i="118"/>
  <c r="B33" i="118"/>
  <c r="F30" i="118"/>
  <c r="F61" i="27" s="1"/>
  <c r="E30" i="118"/>
  <c r="E61" i="27" s="1"/>
  <c r="D30" i="118"/>
  <c r="C30" i="118"/>
  <c r="B31" i="118" s="1"/>
  <c r="G62" i="27" s="1"/>
  <c r="B38" i="117"/>
  <c r="B36" i="117"/>
  <c r="B34" i="117"/>
  <c r="B33" i="117"/>
  <c r="F30" i="117"/>
  <c r="F60" i="27" s="1"/>
  <c r="E30" i="117"/>
  <c r="E60" i="27" s="1"/>
  <c r="D30" i="117"/>
  <c r="D60" i="27" s="1"/>
  <c r="C30" i="117"/>
  <c r="B31" i="117" s="1"/>
  <c r="B38" i="116"/>
  <c r="B36" i="116"/>
  <c r="B34" i="116"/>
  <c r="B33" i="116"/>
  <c r="F30" i="116"/>
  <c r="F58" i="27" s="1"/>
  <c r="E30" i="116"/>
  <c r="E58" i="27" s="1"/>
  <c r="D30" i="116"/>
  <c r="D58" i="27" s="1"/>
  <c r="C30" i="116"/>
  <c r="B31" i="116" s="1"/>
  <c r="G58" i="27" s="1"/>
  <c r="B38" i="115"/>
  <c r="B36" i="115"/>
  <c r="B34" i="115"/>
  <c r="B33" i="115"/>
  <c r="F30" i="115"/>
  <c r="F59" i="27" s="1"/>
  <c r="E30" i="115"/>
  <c r="E59" i="27" s="1"/>
  <c r="D30" i="115"/>
  <c r="D59" i="27" s="1"/>
  <c r="C30" i="115"/>
  <c r="B31" i="115" s="1"/>
  <c r="G59" i="27" s="1"/>
  <c r="B38" i="114"/>
  <c r="B36" i="114"/>
  <c r="B34" i="114"/>
  <c r="B33" i="114"/>
  <c r="F30" i="114"/>
  <c r="F57" i="27" s="1"/>
  <c r="E30" i="114"/>
  <c r="E57" i="27" s="1"/>
  <c r="D30" i="114"/>
  <c r="C30" i="114"/>
  <c r="B31" i="114" s="1"/>
  <c r="G57" i="27" s="1"/>
  <c r="C57" i="27" l="1"/>
  <c r="C61" i="27"/>
  <c r="G61" i="27"/>
  <c r="C65" i="27"/>
  <c r="C58" i="27"/>
  <c r="C62" i="27"/>
  <c r="C66" i="27"/>
  <c r="C59" i="27"/>
  <c r="C63" i="27"/>
  <c r="C67" i="27"/>
  <c r="B1" i="107"/>
  <c r="B1" i="104"/>
  <c r="B1" i="105"/>
  <c r="F56" i="27"/>
  <c r="D54" i="27"/>
  <c r="E53" i="27"/>
  <c r="F52" i="27"/>
  <c r="D50" i="27"/>
  <c r="E49" i="27"/>
  <c r="F48" i="27"/>
  <c r="D46" i="27"/>
  <c r="E45" i="27"/>
  <c r="F44" i="27"/>
  <c r="D42" i="27"/>
  <c r="A56" i="27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B1" i="113"/>
  <c r="B1" i="112"/>
  <c r="B1" i="111"/>
  <c r="B1" i="110"/>
  <c r="B1" i="109"/>
  <c r="B1" i="108"/>
  <c r="B1" i="106"/>
  <c r="B1" i="103"/>
  <c r="B1" i="102"/>
  <c r="B1" i="101"/>
  <c r="B1" i="100"/>
  <c r="B1" i="99"/>
  <c r="B38" i="113"/>
  <c r="B36" i="113"/>
  <c r="B34" i="113"/>
  <c r="B33" i="113"/>
  <c r="F30" i="113"/>
  <c r="E30" i="113"/>
  <c r="E56" i="27" s="1"/>
  <c r="D30" i="113"/>
  <c r="D56" i="27" s="1"/>
  <c r="C30" i="113"/>
  <c r="B31" i="113" s="1"/>
  <c r="G56" i="27" s="1"/>
  <c r="B38" i="112"/>
  <c r="A37" i="112"/>
  <c r="B36" i="112"/>
  <c r="B34" i="112"/>
  <c r="B33" i="112"/>
  <c r="F30" i="112"/>
  <c r="F55" i="27" s="1"/>
  <c r="E30" i="112"/>
  <c r="E55" i="27" s="1"/>
  <c r="D30" i="112"/>
  <c r="D55" i="27" s="1"/>
  <c r="C30" i="112"/>
  <c r="B31" i="112" s="1"/>
  <c r="G55" i="27" s="1"/>
  <c r="B38" i="111"/>
  <c r="A38" i="111"/>
  <c r="B36" i="111"/>
  <c r="B34" i="111"/>
  <c r="B33" i="111"/>
  <c r="F30" i="111"/>
  <c r="F54" i="27" s="1"/>
  <c r="E30" i="111"/>
  <c r="E54" i="27" s="1"/>
  <c r="D30" i="111"/>
  <c r="C30" i="111"/>
  <c r="B31" i="111" s="1"/>
  <c r="G54" i="27" s="1"/>
  <c r="B38" i="110"/>
  <c r="B36" i="110"/>
  <c r="A36" i="110"/>
  <c r="B34" i="110"/>
  <c r="B33" i="110"/>
  <c r="F30" i="110"/>
  <c r="F53" i="27" s="1"/>
  <c r="E30" i="110"/>
  <c r="D30" i="110"/>
  <c r="D53" i="27" s="1"/>
  <c r="C30" i="110"/>
  <c r="B31" i="110" s="1"/>
  <c r="G53" i="27" s="1"/>
  <c r="B38" i="109"/>
  <c r="B36" i="109"/>
  <c r="B34" i="109"/>
  <c r="B33" i="109"/>
  <c r="F30" i="109"/>
  <c r="E30" i="109"/>
  <c r="E52" i="27" s="1"/>
  <c r="D30" i="109"/>
  <c r="D52" i="27" s="1"/>
  <c r="C30" i="109"/>
  <c r="B31" i="109" s="1"/>
  <c r="G52" i="27" s="1"/>
  <c r="B38" i="108"/>
  <c r="A37" i="108"/>
  <c r="B36" i="108"/>
  <c r="B34" i="108"/>
  <c r="B33" i="108"/>
  <c r="F30" i="108"/>
  <c r="F51" i="27" s="1"/>
  <c r="E30" i="108"/>
  <c r="E51" i="27" s="1"/>
  <c r="D30" i="108"/>
  <c r="D51" i="27" s="1"/>
  <c r="C30" i="108"/>
  <c r="B31" i="108" s="1"/>
  <c r="G51" i="27" s="1"/>
  <c r="B38" i="107"/>
  <c r="A38" i="107"/>
  <c r="B36" i="107"/>
  <c r="B34" i="107"/>
  <c r="B33" i="107"/>
  <c r="F30" i="107"/>
  <c r="F50" i="27" s="1"/>
  <c r="E30" i="107"/>
  <c r="E50" i="27" s="1"/>
  <c r="D30" i="107"/>
  <c r="C30" i="107"/>
  <c r="B31" i="107" s="1"/>
  <c r="G50" i="27" s="1"/>
  <c r="B38" i="106"/>
  <c r="B36" i="106"/>
  <c r="A36" i="106"/>
  <c r="B34" i="106"/>
  <c r="B33" i="106"/>
  <c r="F30" i="106"/>
  <c r="F49" i="27" s="1"/>
  <c r="E30" i="106"/>
  <c r="D30" i="106"/>
  <c r="D49" i="27" s="1"/>
  <c r="C30" i="106"/>
  <c r="B31" i="106" s="1"/>
  <c r="G49" i="27" s="1"/>
  <c r="B38" i="105"/>
  <c r="B36" i="105"/>
  <c r="B34" i="105"/>
  <c r="B33" i="105"/>
  <c r="F30" i="105"/>
  <c r="E30" i="105"/>
  <c r="E48" i="27" s="1"/>
  <c r="D30" i="105"/>
  <c r="D48" i="27" s="1"/>
  <c r="C30" i="105"/>
  <c r="B31" i="105" s="1"/>
  <c r="G48" i="27" s="1"/>
  <c r="B38" i="104"/>
  <c r="A37" i="104"/>
  <c r="B36" i="104"/>
  <c r="B34" i="104"/>
  <c r="B33" i="104"/>
  <c r="F30" i="104"/>
  <c r="F47" i="27" s="1"/>
  <c r="E30" i="104"/>
  <c r="E47" i="27" s="1"/>
  <c r="D30" i="104"/>
  <c r="D47" i="27" s="1"/>
  <c r="C30" i="104"/>
  <c r="B31" i="104" s="1"/>
  <c r="G47" i="27" s="1"/>
  <c r="B38" i="103"/>
  <c r="A38" i="103"/>
  <c r="B36" i="103"/>
  <c r="B34" i="103"/>
  <c r="B33" i="103"/>
  <c r="F30" i="103"/>
  <c r="F46" i="27" s="1"/>
  <c r="E30" i="103"/>
  <c r="E46" i="27" s="1"/>
  <c r="D30" i="103"/>
  <c r="C30" i="103"/>
  <c r="B31" i="103" s="1"/>
  <c r="G46" i="27" s="1"/>
  <c r="B38" i="102"/>
  <c r="B36" i="102"/>
  <c r="A36" i="102"/>
  <c r="B34" i="102"/>
  <c r="B33" i="102"/>
  <c r="F30" i="102"/>
  <c r="F45" i="27" s="1"/>
  <c r="E30" i="102"/>
  <c r="D30" i="102"/>
  <c r="D45" i="27" s="1"/>
  <c r="C30" i="102"/>
  <c r="B31" i="102" s="1"/>
  <c r="G45" i="27" s="1"/>
  <c r="B38" i="101"/>
  <c r="B36" i="101"/>
  <c r="B34" i="101"/>
  <c r="B33" i="101"/>
  <c r="F30" i="101"/>
  <c r="E30" i="101"/>
  <c r="E44" i="27" s="1"/>
  <c r="D30" i="101"/>
  <c r="D44" i="27" s="1"/>
  <c r="C30" i="101"/>
  <c r="B31" i="101" s="1"/>
  <c r="G44" i="27" s="1"/>
  <c r="B38" i="100"/>
  <c r="A37" i="100"/>
  <c r="B36" i="100"/>
  <c r="B34" i="100"/>
  <c r="B33" i="100"/>
  <c r="F30" i="100"/>
  <c r="F43" i="27" s="1"/>
  <c r="E30" i="100"/>
  <c r="E43" i="27" s="1"/>
  <c r="D30" i="100"/>
  <c r="D43" i="27" s="1"/>
  <c r="C30" i="100"/>
  <c r="B31" i="100" s="1"/>
  <c r="G43" i="27" s="1"/>
  <c r="B38" i="99"/>
  <c r="A38" i="99"/>
  <c r="B36" i="99"/>
  <c r="B34" i="99"/>
  <c r="B33" i="99"/>
  <c r="F30" i="99"/>
  <c r="F42" i="27" s="1"/>
  <c r="E30" i="99"/>
  <c r="E42" i="27" s="1"/>
  <c r="D30" i="99"/>
  <c r="C30" i="99"/>
  <c r="B31" i="99" s="1"/>
  <c r="G42" i="27" s="1"/>
  <c r="B38" i="98"/>
  <c r="B36" i="98"/>
  <c r="A36" i="98"/>
  <c r="B34" i="98"/>
  <c r="B33" i="98"/>
  <c r="B38" i="97"/>
  <c r="B36" i="97"/>
  <c r="B34" i="97"/>
  <c r="B33" i="97"/>
  <c r="B38" i="96"/>
  <c r="A37" i="96"/>
  <c r="B36" i="96"/>
  <c r="B34" i="96"/>
  <c r="B33" i="96"/>
  <c r="B38" i="95"/>
  <c r="A38" i="95"/>
  <c r="B36" i="95"/>
  <c r="B34" i="95"/>
  <c r="B33" i="95"/>
  <c r="B38" i="94"/>
  <c r="B36" i="94"/>
  <c r="A36" i="94"/>
  <c r="B34" i="94"/>
  <c r="B33" i="94"/>
  <c r="B38" i="93"/>
  <c r="B36" i="93"/>
  <c r="B34" i="93"/>
  <c r="B33" i="93"/>
  <c r="B38" i="92"/>
  <c r="A37" i="92"/>
  <c r="B36" i="92"/>
  <c r="B34" i="92"/>
  <c r="B33" i="92"/>
  <c r="B38" i="91"/>
  <c r="A38" i="91"/>
  <c r="B36" i="91"/>
  <c r="B34" i="91"/>
  <c r="B33" i="91"/>
  <c r="B38" i="90"/>
  <c r="B36" i="90"/>
  <c r="A36" i="90"/>
  <c r="B34" i="90"/>
  <c r="B33" i="90"/>
  <c r="B38" i="89"/>
  <c r="B36" i="89"/>
  <c r="B34" i="89"/>
  <c r="A34" i="89"/>
  <c r="B33" i="89"/>
  <c r="B38" i="88"/>
  <c r="A37" i="88"/>
  <c r="B36" i="88"/>
  <c r="B34" i="88"/>
  <c r="B33" i="88"/>
  <c r="B38" i="87"/>
  <c r="A38" i="87"/>
  <c r="B36" i="87"/>
  <c r="B34" i="87"/>
  <c r="B33" i="87"/>
  <c r="B38" i="86"/>
  <c r="B36" i="86"/>
  <c r="A36" i="86"/>
  <c r="B34" i="86"/>
  <c r="B33" i="86"/>
  <c r="B38" i="85"/>
  <c r="B36" i="85"/>
  <c r="B34" i="85"/>
  <c r="B33" i="85"/>
  <c r="B38" i="84"/>
  <c r="A37" i="84"/>
  <c r="B36" i="84"/>
  <c r="B34" i="84"/>
  <c r="B33" i="84"/>
  <c r="B38" i="83"/>
  <c r="A38" i="83"/>
  <c r="B36" i="83"/>
  <c r="B34" i="83"/>
  <c r="B33" i="83"/>
  <c r="B38" i="82"/>
  <c r="B36" i="82"/>
  <c r="A36" i="82"/>
  <c r="B34" i="82"/>
  <c r="B33" i="82"/>
  <c r="B38" i="81"/>
  <c r="B36" i="81"/>
  <c r="B34" i="81"/>
  <c r="B33" i="81"/>
  <c r="B38" i="80"/>
  <c r="A37" i="80"/>
  <c r="B36" i="80"/>
  <c r="B34" i="80"/>
  <c r="B33" i="80"/>
  <c r="B38" i="78"/>
  <c r="A38" i="78"/>
  <c r="B36" i="78"/>
  <c r="A35" i="78"/>
  <c r="B34" i="78"/>
  <c r="B33" i="78"/>
  <c r="B38" i="76"/>
  <c r="B36" i="76"/>
  <c r="A36" i="76"/>
  <c r="B34" i="76"/>
  <c r="B33" i="76"/>
  <c r="B38" i="75"/>
  <c r="B36" i="75"/>
  <c r="B34" i="75"/>
  <c r="B33" i="75"/>
  <c r="B38" i="74"/>
  <c r="A37" i="74"/>
  <c r="B36" i="74"/>
  <c r="B34" i="74"/>
  <c r="B33" i="74"/>
  <c r="B38" i="73"/>
  <c r="A38" i="73"/>
  <c r="B36" i="73"/>
  <c r="B34" i="73"/>
  <c r="B33" i="73"/>
  <c r="B38" i="72"/>
  <c r="B36" i="72"/>
  <c r="A36" i="72"/>
  <c r="B34" i="72"/>
  <c r="B33" i="72"/>
  <c r="B38" i="71"/>
  <c r="B36" i="71"/>
  <c r="B34" i="71"/>
  <c r="A34" i="71"/>
  <c r="B33" i="71"/>
  <c r="B38" i="70"/>
  <c r="A37" i="70"/>
  <c r="B36" i="70"/>
  <c r="B34" i="70"/>
  <c r="B33" i="70"/>
  <c r="B38" i="69"/>
  <c r="A38" i="69"/>
  <c r="B36" i="69"/>
  <c r="B34" i="69"/>
  <c r="B33" i="69"/>
  <c r="B38" i="68"/>
  <c r="B36" i="68"/>
  <c r="A36" i="68"/>
  <c r="B34" i="68"/>
  <c r="B33" i="68"/>
  <c r="B38" i="67"/>
  <c r="B36" i="67"/>
  <c r="B34" i="67"/>
  <c r="B33" i="67"/>
  <c r="B38" i="66"/>
  <c r="A37" i="66"/>
  <c r="B36" i="66"/>
  <c r="B34" i="66"/>
  <c r="B33" i="66"/>
  <c r="B38" i="65"/>
  <c r="A38" i="65"/>
  <c r="B36" i="65"/>
  <c r="B34" i="65"/>
  <c r="B33" i="65"/>
  <c r="B38" i="64"/>
  <c r="B36" i="64"/>
  <c r="A36" i="64"/>
  <c r="B34" i="64"/>
  <c r="B33" i="64"/>
  <c r="B38" i="63"/>
  <c r="B36" i="63"/>
  <c r="B34" i="63"/>
  <c r="B33" i="63"/>
  <c r="B38" i="62"/>
  <c r="A37" i="62"/>
  <c r="B36" i="62"/>
  <c r="B34" i="62"/>
  <c r="B33" i="62"/>
  <c r="B38" i="61"/>
  <c r="A38" i="61"/>
  <c r="B36" i="61"/>
  <c r="A35" i="61"/>
  <c r="B34" i="61"/>
  <c r="B33" i="61"/>
  <c r="B38" i="60"/>
  <c r="B36" i="60"/>
  <c r="A36" i="60"/>
  <c r="B34" i="60"/>
  <c r="B33" i="60"/>
  <c r="B38" i="59"/>
  <c r="B36" i="59"/>
  <c r="B34" i="59"/>
  <c r="B33" i="59"/>
  <c r="B38" i="58"/>
  <c r="A37" i="58"/>
  <c r="B36" i="58"/>
  <c r="B34" i="58"/>
  <c r="B33" i="58"/>
  <c r="A36" i="3"/>
  <c r="B36" i="3"/>
  <c r="B38" i="3"/>
  <c r="B34" i="3"/>
  <c r="B33" i="3"/>
  <c r="A35" i="18"/>
  <c r="A35" i="83" s="1"/>
  <c r="A36" i="18"/>
  <c r="A36" i="112" s="1"/>
  <c r="A37" i="18"/>
  <c r="A37" i="113" s="1"/>
  <c r="A38" i="18"/>
  <c r="A34" i="18"/>
  <c r="A34" i="81" s="1"/>
  <c r="A35" i="128" l="1"/>
  <c r="A35" i="127"/>
  <c r="A35" i="126"/>
  <c r="A35" i="129"/>
  <c r="A35" i="122"/>
  <c r="A35" i="118"/>
  <c r="A35" i="114"/>
  <c r="A35" i="124"/>
  <c r="A35" i="119"/>
  <c r="A35" i="121"/>
  <c r="A35" i="117"/>
  <c r="A35" i="125"/>
  <c r="A35" i="120"/>
  <c r="A35" i="116"/>
  <c r="A35" i="115"/>
  <c r="A35" i="110"/>
  <c r="A35" i="106"/>
  <c r="A35" i="102"/>
  <c r="A35" i="98"/>
  <c r="A35" i="94"/>
  <c r="A35" i="90"/>
  <c r="A35" i="86"/>
  <c r="A35" i="82"/>
  <c r="A35" i="76"/>
  <c r="A35" i="72"/>
  <c r="A35" i="68"/>
  <c r="A35" i="64"/>
  <c r="A35" i="60"/>
  <c r="A35" i="107"/>
  <c r="A35" i="103"/>
  <c r="A35" i="95"/>
  <c r="A35" i="113"/>
  <c r="A35" i="109"/>
  <c r="A35" i="105"/>
  <c r="A35" i="101"/>
  <c r="A35" i="97"/>
  <c r="A35" i="93"/>
  <c r="A35" i="89"/>
  <c r="A35" i="85"/>
  <c r="A35" i="81"/>
  <c r="A35" i="75"/>
  <c r="A35" i="71"/>
  <c r="A35" i="67"/>
  <c r="A35" i="63"/>
  <c r="A35" i="59"/>
  <c r="A35" i="111"/>
  <c r="A35" i="99"/>
  <c r="A35" i="112"/>
  <c r="A35" i="108"/>
  <c r="A35" i="104"/>
  <c r="A35" i="100"/>
  <c r="A35" i="96"/>
  <c r="A35" i="92"/>
  <c r="A35" i="88"/>
  <c r="A35" i="84"/>
  <c r="A35" i="80"/>
  <c r="A35" i="74"/>
  <c r="A35" i="70"/>
  <c r="A35" i="66"/>
  <c r="A35" i="62"/>
  <c r="A35" i="58"/>
  <c r="A35" i="3"/>
  <c r="A34" i="59"/>
  <c r="A35" i="65"/>
  <c r="A35" i="69"/>
  <c r="A35" i="87"/>
  <c r="A34" i="129"/>
  <c r="A34" i="128"/>
  <c r="A34" i="127"/>
  <c r="A34" i="126"/>
  <c r="A34" i="125"/>
  <c r="A34" i="120"/>
  <c r="A34" i="116"/>
  <c r="A34" i="117"/>
  <c r="A34" i="124"/>
  <c r="A34" i="119"/>
  <c r="A34" i="115"/>
  <c r="A34" i="122"/>
  <c r="A34" i="118"/>
  <c r="A34" i="114"/>
  <c r="A34" i="121"/>
  <c r="A34" i="112"/>
  <c r="A34" i="108"/>
  <c r="A34" i="104"/>
  <c r="A34" i="100"/>
  <c r="A34" i="96"/>
  <c r="A34" i="92"/>
  <c r="A34" i="88"/>
  <c r="A34" i="84"/>
  <c r="A34" i="80"/>
  <c r="A34" i="74"/>
  <c r="A34" i="70"/>
  <c r="A34" i="66"/>
  <c r="A34" i="62"/>
  <c r="A34" i="58"/>
  <c r="A34" i="3"/>
  <c r="A34" i="109"/>
  <c r="A34" i="101"/>
  <c r="A34" i="111"/>
  <c r="A34" i="107"/>
  <c r="A34" i="103"/>
  <c r="A34" i="99"/>
  <c r="A34" i="95"/>
  <c r="A34" i="91"/>
  <c r="A34" i="87"/>
  <c r="A34" i="83"/>
  <c r="A34" i="78"/>
  <c r="A34" i="73"/>
  <c r="A34" i="69"/>
  <c r="A34" i="65"/>
  <c r="A34" i="61"/>
  <c r="A34" i="110"/>
  <c r="A34" i="106"/>
  <c r="A34" i="102"/>
  <c r="A34" i="98"/>
  <c r="A34" i="94"/>
  <c r="A34" i="90"/>
  <c r="A34" i="86"/>
  <c r="A34" i="82"/>
  <c r="A34" i="76"/>
  <c r="A34" i="72"/>
  <c r="A34" i="68"/>
  <c r="A34" i="64"/>
  <c r="A34" i="60"/>
  <c r="A34" i="113"/>
  <c r="A34" i="105"/>
  <c r="A34" i="97"/>
  <c r="A34" i="93"/>
  <c r="A34" i="75"/>
  <c r="A34" i="63"/>
  <c r="A34" i="67"/>
  <c r="A35" i="73"/>
  <c r="A34" i="85"/>
  <c r="A35" i="91"/>
  <c r="A38" i="128"/>
  <c r="A38" i="127"/>
  <c r="A38" i="126"/>
  <c r="A38" i="129"/>
  <c r="A38" i="122"/>
  <c r="A38" i="118"/>
  <c r="A38" i="114"/>
  <c r="A38" i="124"/>
  <c r="A38" i="121"/>
  <c r="A38" i="117"/>
  <c r="A38" i="115"/>
  <c r="A38" i="125"/>
  <c r="A38" i="120"/>
  <c r="A38" i="116"/>
  <c r="A38" i="119"/>
  <c r="A38" i="3"/>
  <c r="A38" i="58"/>
  <c r="A37" i="59"/>
  <c r="A36" i="61"/>
  <c r="A38" i="62"/>
  <c r="A37" i="63"/>
  <c r="A36" i="65"/>
  <c r="A38" i="66"/>
  <c r="A37" i="67"/>
  <c r="A36" i="69"/>
  <c r="A38" i="70"/>
  <c r="A37" i="71"/>
  <c r="A36" i="73"/>
  <c r="A38" i="74"/>
  <c r="A37" i="75"/>
  <c r="A36" i="78"/>
  <c r="A38" i="80"/>
  <c r="A37" i="81"/>
  <c r="A36" i="83"/>
  <c r="A38" i="84"/>
  <c r="A37" i="85"/>
  <c r="A36" i="87"/>
  <c r="A38" i="88"/>
  <c r="A37" i="89"/>
  <c r="A36" i="91"/>
  <c r="A38" i="92"/>
  <c r="A37" i="93"/>
  <c r="A36" i="95"/>
  <c r="A38" i="96"/>
  <c r="A37" i="97"/>
  <c r="A36" i="99"/>
  <c r="A38" i="100"/>
  <c r="A37" i="101"/>
  <c r="A36" i="103"/>
  <c r="A38" i="104"/>
  <c r="A37" i="105"/>
  <c r="A36" i="107"/>
  <c r="A38" i="108"/>
  <c r="A37" i="109"/>
  <c r="A36" i="111"/>
  <c r="A38" i="112"/>
  <c r="A37" i="128"/>
  <c r="A37" i="127"/>
  <c r="A37" i="126"/>
  <c r="A37" i="129"/>
  <c r="A37" i="124"/>
  <c r="A37" i="119"/>
  <c r="A37" i="115"/>
  <c r="A37" i="125"/>
  <c r="A37" i="122"/>
  <c r="A37" i="118"/>
  <c r="A37" i="114"/>
  <c r="A37" i="120"/>
  <c r="A37" i="121"/>
  <c r="A37" i="117"/>
  <c r="A37" i="116"/>
  <c r="A37" i="3"/>
  <c r="A36" i="58"/>
  <c r="A38" i="59"/>
  <c r="A37" i="60"/>
  <c r="A36" i="62"/>
  <c r="A38" i="63"/>
  <c r="A37" i="64"/>
  <c r="A36" i="66"/>
  <c r="A38" i="67"/>
  <c r="A37" i="68"/>
  <c r="A36" i="70"/>
  <c r="A38" i="71"/>
  <c r="A37" i="72"/>
  <c r="A36" i="74"/>
  <c r="A38" i="75"/>
  <c r="A37" i="76"/>
  <c r="A36" i="80"/>
  <c r="A38" i="81"/>
  <c r="A37" i="82"/>
  <c r="A36" i="84"/>
  <c r="A38" i="85"/>
  <c r="A37" i="86"/>
  <c r="A36" i="88"/>
  <c r="A38" i="89"/>
  <c r="A37" i="90"/>
  <c r="A36" i="92"/>
  <c r="A38" i="93"/>
  <c r="A37" i="94"/>
  <c r="A36" i="96"/>
  <c r="A38" i="97"/>
  <c r="A37" i="98"/>
  <c r="A36" i="100"/>
  <c r="A38" i="101"/>
  <c r="A37" i="102"/>
  <c r="A36" i="104"/>
  <c r="A38" i="105"/>
  <c r="A37" i="106"/>
  <c r="A36" i="108"/>
  <c r="A38" i="109"/>
  <c r="A37" i="110"/>
  <c r="A38" i="113"/>
  <c r="A36" i="129"/>
  <c r="A36" i="127"/>
  <c r="A36" i="126"/>
  <c r="A36" i="128"/>
  <c r="A36" i="121"/>
  <c r="A36" i="117"/>
  <c r="A36" i="118"/>
  <c r="A36" i="114"/>
  <c r="A36" i="125"/>
  <c r="A36" i="120"/>
  <c r="A36" i="116"/>
  <c r="A36" i="122"/>
  <c r="A36" i="124"/>
  <c r="A36" i="119"/>
  <c r="A36" i="115"/>
  <c r="A36" i="59"/>
  <c r="A38" i="60"/>
  <c r="A37" i="61"/>
  <c r="A36" i="63"/>
  <c r="A38" i="64"/>
  <c r="A37" i="65"/>
  <c r="A36" i="67"/>
  <c r="A38" i="68"/>
  <c r="A37" i="69"/>
  <c r="A36" i="71"/>
  <c r="A38" i="72"/>
  <c r="A37" i="73"/>
  <c r="A36" i="75"/>
  <c r="A38" i="76"/>
  <c r="A37" i="78"/>
  <c r="A36" i="81"/>
  <c r="A38" i="82"/>
  <c r="A37" i="83"/>
  <c r="A36" i="85"/>
  <c r="A38" i="86"/>
  <c r="A37" i="87"/>
  <c r="A36" i="89"/>
  <c r="A38" i="90"/>
  <c r="A37" i="91"/>
  <c r="A36" i="93"/>
  <c r="A38" i="94"/>
  <c r="A37" i="95"/>
  <c r="A36" i="97"/>
  <c r="A38" i="98"/>
  <c r="A37" i="99"/>
  <c r="A36" i="101"/>
  <c r="A38" i="102"/>
  <c r="A37" i="103"/>
  <c r="A36" i="105"/>
  <c r="A38" i="106"/>
  <c r="A37" i="107"/>
  <c r="A36" i="109"/>
  <c r="A38" i="110"/>
  <c r="A37" i="111"/>
  <c r="A36" i="113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F30" i="98"/>
  <c r="F30" i="97"/>
  <c r="F30" i="96"/>
  <c r="F30" i="95"/>
  <c r="F30" i="94"/>
  <c r="F30" i="93"/>
  <c r="F30" i="92"/>
  <c r="F30" i="91"/>
  <c r="F30" i="90"/>
  <c r="F30" i="89"/>
  <c r="F30" i="88"/>
  <c r="F30" i="87"/>
  <c r="F30" i="86"/>
  <c r="F30" i="85"/>
  <c r="F30" i="84"/>
  <c r="F30" i="83"/>
  <c r="F30" i="82"/>
  <c r="F30" i="81"/>
  <c r="F30" i="80"/>
  <c r="F30" i="78"/>
  <c r="F30" i="76"/>
  <c r="F30" i="75"/>
  <c r="F30" i="74"/>
  <c r="F30" i="73"/>
  <c r="F30" i="71"/>
  <c r="F30" i="70"/>
  <c r="F30" i="69"/>
  <c r="F30" i="68"/>
  <c r="F30" i="67"/>
  <c r="F30" i="66"/>
  <c r="F30" i="65"/>
  <c r="F30" i="64"/>
  <c r="F30" i="63"/>
  <c r="F30" i="62"/>
  <c r="F30" i="61"/>
  <c r="F30" i="60"/>
  <c r="F30" i="59"/>
  <c r="F30" i="58"/>
  <c r="F30" i="3"/>
  <c r="F30" i="16"/>
  <c r="F30" i="19"/>
  <c r="F30" i="17"/>
  <c r="F30" i="18"/>
  <c r="F30" i="14"/>
  <c r="F3" i="27" l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2" i="27"/>
  <c r="B1" i="98" l="1"/>
  <c r="E30" i="98"/>
  <c r="E41" i="27" s="1"/>
  <c r="D30" i="98"/>
  <c r="D41" i="27" s="1"/>
  <c r="C30" i="98"/>
  <c r="B31" i="98" l="1"/>
  <c r="G41" i="27" s="1"/>
  <c r="H41" i="27" s="1"/>
  <c r="C41" i="27"/>
  <c r="B1" i="97"/>
  <c r="B1" i="96"/>
  <c r="B1" i="95"/>
  <c r="B1" i="94"/>
  <c r="B1" i="93"/>
  <c r="B1" i="92"/>
  <c r="B1" i="91"/>
  <c r="B1" i="90"/>
  <c r="B1" i="89"/>
  <c r="E30" i="97"/>
  <c r="E40" i="27" s="1"/>
  <c r="D30" i="97"/>
  <c r="D40" i="27" s="1"/>
  <c r="C30" i="97"/>
  <c r="E30" i="96"/>
  <c r="E39" i="27" s="1"/>
  <c r="D30" i="96"/>
  <c r="D39" i="27" s="1"/>
  <c r="C30" i="96"/>
  <c r="E30" i="95"/>
  <c r="E38" i="27" s="1"/>
  <c r="D30" i="95"/>
  <c r="D38" i="27" s="1"/>
  <c r="C30" i="95"/>
  <c r="E30" i="94"/>
  <c r="E37" i="27" s="1"/>
  <c r="D30" i="94"/>
  <c r="D37" i="27" s="1"/>
  <c r="C30" i="94"/>
  <c r="C37" i="27" s="1"/>
  <c r="E30" i="93"/>
  <c r="E36" i="27" s="1"/>
  <c r="D30" i="93"/>
  <c r="D36" i="27" s="1"/>
  <c r="C30" i="93"/>
  <c r="C36" i="27" s="1"/>
  <c r="E30" i="92"/>
  <c r="E35" i="27" s="1"/>
  <c r="D30" i="92"/>
  <c r="D35" i="27" s="1"/>
  <c r="C30" i="92"/>
  <c r="C35" i="27" s="1"/>
  <c r="E30" i="91"/>
  <c r="E34" i="27" s="1"/>
  <c r="D30" i="91"/>
  <c r="D34" i="27" s="1"/>
  <c r="C30" i="91"/>
  <c r="E30" i="90"/>
  <c r="E33" i="27" s="1"/>
  <c r="D30" i="90"/>
  <c r="D33" i="27" s="1"/>
  <c r="C30" i="90"/>
  <c r="E30" i="89"/>
  <c r="E32" i="27" s="1"/>
  <c r="D30" i="89"/>
  <c r="D32" i="27" s="1"/>
  <c r="C30" i="89"/>
  <c r="B31" i="96" l="1"/>
  <c r="G39" i="27" s="1"/>
  <c r="H39" i="27" s="1"/>
  <c r="C39" i="27"/>
  <c r="B31" i="95"/>
  <c r="G38" i="27" s="1"/>
  <c r="H38" i="27" s="1"/>
  <c r="C38" i="27"/>
  <c r="B31" i="94"/>
  <c r="G37" i="27" s="1"/>
  <c r="H37" i="27" s="1"/>
  <c r="B31" i="93"/>
  <c r="G36" i="27" s="1"/>
  <c r="H36" i="27" s="1"/>
  <c r="B31" i="92"/>
  <c r="G35" i="27" s="1"/>
  <c r="H35" i="27" s="1"/>
  <c r="B31" i="91"/>
  <c r="G34" i="27" s="1"/>
  <c r="H34" i="27" s="1"/>
  <c r="C34" i="27"/>
  <c r="B31" i="90"/>
  <c r="G33" i="27" s="1"/>
  <c r="H33" i="27" s="1"/>
  <c r="C33" i="27"/>
  <c r="B31" i="89"/>
  <c r="G32" i="27" s="1"/>
  <c r="H32" i="27" s="1"/>
  <c r="C32" i="27"/>
  <c r="B31" i="97"/>
  <c r="G40" i="27" s="1"/>
  <c r="H40" i="27" s="1"/>
  <c r="C40" i="27"/>
  <c r="B1" i="88" l="1"/>
  <c r="B1" i="87"/>
  <c r="B1" i="86"/>
  <c r="B1" i="85"/>
  <c r="B1" i="84"/>
  <c r="B1" i="83"/>
  <c r="B1" i="82"/>
  <c r="B1" i="81"/>
  <c r="B1" i="80"/>
  <c r="B1" i="78"/>
  <c r="B1" i="76"/>
  <c r="B1" i="75"/>
  <c r="B1" i="74"/>
  <c r="B1" i="73"/>
  <c r="B1" i="72"/>
  <c r="B1" i="71"/>
  <c r="B1" i="70"/>
  <c r="B1" i="69"/>
  <c r="B1" i="68"/>
  <c r="B1" i="67"/>
  <c r="B1" i="66"/>
  <c r="B1" i="65"/>
  <c r="B1" i="64"/>
  <c r="B1" i="63"/>
  <c r="B1" i="62"/>
  <c r="B1" i="61"/>
  <c r="B1" i="60"/>
  <c r="E30" i="88"/>
  <c r="E31" i="27" s="1"/>
  <c r="D30" i="88"/>
  <c r="D31" i="27" s="1"/>
  <c r="C30" i="88"/>
  <c r="E30" i="87"/>
  <c r="E30" i="27" s="1"/>
  <c r="D30" i="87"/>
  <c r="D30" i="27" s="1"/>
  <c r="C30" i="87"/>
  <c r="E30" i="86"/>
  <c r="E29" i="27" s="1"/>
  <c r="D30" i="86"/>
  <c r="D29" i="27" s="1"/>
  <c r="C30" i="86"/>
  <c r="E30" i="85"/>
  <c r="E28" i="27" s="1"/>
  <c r="D30" i="85"/>
  <c r="D28" i="27" s="1"/>
  <c r="C30" i="85"/>
  <c r="E30" i="84"/>
  <c r="E27" i="27" s="1"/>
  <c r="D30" i="84"/>
  <c r="D27" i="27" s="1"/>
  <c r="C30" i="84"/>
  <c r="E30" i="83"/>
  <c r="E26" i="27" s="1"/>
  <c r="D30" i="83"/>
  <c r="D26" i="27" s="1"/>
  <c r="C30" i="83"/>
  <c r="E30" i="82"/>
  <c r="E25" i="27" s="1"/>
  <c r="D30" i="82"/>
  <c r="D25" i="27" s="1"/>
  <c r="C30" i="82"/>
  <c r="E30" i="81"/>
  <c r="E24" i="27" s="1"/>
  <c r="D30" i="81"/>
  <c r="D24" i="27" s="1"/>
  <c r="C30" i="81"/>
  <c r="E30" i="80"/>
  <c r="E23" i="27" s="1"/>
  <c r="D30" i="80"/>
  <c r="D23" i="27" s="1"/>
  <c r="C30" i="80"/>
  <c r="E30" i="78"/>
  <c r="E22" i="27" s="1"/>
  <c r="D30" i="78"/>
  <c r="D22" i="27" s="1"/>
  <c r="C30" i="78"/>
  <c r="E30" i="76"/>
  <c r="E21" i="27" s="1"/>
  <c r="D30" i="76"/>
  <c r="D21" i="27" s="1"/>
  <c r="C30" i="76"/>
  <c r="E30" i="75"/>
  <c r="E20" i="27" s="1"/>
  <c r="D30" i="75"/>
  <c r="D20" i="27" s="1"/>
  <c r="C30" i="75"/>
  <c r="E30" i="74"/>
  <c r="E19" i="27" s="1"/>
  <c r="D30" i="74"/>
  <c r="D19" i="27" s="1"/>
  <c r="C30" i="74"/>
  <c r="E30" i="73"/>
  <c r="E18" i="27" s="1"/>
  <c r="D30" i="73"/>
  <c r="D18" i="27" s="1"/>
  <c r="C30" i="73"/>
  <c r="E30" i="72"/>
  <c r="E17" i="27" s="1"/>
  <c r="D30" i="72"/>
  <c r="D17" i="27" s="1"/>
  <c r="C30" i="72"/>
  <c r="E30" i="71"/>
  <c r="E16" i="27" s="1"/>
  <c r="D30" i="71"/>
  <c r="D16" i="27" s="1"/>
  <c r="C30" i="71"/>
  <c r="E30" i="70"/>
  <c r="E15" i="27" s="1"/>
  <c r="D30" i="70"/>
  <c r="D15" i="27" s="1"/>
  <c r="C30" i="70"/>
  <c r="E30" i="69"/>
  <c r="E14" i="27" s="1"/>
  <c r="D30" i="69"/>
  <c r="D14" i="27" s="1"/>
  <c r="C30" i="69"/>
  <c r="E30" i="68"/>
  <c r="E13" i="27" s="1"/>
  <c r="D30" i="68"/>
  <c r="D13" i="27" s="1"/>
  <c r="C30" i="68"/>
  <c r="E30" i="67"/>
  <c r="E12" i="27" s="1"/>
  <c r="D30" i="67"/>
  <c r="D12" i="27" s="1"/>
  <c r="C30" i="67"/>
  <c r="E30" i="66"/>
  <c r="E11" i="27" s="1"/>
  <c r="D30" i="66"/>
  <c r="D11" i="27" s="1"/>
  <c r="C30" i="66"/>
  <c r="E30" i="65"/>
  <c r="E10" i="27" s="1"/>
  <c r="D30" i="65"/>
  <c r="D10" i="27" s="1"/>
  <c r="C30" i="65"/>
  <c r="E30" i="64"/>
  <c r="E9" i="27" s="1"/>
  <c r="D30" i="64"/>
  <c r="D9" i="27" s="1"/>
  <c r="C30" i="64"/>
  <c r="E30" i="63"/>
  <c r="E8" i="27" s="1"/>
  <c r="D30" i="63"/>
  <c r="D8" i="27" s="1"/>
  <c r="C30" i="63"/>
  <c r="E30" i="62"/>
  <c r="E7" i="27" s="1"/>
  <c r="D30" i="62"/>
  <c r="D7" i="27" s="1"/>
  <c r="C30" i="62"/>
  <c r="E30" i="61"/>
  <c r="E6" i="27" s="1"/>
  <c r="D30" i="61"/>
  <c r="D6" i="27" s="1"/>
  <c r="C30" i="61"/>
  <c r="E30" i="60"/>
  <c r="E5" i="27" s="1"/>
  <c r="D30" i="60"/>
  <c r="D5" i="27" s="1"/>
  <c r="C30" i="60"/>
  <c r="B1" i="59"/>
  <c r="E30" i="59"/>
  <c r="E4" i="27" s="1"/>
  <c r="D30" i="59"/>
  <c r="D4" i="27" s="1"/>
  <c r="C30" i="59"/>
  <c r="B1" i="58"/>
  <c r="B1" i="3"/>
  <c r="E30" i="58"/>
  <c r="E3" i="27" s="1"/>
  <c r="D30" i="58"/>
  <c r="D3" i="27" s="1"/>
  <c r="C30" i="58"/>
  <c r="A3" i="1"/>
  <c r="C31" i="27" l="1"/>
  <c r="B31" i="88"/>
  <c r="G31" i="27" s="1"/>
  <c r="H31" i="27" s="1"/>
  <c r="B31" i="87"/>
  <c r="G30" i="27" s="1"/>
  <c r="H30" i="27" s="1"/>
  <c r="C30" i="27"/>
  <c r="C29" i="27"/>
  <c r="B31" i="86"/>
  <c r="G29" i="27" s="1"/>
  <c r="H29" i="27" s="1"/>
  <c r="C28" i="27"/>
  <c r="B31" i="85"/>
  <c r="G28" i="27" s="1"/>
  <c r="H28" i="27" s="1"/>
  <c r="C27" i="27"/>
  <c r="B31" i="84"/>
  <c r="G27" i="27" s="1"/>
  <c r="H27" i="27" s="1"/>
  <c r="C26" i="27"/>
  <c r="B31" i="83"/>
  <c r="G26" i="27" s="1"/>
  <c r="H26" i="27" s="1"/>
  <c r="B31" i="82"/>
  <c r="G25" i="27" s="1"/>
  <c r="H25" i="27" s="1"/>
  <c r="C25" i="27"/>
  <c r="C24" i="27"/>
  <c r="B31" i="81"/>
  <c r="G24" i="27" s="1"/>
  <c r="H24" i="27" s="1"/>
  <c r="C23" i="27"/>
  <c r="B31" i="80"/>
  <c r="G23" i="27" s="1"/>
  <c r="H23" i="27" s="1"/>
  <c r="C22" i="27"/>
  <c r="B31" i="78"/>
  <c r="G22" i="27" s="1"/>
  <c r="H22" i="27" s="1"/>
  <c r="C21" i="27"/>
  <c r="B31" i="76"/>
  <c r="G21" i="27" s="1"/>
  <c r="H21" i="27" s="1"/>
  <c r="C20" i="27"/>
  <c r="B31" i="75"/>
  <c r="G20" i="27" s="1"/>
  <c r="H20" i="27" s="1"/>
  <c r="C19" i="27"/>
  <c r="B31" i="74"/>
  <c r="G19" i="27" s="1"/>
  <c r="H19" i="27" s="1"/>
  <c r="C18" i="27"/>
  <c r="B31" i="73"/>
  <c r="G18" i="27" s="1"/>
  <c r="H18" i="27" s="1"/>
  <c r="C17" i="27"/>
  <c r="B31" i="72"/>
  <c r="G17" i="27" s="1"/>
  <c r="H17" i="27" s="1"/>
  <c r="C16" i="27"/>
  <c r="B31" i="71"/>
  <c r="G16" i="27" s="1"/>
  <c r="H16" i="27" s="1"/>
  <c r="C15" i="27"/>
  <c r="B31" i="70"/>
  <c r="G15" i="27" s="1"/>
  <c r="H15" i="27" s="1"/>
  <c r="C14" i="27"/>
  <c r="B31" i="69"/>
  <c r="G14" i="27" s="1"/>
  <c r="H14" i="27" s="1"/>
  <c r="C13" i="27"/>
  <c r="B31" i="68"/>
  <c r="G13" i="27" s="1"/>
  <c r="H13" i="27" s="1"/>
  <c r="C12" i="27"/>
  <c r="B31" i="67"/>
  <c r="G12" i="27" s="1"/>
  <c r="H12" i="27" s="1"/>
  <c r="C11" i="27"/>
  <c r="B31" i="66"/>
  <c r="G11" i="27" s="1"/>
  <c r="H11" i="27" s="1"/>
  <c r="C9" i="27"/>
  <c r="B31" i="64"/>
  <c r="G9" i="27" s="1"/>
  <c r="H9" i="27" s="1"/>
  <c r="C8" i="27"/>
  <c r="B31" i="63"/>
  <c r="G8" i="27" s="1"/>
  <c r="H8" i="27" s="1"/>
  <c r="C7" i="27"/>
  <c r="B31" i="62"/>
  <c r="G7" i="27" s="1"/>
  <c r="H7" i="27" s="1"/>
  <c r="C6" i="27"/>
  <c r="B31" i="61"/>
  <c r="G6" i="27" s="1"/>
  <c r="H6" i="27" s="1"/>
  <c r="C3" i="27"/>
  <c r="B31" i="58"/>
  <c r="G3" i="27" s="1"/>
  <c r="H3" i="27" s="1"/>
  <c r="C10" i="27"/>
  <c r="B31" i="65"/>
  <c r="G10" i="27" s="1"/>
  <c r="H10" i="27" s="1"/>
  <c r="C5" i="27"/>
  <c r="B31" i="60"/>
  <c r="G5" i="27" s="1"/>
  <c r="H5" i="27" s="1"/>
  <c r="C4" i="27"/>
  <c r="B31" i="59"/>
  <c r="G4" i="27" s="1"/>
  <c r="H4" i="27" s="1"/>
  <c r="E3" i="1"/>
  <c r="B3" i="129" l="1"/>
  <c r="A3" i="129" s="1"/>
  <c r="B3" i="128"/>
  <c r="A3" i="128" s="1"/>
  <c r="B3" i="127"/>
  <c r="A3" i="127" s="1"/>
  <c r="B3" i="126"/>
  <c r="A3" i="126" s="1"/>
  <c r="B3" i="125"/>
  <c r="A3" i="125" s="1"/>
  <c r="B3" i="124"/>
  <c r="A3" i="124" s="1"/>
  <c r="B3" i="122"/>
  <c r="A3" i="122" s="1"/>
  <c r="B3" i="121"/>
  <c r="A3" i="121" s="1"/>
  <c r="B3" i="120"/>
  <c r="A3" i="120" s="1"/>
  <c r="B3" i="119"/>
  <c r="A3" i="119" s="1"/>
  <c r="B3" i="118"/>
  <c r="A3" i="118" s="1"/>
  <c r="B3" i="117"/>
  <c r="A3" i="117" s="1"/>
  <c r="B3" i="116"/>
  <c r="A3" i="116" s="1"/>
  <c r="B3" i="115"/>
  <c r="A3" i="115" s="1"/>
  <c r="B3" i="114"/>
  <c r="A3" i="114" s="1"/>
  <c r="B3" i="113"/>
  <c r="A3" i="113" s="1"/>
  <c r="B3" i="112"/>
  <c r="A3" i="112" s="1"/>
  <c r="B3" i="111"/>
  <c r="A3" i="111" s="1"/>
  <c r="B3" i="110"/>
  <c r="A3" i="110" s="1"/>
  <c r="B3" i="109"/>
  <c r="A3" i="109" s="1"/>
  <c r="B3" i="108"/>
  <c r="A3" i="108" s="1"/>
  <c r="B3" i="107"/>
  <c r="A3" i="107" s="1"/>
  <c r="B3" i="106"/>
  <c r="A3" i="106" s="1"/>
  <c r="B3" i="105"/>
  <c r="A3" i="105" s="1"/>
  <c r="B3" i="104"/>
  <c r="A3" i="104" s="1"/>
  <c r="B3" i="103"/>
  <c r="A3" i="103" s="1"/>
  <c r="B3" i="102"/>
  <c r="A3" i="102" s="1"/>
  <c r="B3" i="101"/>
  <c r="A3" i="101" s="1"/>
  <c r="B3" i="100"/>
  <c r="A3" i="100" s="1"/>
  <c r="B3" i="99"/>
  <c r="A3" i="99" s="1"/>
  <c r="E30" i="19"/>
  <c r="D30" i="19"/>
  <c r="C30" i="19"/>
  <c r="E30" i="18"/>
  <c r="D30" i="18"/>
  <c r="C30" i="18"/>
  <c r="E30" i="17"/>
  <c r="D30" i="17"/>
  <c r="C30" i="17"/>
  <c r="E30" i="16"/>
  <c r="D30" i="16"/>
  <c r="C30" i="16"/>
  <c r="E30" i="14"/>
  <c r="D30" i="14"/>
  <c r="C30" i="14"/>
  <c r="D30" i="3"/>
  <c r="D2" i="27" s="1"/>
  <c r="E30" i="3"/>
  <c r="E2" i="27" s="1"/>
  <c r="C30" i="3"/>
  <c r="E7" i="1"/>
  <c r="E29" i="1"/>
  <c r="A29" i="1"/>
  <c r="E18" i="1"/>
  <c r="A18" i="1"/>
  <c r="A7" i="1"/>
  <c r="E22" i="1"/>
  <c r="A22" i="1"/>
  <c r="E10" i="1"/>
  <c r="A10" i="1"/>
  <c r="E26" i="1"/>
  <c r="A26" i="1"/>
  <c r="E15" i="1"/>
  <c r="A15" i="1"/>
  <c r="E23" i="1"/>
  <c r="A23" i="1"/>
  <c r="E6" i="1"/>
  <c r="A6" i="1"/>
  <c r="E27" i="1"/>
  <c r="A27" i="1"/>
  <c r="E12" i="1"/>
  <c r="A12" i="1"/>
  <c r="E24" i="1"/>
  <c r="A24" i="1"/>
  <c r="E21" i="1"/>
  <c r="A21" i="1"/>
  <c r="E17" i="1"/>
  <c r="A17" i="1"/>
  <c r="E14" i="1"/>
  <c r="A14" i="1"/>
  <c r="E5" i="1"/>
  <c r="A5" i="1"/>
  <c r="E16" i="1"/>
  <c r="A16" i="1"/>
  <c r="E20" i="1"/>
  <c r="A20" i="1"/>
  <c r="E8" i="1"/>
  <c r="A8" i="1"/>
  <c r="E11" i="1"/>
  <c r="A11" i="1"/>
  <c r="E28" i="1"/>
  <c r="A28" i="1"/>
  <c r="E4" i="1"/>
  <c r="A4" i="1"/>
  <c r="E9" i="1"/>
  <c r="A9" i="1"/>
  <c r="E25" i="1"/>
  <c r="A25" i="1"/>
  <c r="E19" i="1"/>
  <c r="A19" i="1"/>
  <c r="E13" i="1"/>
  <c r="A13" i="1"/>
  <c r="B9" i="128" l="1"/>
  <c r="B9" i="127"/>
  <c r="B9" i="126"/>
  <c r="B9" i="129"/>
  <c r="B11" i="129"/>
  <c r="B11" i="128"/>
  <c r="B11" i="127"/>
  <c r="B11" i="126"/>
  <c r="B26" i="128"/>
  <c r="B26" i="129"/>
  <c r="B26" i="127"/>
  <c r="B26" i="126"/>
  <c r="B27" i="129"/>
  <c r="B27" i="128"/>
  <c r="B27" i="127"/>
  <c r="B27" i="126"/>
  <c r="B16" i="129"/>
  <c r="B16" i="128"/>
  <c r="B16" i="127"/>
  <c r="B16" i="126"/>
  <c r="B12" i="128"/>
  <c r="B12" i="127"/>
  <c r="B12" i="126"/>
  <c r="B12" i="129"/>
  <c r="B29" i="128"/>
  <c r="B29" i="127"/>
  <c r="B29" i="126"/>
  <c r="B29" i="129"/>
  <c r="B17" i="128"/>
  <c r="B17" i="127"/>
  <c r="B17" i="126"/>
  <c r="B17" i="129"/>
  <c r="B21" i="128"/>
  <c r="B21" i="127"/>
  <c r="B21" i="126"/>
  <c r="B21" i="129"/>
  <c r="B4" i="128"/>
  <c r="A4" i="128" s="1"/>
  <c r="B4" i="127"/>
  <c r="A4" i="127" s="1"/>
  <c r="B4" i="126"/>
  <c r="A4" i="126" s="1"/>
  <c r="B4" i="129"/>
  <c r="A4" i="129" s="1"/>
  <c r="B18" i="128"/>
  <c r="B18" i="127"/>
  <c r="B18" i="126"/>
  <c r="B18" i="129"/>
  <c r="B28" i="128"/>
  <c r="B28" i="127"/>
  <c r="B28" i="126"/>
  <c r="B28" i="129"/>
  <c r="B7" i="129"/>
  <c r="B7" i="128"/>
  <c r="B7" i="127"/>
  <c r="B7" i="126"/>
  <c r="B25" i="128"/>
  <c r="B25" i="127"/>
  <c r="B25" i="126"/>
  <c r="B25" i="129"/>
  <c r="B8" i="126"/>
  <c r="B8" i="128"/>
  <c r="B8" i="127"/>
  <c r="B8" i="129"/>
  <c r="B14" i="129"/>
  <c r="B14" i="128"/>
  <c r="B14" i="127"/>
  <c r="B14" i="126"/>
  <c r="B6" i="128"/>
  <c r="B6" i="129"/>
  <c r="B6" i="127"/>
  <c r="B6" i="126"/>
  <c r="B13" i="128"/>
  <c r="B13" i="127"/>
  <c r="B13" i="126"/>
  <c r="B13" i="129"/>
  <c r="B5" i="128"/>
  <c r="A5" i="128" s="1"/>
  <c r="B5" i="127"/>
  <c r="A5" i="127" s="1"/>
  <c r="B5" i="126"/>
  <c r="A5" i="126" s="1"/>
  <c r="B5" i="129"/>
  <c r="A5" i="129" s="1"/>
  <c r="B15" i="129"/>
  <c r="B15" i="128"/>
  <c r="B15" i="127"/>
  <c r="B15" i="126"/>
  <c r="B22" i="127"/>
  <c r="B22" i="126"/>
  <c r="B22" i="129"/>
  <c r="B22" i="128"/>
  <c r="B20" i="128"/>
  <c r="B20" i="127"/>
  <c r="B20" i="126"/>
  <c r="B20" i="129"/>
  <c r="B23" i="129"/>
  <c r="B23" i="128"/>
  <c r="B23" i="127"/>
  <c r="B23" i="126"/>
  <c r="B10" i="129"/>
  <c r="B10" i="128"/>
  <c r="B10" i="127"/>
  <c r="A10" i="127" s="1"/>
  <c r="B10" i="126"/>
  <c r="B19" i="129"/>
  <c r="B19" i="128"/>
  <c r="A19" i="128" s="1"/>
  <c r="B19" i="127"/>
  <c r="A19" i="127" s="1"/>
  <c r="B19" i="126"/>
  <c r="A19" i="126" s="1"/>
  <c r="B24" i="128"/>
  <c r="B24" i="127"/>
  <c r="B24" i="126"/>
  <c r="B24" i="129"/>
  <c r="B10" i="125"/>
  <c r="B10" i="124"/>
  <c r="B10" i="122"/>
  <c r="B10" i="121"/>
  <c r="B10" i="120"/>
  <c r="B10" i="119"/>
  <c r="B10" i="118"/>
  <c r="B10" i="117"/>
  <c r="B10" i="116"/>
  <c r="B10" i="115"/>
  <c r="B10" i="114"/>
  <c r="B10" i="113"/>
  <c r="B10" i="112"/>
  <c r="B10" i="111"/>
  <c r="B10" i="110"/>
  <c r="B10" i="109"/>
  <c r="B10" i="108"/>
  <c r="B10" i="107"/>
  <c r="B10" i="106"/>
  <c r="B10" i="105"/>
  <c r="B10" i="104"/>
  <c r="B10" i="103"/>
  <c r="B10" i="102"/>
  <c r="B10" i="101"/>
  <c r="B10" i="100"/>
  <c r="B10" i="99"/>
  <c r="B26" i="125"/>
  <c r="B26" i="124"/>
  <c r="B26" i="122"/>
  <c r="B26" i="121"/>
  <c r="B26" i="120"/>
  <c r="B26" i="119"/>
  <c r="B26" i="118"/>
  <c r="B26" i="117"/>
  <c r="B26" i="116"/>
  <c r="B26" i="115"/>
  <c r="B26" i="114"/>
  <c r="B26" i="113"/>
  <c r="B26" i="112"/>
  <c r="B26" i="111"/>
  <c r="B26" i="110"/>
  <c r="B26" i="109"/>
  <c r="B26" i="108"/>
  <c r="B26" i="107"/>
  <c r="B26" i="106"/>
  <c r="B26" i="105"/>
  <c r="B26" i="104"/>
  <c r="B26" i="103"/>
  <c r="B26" i="102"/>
  <c r="B26" i="101"/>
  <c r="B26" i="100"/>
  <c r="B26" i="99"/>
  <c r="B19" i="125"/>
  <c r="B19" i="124"/>
  <c r="B19" i="122"/>
  <c r="B19" i="121"/>
  <c r="B19" i="120"/>
  <c r="B19" i="119"/>
  <c r="B19" i="118"/>
  <c r="B19" i="117"/>
  <c r="B19" i="116"/>
  <c r="B19" i="114"/>
  <c r="B19" i="115"/>
  <c r="B19" i="113"/>
  <c r="B19" i="112"/>
  <c r="B19" i="111"/>
  <c r="B19" i="110"/>
  <c r="B19" i="109"/>
  <c r="B19" i="108"/>
  <c r="B19" i="107"/>
  <c r="B19" i="106"/>
  <c r="B19" i="105"/>
  <c r="B19" i="104"/>
  <c r="B19" i="103"/>
  <c r="B19" i="102"/>
  <c r="B19" i="101"/>
  <c r="B19" i="100"/>
  <c r="B19" i="99"/>
  <c r="B21" i="125"/>
  <c r="B21" i="124"/>
  <c r="B21" i="122"/>
  <c r="B21" i="121"/>
  <c r="B21" i="120"/>
  <c r="B21" i="119"/>
  <c r="B21" i="118"/>
  <c r="B21" i="117"/>
  <c r="B21" i="116"/>
  <c r="B21" i="115"/>
  <c r="B21" i="114"/>
  <c r="B21" i="113"/>
  <c r="B21" i="112"/>
  <c r="B21" i="111"/>
  <c r="B21" i="110"/>
  <c r="B21" i="109"/>
  <c r="B21" i="108"/>
  <c r="B21" i="107"/>
  <c r="B21" i="106"/>
  <c r="B21" i="105"/>
  <c r="B21" i="104"/>
  <c r="B21" i="103"/>
  <c r="B21" i="102"/>
  <c r="B21" i="101"/>
  <c r="B21" i="100"/>
  <c r="B21" i="99"/>
  <c r="B27" i="125"/>
  <c r="B27" i="124"/>
  <c r="B27" i="122"/>
  <c r="B27" i="121"/>
  <c r="B27" i="120"/>
  <c r="B27" i="119"/>
  <c r="B27" i="118"/>
  <c r="B27" i="117"/>
  <c r="B27" i="116"/>
  <c r="B27" i="115"/>
  <c r="B27" i="114"/>
  <c r="B27" i="113"/>
  <c r="B27" i="112"/>
  <c r="B27" i="111"/>
  <c r="B27" i="110"/>
  <c r="B27" i="109"/>
  <c r="B27" i="108"/>
  <c r="B27" i="106"/>
  <c r="B27" i="105"/>
  <c r="B27" i="104"/>
  <c r="B27" i="103"/>
  <c r="B27" i="102"/>
  <c r="B27" i="101"/>
  <c r="B27" i="100"/>
  <c r="B27" i="99"/>
  <c r="B27" i="107"/>
  <c r="B16" i="125"/>
  <c r="B16" i="124"/>
  <c r="B16" i="122"/>
  <c r="B16" i="121"/>
  <c r="B16" i="120"/>
  <c r="B16" i="119"/>
  <c r="B16" i="118"/>
  <c r="B16" i="117"/>
  <c r="B16" i="116"/>
  <c r="B16" i="115"/>
  <c r="B16" i="114"/>
  <c r="B16" i="113"/>
  <c r="B16" i="112"/>
  <c r="B16" i="111"/>
  <c r="B16" i="110"/>
  <c r="B16" i="109"/>
  <c r="B16" i="108"/>
  <c r="B16" i="107"/>
  <c r="B16" i="106"/>
  <c r="B16" i="105"/>
  <c r="B16" i="104"/>
  <c r="B16" i="103"/>
  <c r="B16" i="102"/>
  <c r="B16" i="101"/>
  <c r="B16" i="100"/>
  <c r="B16" i="99"/>
  <c r="B4" i="125"/>
  <c r="A4" i="125" s="1"/>
  <c r="B4" i="124"/>
  <c r="A4" i="124" s="1"/>
  <c r="B4" i="122"/>
  <c r="A4" i="122" s="1"/>
  <c r="B4" i="121"/>
  <c r="A4" i="121" s="1"/>
  <c r="B4" i="120"/>
  <c r="A4" i="120" s="1"/>
  <c r="B4" i="119"/>
  <c r="A4" i="119" s="1"/>
  <c r="B4" i="118"/>
  <c r="A4" i="118" s="1"/>
  <c r="B4" i="117"/>
  <c r="A4" i="117" s="1"/>
  <c r="B4" i="116"/>
  <c r="A4" i="116" s="1"/>
  <c r="B4" i="115"/>
  <c r="A4" i="115" s="1"/>
  <c r="B4" i="114"/>
  <c r="A4" i="114" s="1"/>
  <c r="B4" i="113"/>
  <c r="A4" i="113" s="1"/>
  <c r="B4" i="112"/>
  <c r="A4" i="112" s="1"/>
  <c r="B4" i="111"/>
  <c r="A4" i="111" s="1"/>
  <c r="B4" i="110"/>
  <c r="A4" i="110" s="1"/>
  <c r="B4" i="109"/>
  <c r="A4" i="109" s="1"/>
  <c r="B4" i="108"/>
  <c r="A4" i="108" s="1"/>
  <c r="B4" i="107"/>
  <c r="A4" i="107" s="1"/>
  <c r="B4" i="106"/>
  <c r="A4" i="106" s="1"/>
  <c r="B4" i="105"/>
  <c r="A4" i="105" s="1"/>
  <c r="B4" i="104"/>
  <c r="A4" i="104" s="1"/>
  <c r="B4" i="103"/>
  <c r="A4" i="103" s="1"/>
  <c r="B4" i="102"/>
  <c r="A4" i="102" s="1"/>
  <c r="B4" i="101"/>
  <c r="A4" i="101" s="1"/>
  <c r="B4" i="100"/>
  <c r="A4" i="100" s="1"/>
  <c r="B4" i="99"/>
  <c r="A4" i="99" s="1"/>
  <c r="B15" i="125"/>
  <c r="B15" i="124"/>
  <c r="B15" i="122"/>
  <c r="B15" i="121"/>
  <c r="B15" i="120"/>
  <c r="B15" i="119"/>
  <c r="B15" i="118"/>
  <c r="B15" i="117"/>
  <c r="B15" i="116"/>
  <c r="B15" i="115"/>
  <c r="B15" i="114"/>
  <c r="B15" i="113"/>
  <c r="B15" i="112"/>
  <c r="B15" i="111"/>
  <c r="B15" i="110"/>
  <c r="B15" i="109"/>
  <c r="B15" i="108"/>
  <c r="B15" i="107"/>
  <c r="B15" i="106"/>
  <c r="B15" i="105"/>
  <c r="B15" i="104"/>
  <c r="B15" i="103"/>
  <c r="B15" i="102"/>
  <c r="B15" i="101"/>
  <c r="B15" i="100"/>
  <c r="B15" i="99"/>
  <c r="B18" i="125"/>
  <c r="B18" i="124"/>
  <c r="B18" i="122"/>
  <c r="B18" i="121"/>
  <c r="B18" i="120"/>
  <c r="B18" i="119"/>
  <c r="B18" i="118"/>
  <c r="B18" i="117"/>
  <c r="B18" i="116"/>
  <c r="B18" i="115"/>
  <c r="B18" i="114"/>
  <c r="B18" i="113"/>
  <c r="B18" i="112"/>
  <c r="B18" i="111"/>
  <c r="B18" i="110"/>
  <c r="B18" i="109"/>
  <c r="B18" i="108"/>
  <c r="B18" i="107"/>
  <c r="B18" i="106"/>
  <c r="B18" i="105"/>
  <c r="B18" i="104"/>
  <c r="B18" i="103"/>
  <c r="B18" i="102"/>
  <c r="B18" i="101"/>
  <c r="B18" i="100"/>
  <c r="B18" i="99"/>
  <c r="B12" i="125"/>
  <c r="B12" i="124"/>
  <c r="B12" i="122"/>
  <c r="B12" i="121"/>
  <c r="B12" i="120"/>
  <c r="B12" i="119"/>
  <c r="B12" i="118"/>
  <c r="B12" i="117"/>
  <c r="B12" i="116"/>
  <c r="B12" i="115"/>
  <c r="B12" i="114"/>
  <c r="B12" i="113"/>
  <c r="B12" i="112"/>
  <c r="B12" i="111"/>
  <c r="B12" i="110"/>
  <c r="B12" i="109"/>
  <c r="B12" i="108"/>
  <c r="B12" i="107"/>
  <c r="B12" i="106"/>
  <c r="B12" i="105"/>
  <c r="B12" i="104"/>
  <c r="B12" i="103"/>
  <c r="B12" i="102"/>
  <c r="B12" i="101"/>
  <c r="B12" i="100"/>
  <c r="B12" i="99"/>
  <c r="B28" i="125"/>
  <c r="B28" i="124"/>
  <c r="B28" i="122"/>
  <c r="B28" i="121"/>
  <c r="B28" i="120"/>
  <c r="B28" i="119"/>
  <c r="B28" i="118"/>
  <c r="B28" i="117"/>
  <c r="B28" i="116"/>
  <c r="B28" i="115"/>
  <c r="B28" i="114"/>
  <c r="B28" i="113"/>
  <c r="B28" i="112"/>
  <c r="B28" i="111"/>
  <c r="B28" i="110"/>
  <c r="B28" i="109"/>
  <c r="B28" i="108"/>
  <c r="B28" i="107"/>
  <c r="B28" i="106"/>
  <c r="B28" i="105"/>
  <c r="B28" i="104"/>
  <c r="B28" i="103"/>
  <c r="B28" i="102"/>
  <c r="B28" i="101"/>
  <c r="B28" i="100"/>
  <c r="B28" i="99"/>
  <c r="B24" i="125"/>
  <c r="B24" i="124"/>
  <c r="B24" i="122"/>
  <c r="B24" i="121"/>
  <c r="B24" i="120"/>
  <c r="B24" i="119"/>
  <c r="B24" i="118"/>
  <c r="B24" i="117"/>
  <c r="B24" i="116"/>
  <c r="B24" i="115"/>
  <c r="B24" i="114"/>
  <c r="B24" i="113"/>
  <c r="B24" i="112"/>
  <c r="B24" i="111"/>
  <c r="B24" i="110"/>
  <c r="B24" i="109"/>
  <c r="B24" i="108"/>
  <c r="B24" i="107"/>
  <c r="B24" i="106"/>
  <c r="B24" i="105"/>
  <c r="B24" i="104"/>
  <c r="B24" i="103"/>
  <c r="B24" i="102"/>
  <c r="B24" i="101"/>
  <c r="B24" i="100"/>
  <c r="B24" i="99"/>
  <c r="B7" i="125"/>
  <c r="B7" i="124"/>
  <c r="B7" i="122"/>
  <c r="B7" i="121"/>
  <c r="B7" i="120"/>
  <c r="B7" i="119"/>
  <c r="B7" i="118"/>
  <c r="B7" i="117"/>
  <c r="B7" i="116"/>
  <c r="B7" i="115"/>
  <c r="B7" i="114"/>
  <c r="B7" i="113"/>
  <c r="B7" i="112"/>
  <c r="B7" i="111"/>
  <c r="B7" i="110"/>
  <c r="B7" i="109"/>
  <c r="B7" i="108"/>
  <c r="B7" i="107"/>
  <c r="B7" i="106"/>
  <c r="B7" i="105"/>
  <c r="B7" i="104"/>
  <c r="B7" i="103"/>
  <c r="B7" i="102"/>
  <c r="B7" i="101"/>
  <c r="B7" i="100"/>
  <c r="B7" i="99"/>
  <c r="B22" i="125"/>
  <c r="B22" i="124"/>
  <c r="B22" i="122"/>
  <c r="B22" i="121"/>
  <c r="B22" i="120"/>
  <c r="B22" i="119"/>
  <c r="B22" i="118"/>
  <c r="B22" i="117"/>
  <c r="B22" i="116"/>
  <c r="B22" i="115"/>
  <c r="B22" i="114"/>
  <c r="B22" i="113"/>
  <c r="B22" i="112"/>
  <c r="B22" i="111"/>
  <c r="B22" i="110"/>
  <c r="B22" i="109"/>
  <c r="B22" i="108"/>
  <c r="B22" i="107"/>
  <c r="B22" i="106"/>
  <c r="B22" i="105"/>
  <c r="B22" i="104"/>
  <c r="B22" i="103"/>
  <c r="B22" i="102"/>
  <c r="B22" i="101"/>
  <c r="B22" i="100"/>
  <c r="B22" i="99"/>
  <c r="B25" i="125"/>
  <c r="B25" i="124"/>
  <c r="B25" i="122"/>
  <c r="B25" i="121"/>
  <c r="B25" i="120"/>
  <c r="B25" i="119"/>
  <c r="B25" i="118"/>
  <c r="B25" i="117"/>
  <c r="B25" i="116"/>
  <c r="B25" i="115"/>
  <c r="B25" i="114"/>
  <c r="B25" i="113"/>
  <c r="B25" i="112"/>
  <c r="B25" i="111"/>
  <c r="B25" i="110"/>
  <c r="B25" i="109"/>
  <c r="B25" i="108"/>
  <c r="B25" i="107"/>
  <c r="B25" i="106"/>
  <c r="B25" i="105"/>
  <c r="B25" i="104"/>
  <c r="B25" i="103"/>
  <c r="B25" i="102"/>
  <c r="B25" i="101"/>
  <c r="B25" i="100"/>
  <c r="B25" i="99"/>
  <c r="B29" i="125"/>
  <c r="B29" i="124"/>
  <c r="B29" i="122"/>
  <c r="B29" i="121"/>
  <c r="B29" i="120"/>
  <c r="B29" i="119"/>
  <c r="B29" i="118"/>
  <c r="B29" i="117"/>
  <c r="B29" i="116"/>
  <c r="B29" i="115"/>
  <c r="B29" i="114"/>
  <c r="B29" i="113"/>
  <c r="B29" i="112"/>
  <c r="B29" i="111"/>
  <c r="B29" i="110"/>
  <c r="B29" i="109"/>
  <c r="B29" i="108"/>
  <c r="B29" i="107"/>
  <c r="B29" i="106"/>
  <c r="B29" i="105"/>
  <c r="B29" i="104"/>
  <c r="B29" i="103"/>
  <c r="B29" i="102"/>
  <c r="B29" i="101"/>
  <c r="B29" i="100"/>
  <c r="B29" i="99"/>
  <c r="B8" i="125"/>
  <c r="B8" i="124"/>
  <c r="B8" i="122"/>
  <c r="B8" i="121"/>
  <c r="B8" i="120"/>
  <c r="B8" i="119"/>
  <c r="B8" i="118"/>
  <c r="B8" i="117"/>
  <c r="B8" i="116"/>
  <c r="B8" i="115"/>
  <c r="B8" i="114"/>
  <c r="B8" i="113"/>
  <c r="B8" i="112"/>
  <c r="B8" i="111"/>
  <c r="B8" i="110"/>
  <c r="B8" i="109"/>
  <c r="B8" i="108"/>
  <c r="B8" i="107"/>
  <c r="B8" i="106"/>
  <c r="B8" i="105"/>
  <c r="B8" i="104"/>
  <c r="B8" i="103"/>
  <c r="B8" i="102"/>
  <c r="B8" i="101"/>
  <c r="B8" i="100"/>
  <c r="B8" i="99"/>
  <c r="B20" i="125"/>
  <c r="B20" i="124"/>
  <c r="B20" i="122"/>
  <c r="B20" i="121"/>
  <c r="B20" i="120"/>
  <c r="B20" i="119"/>
  <c r="B20" i="118"/>
  <c r="B20" i="117"/>
  <c r="B20" i="116"/>
  <c r="B20" i="115"/>
  <c r="B20" i="114"/>
  <c r="B20" i="113"/>
  <c r="B20" i="112"/>
  <c r="B20" i="111"/>
  <c r="B20" i="110"/>
  <c r="B20" i="109"/>
  <c r="B20" i="108"/>
  <c r="B20" i="107"/>
  <c r="B20" i="106"/>
  <c r="B20" i="105"/>
  <c r="B20" i="104"/>
  <c r="B20" i="103"/>
  <c r="B20" i="102"/>
  <c r="B20" i="101"/>
  <c r="B20" i="100"/>
  <c r="B20" i="99"/>
  <c r="B14" i="125"/>
  <c r="B14" i="124"/>
  <c r="B14" i="122"/>
  <c r="B14" i="121"/>
  <c r="B14" i="120"/>
  <c r="B14" i="119"/>
  <c r="B14" i="118"/>
  <c r="B14" i="117"/>
  <c r="B14" i="116"/>
  <c r="B14" i="115"/>
  <c r="B14" i="114"/>
  <c r="B14" i="113"/>
  <c r="B14" i="112"/>
  <c r="B14" i="111"/>
  <c r="B14" i="110"/>
  <c r="B14" i="109"/>
  <c r="B14" i="108"/>
  <c r="B14" i="107"/>
  <c r="B14" i="106"/>
  <c r="B14" i="105"/>
  <c r="B14" i="104"/>
  <c r="B14" i="103"/>
  <c r="B14" i="102"/>
  <c r="B14" i="101"/>
  <c r="B14" i="100"/>
  <c r="B14" i="99"/>
  <c r="B9" i="125"/>
  <c r="B9" i="124"/>
  <c r="B9" i="122"/>
  <c r="B9" i="121"/>
  <c r="B9" i="120"/>
  <c r="B9" i="119"/>
  <c r="B9" i="118"/>
  <c r="B9" i="117"/>
  <c r="B9" i="116"/>
  <c r="B9" i="114"/>
  <c r="B9" i="115"/>
  <c r="B9" i="113"/>
  <c r="B9" i="112"/>
  <c r="B9" i="111"/>
  <c r="B9" i="110"/>
  <c r="B9" i="109"/>
  <c r="B9" i="108"/>
  <c r="B9" i="107"/>
  <c r="B9" i="106"/>
  <c r="B9" i="105"/>
  <c r="B9" i="104"/>
  <c r="B9" i="103"/>
  <c r="B9" i="102"/>
  <c r="B9" i="101"/>
  <c r="B9" i="100"/>
  <c r="B9" i="99"/>
  <c r="B6" i="125"/>
  <c r="B6" i="124"/>
  <c r="B6" i="122"/>
  <c r="B6" i="121"/>
  <c r="B6" i="120"/>
  <c r="B6" i="119"/>
  <c r="B6" i="118"/>
  <c r="B6" i="117"/>
  <c r="B6" i="116"/>
  <c r="B6" i="115"/>
  <c r="B6" i="114"/>
  <c r="B6" i="113"/>
  <c r="B6" i="112"/>
  <c r="B6" i="111"/>
  <c r="B6" i="110"/>
  <c r="B6" i="109"/>
  <c r="B6" i="108"/>
  <c r="B6" i="107"/>
  <c r="B6" i="106"/>
  <c r="B6" i="105"/>
  <c r="B6" i="104"/>
  <c r="B6" i="103"/>
  <c r="B6" i="102"/>
  <c r="B6" i="101"/>
  <c r="B6" i="100"/>
  <c r="B6" i="99"/>
  <c r="B23" i="125"/>
  <c r="B23" i="124"/>
  <c r="B23" i="122"/>
  <c r="B23" i="121"/>
  <c r="B23" i="120"/>
  <c r="B23" i="119"/>
  <c r="B23" i="118"/>
  <c r="B23" i="117"/>
  <c r="B23" i="116"/>
  <c r="B23" i="115"/>
  <c r="B23" i="114"/>
  <c r="B23" i="113"/>
  <c r="B23" i="112"/>
  <c r="B23" i="111"/>
  <c r="B23" i="110"/>
  <c r="B23" i="109"/>
  <c r="B23" i="108"/>
  <c r="B23" i="107"/>
  <c r="B23" i="106"/>
  <c r="B23" i="105"/>
  <c r="B23" i="104"/>
  <c r="B23" i="103"/>
  <c r="B23" i="102"/>
  <c r="B23" i="101"/>
  <c r="B23" i="100"/>
  <c r="B23" i="99"/>
  <c r="B13" i="125"/>
  <c r="B13" i="124"/>
  <c r="B13" i="122"/>
  <c r="B13" i="121"/>
  <c r="B13" i="120"/>
  <c r="B13" i="119"/>
  <c r="B13" i="118"/>
  <c r="B13" i="117"/>
  <c r="B13" i="116"/>
  <c r="B13" i="114"/>
  <c r="B13" i="115"/>
  <c r="B13" i="113"/>
  <c r="B13" i="112"/>
  <c r="B13" i="111"/>
  <c r="B13" i="110"/>
  <c r="B13" i="109"/>
  <c r="B13" i="108"/>
  <c r="B13" i="107"/>
  <c r="B13" i="106"/>
  <c r="B13" i="105"/>
  <c r="B13" i="104"/>
  <c r="B13" i="103"/>
  <c r="B13" i="102"/>
  <c r="B13" i="101"/>
  <c r="B13" i="100"/>
  <c r="B13" i="99"/>
  <c r="B17" i="125"/>
  <c r="B17" i="124"/>
  <c r="B17" i="122"/>
  <c r="B17" i="121"/>
  <c r="B17" i="120"/>
  <c r="B17" i="119"/>
  <c r="B17" i="118"/>
  <c r="B17" i="117"/>
  <c r="B17" i="116"/>
  <c r="B17" i="115"/>
  <c r="B17" i="114"/>
  <c r="B17" i="113"/>
  <c r="B17" i="112"/>
  <c r="B17" i="111"/>
  <c r="B17" i="110"/>
  <c r="B17" i="109"/>
  <c r="B17" i="108"/>
  <c r="B17" i="107"/>
  <c r="B17" i="106"/>
  <c r="B17" i="105"/>
  <c r="B17" i="104"/>
  <c r="B17" i="103"/>
  <c r="B17" i="102"/>
  <c r="B17" i="101"/>
  <c r="B17" i="100"/>
  <c r="B17" i="99"/>
  <c r="B5" i="125"/>
  <c r="A5" i="125" s="1"/>
  <c r="B5" i="124"/>
  <c r="A5" i="124" s="1"/>
  <c r="B5" i="122"/>
  <c r="A5" i="122" s="1"/>
  <c r="B5" i="121"/>
  <c r="A5" i="121" s="1"/>
  <c r="B5" i="120"/>
  <c r="A5" i="120" s="1"/>
  <c r="B5" i="119"/>
  <c r="A5" i="119" s="1"/>
  <c r="B5" i="118"/>
  <c r="A5" i="118" s="1"/>
  <c r="B5" i="117"/>
  <c r="A5" i="117" s="1"/>
  <c r="B5" i="116"/>
  <c r="A5" i="116" s="1"/>
  <c r="B5" i="114"/>
  <c r="A5" i="114" s="1"/>
  <c r="B5" i="115"/>
  <c r="A5" i="115" s="1"/>
  <c r="B5" i="113"/>
  <c r="A5" i="113" s="1"/>
  <c r="B5" i="112"/>
  <c r="A5" i="112" s="1"/>
  <c r="B5" i="111"/>
  <c r="A5" i="111" s="1"/>
  <c r="B5" i="110"/>
  <c r="A5" i="110" s="1"/>
  <c r="B5" i="109"/>
  <c r="A5" i="109" s="1"/>
  <c r="B5" i="108"/>
  <c r="A5" i="108" s="1"/>
  <c r="B5" i="107"/>
  <c r="A5" i="107" s="1"/>
  <c r="B5" i="106"/>
  <c r="A5" i="106" s="1"/>
  <c r="B5" i="105"/>
  <c r="A5" i="105" s="1"/>
  <c r="B5" i="104"/>
  <c r="A5" i="104" s="1"/>
  <c r="B5" i="103"/>
  <c r="A5" i="103" s="1"/>
  <c r="B5" i="102"/>
  <c r="A5" i="102" s="1"/>
  <c r="B5" i="101"/>
  <c r="A5" i="101" s="1"/>
  <c r="B5" i="100"/>
  <c r="A5" i="100" s="1"/>
  <c r="B5" i="99"/>
  <c r="A5" i="99" s="1"/>
  <c r="B11" i="125"/>
  <c r="A11" i="125" s="1"/>
  <c r="B11" i="124"/>
  <c r="A11" i="124" s="1"/>
  <c r="B11" i="122"/>
  <c r="A11" i="122" s="1"/>
  <c r="B11" i="121"/>
  <c r="B11" i="120"/>
  <c r="A11" i="120" s="1"/>
  <c r="B11" i="119"/>
  <c r="A11" i="119" s="1"/>
  <c r="B11" i="118"/>
  <c r="A11" i="118" s="1"/>
  <c r="B11" i="117"/>
  <c r="B11" i="116"/>
  <c r="A11" i="116" s="1"/>
  <c r="B11" i="115"/>
  <c r="B11" i="114"/>
  <c r="B11" i="113"/>
  <c r="B11" i="112"/>
  <c r="A11" i="112" s="1"/>
  <c r="B11" i="111"/>
  <c r="A11" i="111" s="1"/>
  <c r="B11" i="110"/>
  <c r="A11" i="110" s="1"/>
  <c r="B11" i="109"/>
  <c r="B11" i="108"/>
  <c r="A11" i="108" s="1"/>
  <c r="B11" i="107"/>
  <c r="A11" i="107" s="1"/>
  <c r="B11" i="106"/>
  <c r="A11" i="106" s="1"/>
  <c r="B11" i="105"/>
  <c r="B11" i="104"/>
  <c r="A11" i="104" s="1"/>
  <c r="B11" i="103"/>
  <c r="A11" i="103" s="1"/>
  <c r="B11" i="102"/>
  <c r="A11" i="102" s="1"/>
  <c r="B11" i="101"/>
  <c r="B11" i="100"/>
  <c r="A11" i="100" s="1"/>
  <c r="B11" i="99"/>
  <c r="A11" i="99" s="1"/>
  <c r="B21" i="16"/>
  <c r="B21" i="61"/>
  <c r="B21" i="58"/>
  <c r="B21" i="62"/>
  <c r="B21" i="66"/>
  <c r="B21" i="70"/>
  <c r="B21" i="74"/>
  <c r="B21" i="80"/>
  <c r="B21" i="84"/>
  <c r="B21" i="88"/>
  <c r="B21" i="92"/>
  <c r="B21" i="96"/>
  <c r="B21" i="18"/>
  <c r="B21" i="3"/>
  <c r="B21" i="67"/>
  <c r="B21" i="71"/>
  <c r="B21" i="75"/>
  <c r="B21" i="81"/>
  <c r="B21" i="85"/>
  <c r="B21" i="89"/>
  <c r="B21" i="93"/>
  <c r="B21" i="97"/>
  <c r="B21" i="17"/>
  <c r="B21" i="59"/>
  <c r="B21" i="63"/>
  <c r="B21" i="60"/>
  <c r="B21" i="64"/>
  <c r="B21" i="68"/>
  <c r="B21" i="72"/>
  <c r="B21" i="76"/>
  <c r="B21" i="82"/>
  <c r="B21" i="86"/>
  <c r="B21" i="90"/>
  <c r="B21" i="94"/>
  <c r="B21" i="98"/>
  <c r="B21" i="19"/>
  <c r="B21" i="65"/>
  <c r="B21" i="69"/>
  <c r="B21" i="73"/>
  <c r="B21" i="78"/>
  <c r="B21" i="83"/>
  <c r="B21" i="87"/>
  <c r="B21" i="91"/>
  <c r="B21" i="95"/>
  <c r="B21" i="14"/>
  <c r="B18" i="16"/>
  <c r="B18" i="19"/>
  <c r="B18" i="17"/>
  <c r="B18" i="18"/>
  <c r="B18" i="14"/>
  <c r="B18" i="98"/>
  <c r="B18" i="97"/>
  <c r="B18" i="96"/>
  <c r="B18" i="95"/>
  <c r="B18" i="94"/>
  <c r="B18" i="93"/>
  <c r="B18" i="92"/>
  <c r="B18" i="91"/>
  <c r="B18" i="90"/>
  <c r="B18" i="89"/>
  <c r="B18" i="88"/>
  <c r="B18" i="87"/>
  <c r="B18" i="86"/>
  <c r="B18" i="85"/>
  <c r="B18" i="84"/>
  <c r="B18" i="83"/>
  <c r="B18" i="82"/>
  <c r="B18" i="81"/>
  <c r="B18" i="80"/>
  <c r="B18" i="78"/>
  <c r="B18" i="76"/>
  <c r="B18" i="75"/>
  <c r="B18" i="74"/>
  <c r="B18" i="73"/>
  <c r="B18" i="72"/>
  <c r="B18" i="71"/>
  <c r="B18" i="70"/>
  <c r="B18" i="69"/>
  <c r="B18" i="68"/>
  <c r="B18" i="67"/>
  <c r="B18" i="66"/>
  <c r="B18" i="65"/>
  <c r="B18" i="64"/>
  <c r="B18" i="63"/>
  <c r="B18" i="62"/>
  <c r="B18" i="61"/>
  <c r="B18" i="60"/>
  <c r="B18" i="59"/>
  <c r="B18" i="58"/>
  <c r="B18" i="3"/>
  <c r="B8" i="16"/>
  <c r="B8" i="19"/>
  <c r="B8" i="17"/>
  <c r="B8" i="18"/>
  <c r="B8" i="14"/>
  <c r="B8" i="98"/>
  <c r="B8" i="97"/>
  <c r="B8" i="96"/>
  <c r="B8" i="95"/>
  <c r="B8" i="94"/>
  <c r="B8" i="93"/>
  <c r="B8" i="92"/>
  <c r="B8" i="91"/>
  <c r="B8" i="90"/>
  <c r="B8" i="89"/>
  <c r="B8" i="88"/>
  <c r="B8" i="87"/>
  <c r="B8" i="86"/>
  <c r="B8" i="85"/>
  <c r="B8" i="84"/>
  <c r="B8" i="83"/>
  <c r="B8" i="82"/>
  <c r="B8" i="81"/>
  <c r="B8" i="80"/>
  <c r="B8" i="78"/>
  <c r="B8" i="76"/>
  <c r="B8" i="75"/>
  <c r="B8" i="74"/>
  <c r="B8" i="73"/>
  <c r="B8" i="72"/>
  <c r="B8" i="71"/>
  <c r="B8" i="70"/>
  <c r="B8" i="69"/>
  <c r="B8" i="68"/>
  <c r="B8" i="67"/>
  <c r="B8" i="66"/>
  <c r="B8" i="65"/>
  <c r="B8" i="64"/>
  <c r="B8" i="63"/>
  <c r="B8" i="62"/>
  <c r="B8" i="61"/>
  <c r="B8" i="60"/>
  <c r="B8" i="59"/>
  <c r="B8" i="58"/>
  <c r="B8" i="3"/>
  <c r="B10" i="16"/>
  <c r="B10" i="19"/>
  <c r="B10" i="17"/>
  <c r="B10" i="18"/>
  <c r="B10" i="14"/>
  <c r="B10" i="98"/>
  <c r="B10" i="97"/>
  <c r="B10" i="96"/>
  <c r="B10" i="95"/>
  <c r="B10" i="94"/>
  <c r="B10" i="93"/>
  <c r="B10" i="92"/>
  <c r="B10" i="91"/>
  <c r="B10" i="90"/>
  <c r="B10" i="89"/>
  <c r="B10" i="88"/>
  <c r="B10" i="87"/>
  <c r="B10" i="86"/>
  <c r="B10" i="85"/>
  <c r="B10" i="84"/>
  <c r="B10" i="83"/>
  <c r="B10" i="82"/>
  <c r="B10" i="81"/>
  <c r="B10" i="80"/>
  <c r="B10" i="78"/>
  <c r="B10" i="76"/>
  <c r="B10" i="75"/>
  <c r="B10" i="74"/>
  <c r="B10" i="73"/>
  <c r="B10" i="72"/>
  <c r="B10" i="71"/>
  <c r="B10" i="70"/>
  <c r="B10" i="69"/>
  <c r="B10" i="68"/>
  <c r="B10" i="67"/>
  <c r="B10" i="66"/>
  <c r="B10" i="65"/>
  <c r="B10" i="64"/>
  <c r="B10" i="63"/>
  <c r="B10" i="62"/>
  <c r="B10" i="61"/>
  <c r="B10" i="60"/>
  <c r="B10" i="59"/>
  <c r="B10" i="58"/>
  <c r="B10" i="3"/>
  <c r="B14" i="16"/>
  <c r="B14" i="19"/>
  <c r="B14" i="17"/>
  <c r="B14" i="18"/>
  <c r="B14" i="14"/>
  <c r="B14" i="98"/>
  <c r="B14" i="97"/>
  <c r="B14" i="96"/>
  <c r="B14" i="95"/>
  <c r="B14" i="94"/>
  <c r="B14" i="93"/>
  <c r="B14" i="92"/>
  <c r="B14" i="91"/>
  <c r="B14" i="90"/>
  <c r="B14" i="89"/>
  <c r="B14" i="88"/>
  <c r="B14" i="87"/>
  <c r="B14" i="86"/>
  <c r="B14" i="85"/>
  <c r="B14" i="84"/>
  <c r="B14" i="83"/>
  <c r="B14" i="82"/>
  <c r="B14" i="81"/>
  <c r="B14" i="80"/>
  <c r="B14" i="78"/>
  <c r="B14" i="76"/>
  <c r="B14" i="75"/>
  <c r="B14" i="74"/>
  <c r="B14" i="73"/>
  <c r="B14" i="72"/>
  <c r="B14" i="71"/>
  <c r="B14" i="70"/>
  <c r="B14" i="69"/>
  <c r="B14" i="68"/>
  <c r="B14" i="67"/>
  <c r="B14" i="66"/>
  <c r="B14" i="65"/>
  <c r="B14" i="64"/>
  <c r="B14" i="63"/>
  <c r="B14" i="62"/>
  <c r="B14" i="61"/>
  <c r="B14" i="60"/>
  <c r="B14" i="59"/>
  <c r="B14" i="58"/>
  <c r="B14" i="3"/>
  <c r="B27" i="16"/>
  <c r="B27" i="19"/>
  <c r="B27" i="17"/>
  <c r="B27" i="18"/>
  <c r="B27" i="14"/>
  <c r="B27" i="98"/>
  <c r="B27" i="97"/>
  <c r="B27" i="96"/>
  <c r="B27" i="95"/>
  <c r="B27" i="94"/>
  <c r="B27" i="93"/>
  <c r="B27" i="92"/>
  <c r="B27" i="91"/>
  <c r="B27" i="90"/>
  <c r="B27" i="89"/>
  <c r="B27" i="88"/>
  <c r="B27" i="87"/>
  <c r="B27" i="86"/>
  <c r="B27" i="85"/>
  <c r="B27" i="84"/>
  <c r="B27" i="83"/>
  <c r="B27" i="82"/>
  <c r="B27" i="81"/>
  <c r="B27" i="80"/>
  <c r="B27" i="78"/>
  <c r="B27" i="76"/>
  <c r="B27" i="75"/>
  <c r="B27" i="74"/>
  <c r="B27" i="73"/>
  <c r="B27" i="72"/>
  <c r="B27" i="71"/>
  <c r="B27" i="70"/>
  <c r="B27" i="69"/>
  <c r="B27" i="68"/>
  <c r="B27" i="67"/>
  <c r="B27" i="66"/>
  <c r="B27" i="65"/>
  <c r="B27" i="64"/>
  <c r="B27" i="63"/>
  <c r="B27" i="62"/>
  <c r="B27" i="61"/>
  <c r="B27" i="60"/>
  <c r="B27" i="59"/>
  <c r="B27" i="58"/>
  <c r="B27" i="3"/>
  <c r="B19" i="16"/>
  <c r="B19" i="19"/>
  <c r="B19" i="17"/>
  <c r="B19" i="18"/>
  <c r="B19" i="14"/>
  <c r="B19" i="98"/>
  <c r="B19" i="97"/>
  <c r="B19" i="96"/>
  <c r="B19" i="95"/>
  <c r="B19" i="94"/>
  <c r="B19" i="93"/>
  <c r="B19" i="92"/>
  <c r="B19" i="91"/>
  <c r="B19" i="90"/>
  <c r="B19" i="89"/>
  <c r="B19" i="88"/>
  <c r="B19" i="87"/>
  <c r="B19" i="86"/>
  <c r="B19" i="85"/>
  <c r="B19" i="84"/>
  <c r="B19" i="83"/>
  <c r="B19" i="82"/>
  <c r="B19" i="81"/>
  <c r="B19" i="80"/>
  <c r="B19" i="78"/>
  <c r="B19" i="76"/>
  <c r="B19" i="75"/>
  <c r="B19" i="74"/>
  <c r="B19" i="73"/>
  <c r="B19" i="72"/>
  <c r="B19" i="71"/>
  <c r="B19" i="70"/>
  <c r="B19" i="69"/>
  <c r="B19" i="68"/>
  <c r="B19" i="67"/>
  <c r="B19" i="66"/>
  <c r="B19" i="65"/>
  <c r="B19" i="64"/>
  <c r="B19" i="63"/>
  <c r="B19" i="62"/>
  <c r="B19" i="61"/>
  <c r="B19" i="60"/>
  <c r="B19" i="59"/>
  <c r="B19" i="58"/>
  <c r="B19" i="3"/>
  <c r="B29" i="16"/>
  <c r="B29" i="19"/>
  <c r="B29" i="17"/>
  <c r="B29" i="18"/>
  <c r="B29" i="14"/>
  <c r="B29" i="98"/>
  <c r="B29" i="97"/>
  <c r="B29" i="96"/>
  <c r="B29" i="95"/>
  <c r="B29" i="94"/>
  <c r="B29" i="93"/>
  <c r="B29" i="92"/>
  <c r="B29" i="91"/>
  <c r="B29" i="90"/>
  <c r="B29" i="89"/>
  <c r="B29" i="88"/>
  <c r="B29" i="87"/>
  <c r="B29" i="86"/>
  <c r="B29" i="85"/>
  <c r="B29" i="84"/>
  <c r="B29" i="83"/>
  <c r="B29" i="82"/>
  <c r="B29" i="81"/>
  <c r="B29" i="80"/>
  <c r="B29" i="78"/>
  <c r="B29" i="76"/>
  <c r="B29" i="75"/>
  <c r="B29" i="74"/>
  <c r="B29" i="73"/>
  <c r="B29" i="72"/>
  <c r="B29" i="71"/>
  <c r="B29" i="70"/>
  <c r="B29" i="69"/>
  <c r="B29" i="68"/>
  <c r="B29" i="67"/>
  <c r="B29" i="66"/>
  <c r="B29" i="65"/>
  <c r="B29" i="64"/>
  <c r="B29" i="63"/>
  <c r="B29" i="62"/>
  <c r="B29" i="61"/>
  <c r="B29" i="60"/>
  <c r="B29" i="59"/>
  <c r="B29" i="58"/>
  <c r="B29" i="3"/>
  <c r="B15" i="16"/>
  <c r="B15" i="19"/>
  <c r="B15" i="17"/>
  <c r="B15" i="18"/>
  <c r="B15" i="14"/>
  <c r="B15" i="98"/>
  <c r="B15" i="97"/>
  <c r="B15" i="96"/>
  <c r="B15" i="95"/>
  <c r="B15" i="94"/>
  <c r="B15" i="93"/>
  <c r="B15" i="92"/>
  <c r="B15" i="91"/>
  <c r="B15" i="90"/>
  <c r="B15" i="89"/>
  <c r="B15" i="88"/>
  <c r="B15" i="87"/>
  <c r="B15" i="86"/>
  <c r="B15" i="85"/>
  <c r="B15" i="84"/>
  <c r="B15" i="83"/>
  <c r="B15" i="82"/>
  <c r="B15" i="81"/>
  <c r="B15" i="80"/>
  <c r="B15" i="78"/>
  <c r="B15" i="76"/>
  <c r="B15" i="75"/>
  <c r="B15" i="74"/>
  <c r="B15" i="73"/>
  <c r="B15" i="72"/>
  <c r="B15" i="71"/>
  <c r="B15" i="70"/>
  <c r="B15" i="69"/>
  <c r="B15" i="68"/>
  <c r="B15" i="67"/>
  <c r="B15" i="66"/>
  <c r="B15" i="65"/>
  <c r="B15" i="64"/>
  <c r="B15" i="63"/>
  <c r="B15" i="62"/>
  <c r="B15" i="61"/>
  <c r="B15" i="60"/>
  <c r="B15" i="59"/>
  <c r="B15" i="58"/>
  <c r="B15" i="3"/>
  <c r="B4" i="16"/>
  <c r="B4" i="19"/>
  <c r="B4" i="17"/>
  <c r="B4" i="18"/>
  <c r="B4" i="14"/>
  <c r="B4" i="98"/>
  <c r="B4" i="97"/>
  <c r="B4" i="96"/>
  <c r="B4" i="95"/>
  <c r="B4" i="94"/>
  <c r="B4" i="93"/>
  <c r="B4" i="92"/>
  <c r="B4" i="91"/>
  <c r="B4" i="90"/>
  <c r="B4" i="89"/>
  <c r="B4" i="88"/>
  <c r="B4" i="87"/>
  <c r="B4" i="86"/>
  <c r="B4" i="85"/>
  <c r="B4" i="84"/>
  <c r="B4" i="83"/>
  <c r="B4" i="82"/>
  <c r="B4" i="81"/>
  <c r="B4" i="80"/>
  <c r="B4" i="78"/>
  <c r="B4" i="76"/>
  <c r="B4" i="75"/>
  <c r="B4" i="74"/>
  <c r="B4" i="73"/>
  <c r="B4" i="72"/>
  <c r="B4" i="71"/>
  <c r="B4" i="70"/>
  <c r="B4" i="69"/>
  <c r="B4" i="68"/>
  <c r="B4" i="67"/>
  <c r="B4" i="66"/>
  <c r="B4" i="65"/>
  <c r="B4" i="64"/>
  <c r="B4" i="63"/>
  <c r="B4" i="62"/>
  <c r="B4" i="61"/>
  <c r="B4" i="60"/>
  <c r="B4" i="59"/>
  <c r="B4" i="58"/>
  <c r="B4" i="3"/>
  <c r="B26" i="16"/>
  <c r="B26" i="19"/>
  <c r="B26" i="17"/>
  <c r="B26" i="18"/>
  <c r="B26" i="14"/>
  <c r="B26" i="98"/>
  <c r="B26" i="97"/>
  <c r="B26" i="96"/>
  <c r="B26" i="95"/>
  <c r="B26" i="94"/>
  <c r="B26" i="93"/>
  <c r="B26" i="92"/>
  <c r="B26" i="91"/>
  <c r="B26" i="90"/>
  <c r="B26" i="89"/>
  <c r="B26" i="88"/>
  <c r="B26" i="87"/>
  <c r="B26" i="86"/>
  <c r="B26" i="85"/>
  <c r="B26" i="84"/>
  <c r="B26" i="83"/>
  <c r="B26" i="82"/>
  <c r="B26" i="81"/>
  <c r="B26" i="80"/>
  <c r="B26" i="78"/>
  <c r="B26" i="76"/>
  <c r="B26" i="75"/>
  <c r="B26" i="74"/>
  <c r="B26" i="73"/>
  <c r="B26" i="72"/>
  <c r="B26" i="71"/>
  <c r="B26" i="70"/>
  <c r="B26" i="69"/>
  <c r="B26" i="68"/>
  <c r="B26" i="67"/>
  <c r="B26" i="66"/>
  <c r="B26" i="65"/>
  <c r="B26" i="64"/>
  <c r="B26" i="63"/>
  <c r="B26" i="62"/>
  <c r="B26" i="61"/>
  <c r="B26" i="60"/>
  <c r="B26" i="59"/>
  <c r="B26" i="58"/>
  <c r="B26" i="3"/>
  <c r="B12" i="16"/>
  <c r="B12" i="19"/>
  <c r="B12" i="17"/>
  <c r="B12" i="18"/>
  <c r="B12" i="14"/>
  <c r="B12" i="98"/>
  <c r="B12" i="97"/>
  <c r="B12" i="96"/>
  <c r="B12" i="95"/>
  <c r="B12" i="94"/>
  <c r="B12" i="93"/>
  <c r="B12" i="92"/>
  <c r="B12" i="91"/>
  <c r="B12" i="90"/>
  <c r="B12" i="89"/>
  <c r="B12" i="88"/>
  <c r="B12" i="87"/>
  <c r="B12" i="86"/>
  <c r="B12" i="85"/>
  <c r="B12" i="84"/>
  <c r="B12" i="83"/>
  <c r="B12" i="82"/>
  <c r="B12" i="81"/>
  <c r="B12" i="80"/>
  <c r="B12" i="78"/>
  <c r="B12" i="76"/>
  <c r="B12" i="75"/>
  <c r="B12" i="74"/>
  <c r="B12" i="73"/>
  <c r="B12" i="72"/>
  <c r="B12" i="71"/>
  <c r="B12" i="70"/>
  <c r="B12" i="69"/>
  <c r="B12" i="68"/>
  <c r="B12" i="67"/>
  <c r="B12" i="66"/>
  <c r="B12" i="65"/>
  <c r="B12" i="64"/>
  <c r="B12" i="63"/>
  <c r="B12" i="62"/>
  <c r="B12" i="61"/>
  <c r="B12" i="60"/>
  <c r="B12" i="59"/>
  <c r="B12" i="58"/>
  <c r="B12" i="3"/>
  <c r="B13" i="16"/>
  <c r="B13" i="19"/>
  <c r="B13" i="17"/>
  <c r="B13" i="18"/>
  <c r="B13" i="14"/>
  <c r="B13" i="98"/>
  <c r="B13" i="97"/>
  <c r="B13" i="96"/>
  <c r="B13" i="95"/>
  <c r="B13" i="94"/>
  <c r="B13" i="93"/>
  <c r="B13" i="92"/>
  <c r="B13" i="91"/>
  <c r="B13" i="90"/>
  <c r="B13" i="89"/>
  <c r="B13" i="88"/>
  <c r="B13" i="87"/>
  <c r="B13" i="86"/>
  <c r="B13" i="85"/>
  <c r="B13" i="84"/>
  <c r="B13" i="83"/>
  <c r="B13" i="82"/>
  <c r="B13" i="81"/>
  <c r="B13" i="80"/>
  <c r="B13" i="78"/>
  <c r="B13" i="76"/>
  <c r="B13" i="75"/>
  <c r="B13" i="74"/>
  <c r="B13" i="73"/>
  <c r="B13" i="72"/>
  <c r="B13" i="71"/>
  <c r="B13" i="70"/>
  <c r="B13" i="69"/>
  <c r="B13" i="68"/>
  <c r="B13" i="67"/>
  <c r="B13" i="66"/>
  <c r="B13" i="65"/>
  <c r="B13" i="64"/>
  <c r="B13" i="63"/>
  <c r="B13" i="62"/>
  <c r="B13" i="61"/>
  <c r="B13" i="60"/>
  <c r="B13" i="59"/>
  <c r="B13" i="58"/>
  <c r="B13" i="3"/>
  <c r="B20" i="19"/>
  <c r="B20" i="18"/>
  <c r="B20" i="98"/>
  <c r="B20" i="96"/>
  <c r="B20" i="94"/>
  <c r="B20" i="92"/>
  <c r="B20" i="90"/>
  <c r="B20" i="88"/>
  <c r="B20" i="86"/>
  <c r="B20" i="84"/>
  <c r="B20" i="82"/>
  <c r="B20" i="80"/>
  <c r="B20" i="76"/>
  <c r="B20" i="74"/>
  <c r="B20" i="72"/>
  <c r="B20" i="70"/>
  <c r="B20" i="68"/>
  <c r="B20" i="66"/>
  <c r="B20" i="64"/>
  <c r="B20" i="62"/>
  <c r="B20" i="60"/>
  <c r="B20" i="58"/>
  <c r="B20" i="16"/>
  <c r="B20" i="17"/>
  <c r="B20" i="14"/>
  <c r="B20" i="97"/>
  <c r="B20" i="95"/>
  <c r="B20" i="93"/>
  <c r="B20" i="91"/>
  <c r="B20" i="89"/>
  <c r="B20" i="87"/>
  <c r="B20" i="85"/>
  <c r="B20" i="83"/>
  <c r="B20" i="81"/>
  <c r="B20" i="78"/>
  <c r="B20" i="75"/>
  <c r="B20" i="73"/>
  <c r="B20" i="71"/>
  <c r="B20" i="69"/>
  <c r="B20" i="67"/>
  <c r="B20" i="65"/>
  <c r="B20" i="63"/>
  <c r="B20" i="61"/>
  <c r="B20" i="59"/>
  <c r="B20" i="3"/>
  <c r="B16" i="16"/>
  <c r="B16" i="19"/>
  <c r="B16" i="17"/>
  <c r="B16" i="18"/>
  <c r="B16" i="14"/>
  <c r="B16" i="98"/>
  <c r="B16" i="97"/>
  <c r="B16" i="96"/>
  <c r="B16" i="95"/>
  <c r="B16" i="94"/>
  <c r="B16" i="93"/>
  <c r="B16" i="92"/>
  <c r="B16" i="91"/>
  <c r="B16" i="90"/>
  <c r="B16" i="89"/>
  <c r="B16" i="88"/>
  <c r="B16" i="87"/>
  <c r="B16" i="86"/>
  <c r="B16" i="85"/>
  <c r="B16" i="84"/>
  <c r="B16" i="83"/>
  <c r="B16" i="82"/>
  <c r="B16" i="81"/>
  <c r="B16" i="80"/>
  <c r="B16" i="78"/>
  <c r="B16" i="76"/>
  <c r="B16" i="75"/>
  <c r="B16" i="74"/>
  <c r="B16" i="73"/>
  <c r="B16" i="72"/>
  <c r="B16" i="71"/>
  <c r="B16" i="70"/>
  <c r="B16" i="69"/>
  <c r="B16" i="68"/>
  <c r="B16" i="67"/>
  <c r="B16" i="66"/>
  <c r="B16" i="65"/>
  <c r="B16" i="64"/>
  <c r="B16" i="63"/>
  <c r="B16" i="62"/>
  <c r="B16" i="61"/>
  <c r="B16" i="60"/>
  <c r="B16" i="59"/>
  <c r="B16" i="58"/>
  <c r="B16" i="3"/>
  <c r="B11" i="19"/>
  <c r="B11" i="18"/>
  <c r="B11" i="98"/>
  <c r="B11" i="96"/>
  <c r="B11" i="94"/>
  <c r="B11" i="92"/>
  <c r="B11" i="90"/>
  <c r="B11" i="88"/>
  <c r="B11" i="86"/>
  <c r="B11" i="84"/>
  <c r="B11" i="82"/>
  <c r="B11" i="80"/>
  <c r="B11" i="76"/>
  <c r="B11" i="74"/>
  <c r="B11" i="72"/>
  <c r="B11" i="70"/>
  <c r="B11" i="68"/>
  <c r="B11" i="66"/>
  <c r="B11" i="64"/>
  <c r="B11" i="60"/>
  <c r="B11" i="16"/>
  <c r="B11" i="17"/>
  <c r="B11" i="14"/>
  <c r="B11" i="97"/>
  <c r="B11" i="95"/>
  <c r="B11" i="93"/>
  <c r="B11" i="91"/>
  <c r="B11" i="89"/>
  <c r="B11" i="87"/>
  <c r="B11" i="85"/>
  <c r="B11" i="83"/>
  <c r="B11" i="81"/>
  <c r="B11" i="78"/>
  <c r="B11" i="75"/>
  <c r="B11" i="73"/>
  <c r="B11" i="71"/>
  <c r="B11" i="69"/>
  <c r="B11" i="67"/>
  <c r="B11" i="65"/>
  <c r="B11" i="63"/>
  <c r="B11" i="61"/>
  <c r="B11" i="59"/>
  <c r="B11" i="3"/>
  <c r="B11" i="62"/>
  <c r="B11" i="58"/>
  <c r="B28" i="16"/>
  <c r="B28" i="19"/>
  <c r="B28" i="18"/>
  <c r="B28" i="14"/>
  <c r="B28" i="98"/>
  <c r="B28" i="97"/>
  <c r="B28" i="96"/>
  <c r="B28" i="95"/>
  <c r="B28" i="92"/>
  <c r="B28" i="90"/>
  <c r="B28" i="87"/>
  <c r="B28" i="84"/>
  <c r="B28" i="82"/>
  <c r="B28" i="80"/>
  <c r="B28" i="76"/>
  <c r="B28" i="73"/>
  <c r="B28" i="70"/>
  <c r="B28" i="67"/>
  <c r="B28" i="66"/>
  <c r="B28" i="62"/>
  <c r="B28" i="61"/>
  <c r="B28" i="3"/>
  <c r="B28" i="17"/>
  <c r="B28" i="94"/>
  <c r="B28" i="93"/>
  <c r="B28" i="91"/>
  <c r="B28" i="89"/>
  <c r="B28" i="88"/>
  <c r="B28" i="86"/>
  <c r="B28" i="85"/>
  <c r="B28" i="83"/>
  <c r="B28" i="81"/>
  <c r="B28" i="78"/>
  <c r="B28" i="75"/>
  <c r="B28" i="74"/>
  <c r="B28" i="72"/>
  <c r="B28" i="71"/>
  <c r="B28" i="69"/>
  <c r="B28" i="68"/>
  <c r="B28" i="65"/>
  <c r="B28" i="64"/>
  <c r="B28" i="63"/>
  <c r="B28" i="60"/>
  <c r="B28" i="59"/>
  <c r="B28" i="58"/>
  <c r="E30" i="1"/>
  <c r="B24" i="16"/>
  <c r="B24" i="19"/>
  <c r="B24" i="17"/>
  <c r="B24" i="18"/>
  <c r="B24" i="14"/>
  <c r="B24" i="98"/>
  <c r="B24" i="97"/>
  <c r="B24" i="96"/>
  <c r="B24" i="95"/>
  <c r="B24" i="94"/>
  <c r="B24" i="93"/>
  <c r="B24" i="92"/>
  <c r="B24" i="91"/>
  <c r="B24" i="90"/>
  <c r="B24" i="89"/>
  <c r="B24" i="88"/>
  <c r="B24" i="87"/>
  <c r="B24" i="86"/>
  <c r="B24" i="85"/>
  <c r="B24" i="84"/>
  <c r="B24" i="83"/>
  <c r="B24" i="82"/>
  <c r="B24" i="81"/>
  <c r="B24" i="80"/>
  <c r="B24" i="78"/>
  <c r="B24" i="76"/>
  <c r="B24" i="75"/>
  <c r="B24" i="74"/>
  <c r="B24" i="73"/>
  <c r="B24" i="72"/>
  <c r="B24" i="71"/>
  <c r="B24" i="70"/>
  <c r="B24" i="69"/>
  <c r="B24" i="68"/>
  <c r="B24" i="67"/>
  <c r="B24" i="66"/>
  <c r="B24" i="65"/>
  <c r="B24" i="64"/>
  <c r="B24" i="63"/>
  <c r="B24" i="62"/>
  <c r="B24" i="61"/>
  <c r="B24" i="60"/>
  <c r="B24" i="59"/>
  <c r="B24" i="58"/>
  <c r="B24" i="3"/>
  <c r="B25" i="16"/>
  <c r="B25" i="19"/>
  <c r="B25" i="17"/>
  <c r="B25" i="18"/>
  <c r="B25" i="14"/>
  <c r="B25" i="98"/>
  <c r="B25" i="97"/>
  <c r="B25" i="96"/>
  <c r="B25" i="95"/>
  <c r="B25" i="94"/>
  <c r="B25" i="93"/>
  <c r="B25" i="92"/>
  <c r="B25" i="91"/>
  <c r="B25" i="90"/>
  <c r="B25" i="89"/>
  <c r="B25" i="88"/>
  <c r="B25" i="87"/>
  <c r="B25" i="86"/>
  <c r="B25" i="85"/>
  <c r="B25" i="84"/>
  <c r="B25" i="83"/>
  <c r="B25" i="82"/>
  <c r="B25" i="81"/>
  <c r="B25" i="80"/>
  <c r="B25" i="78"/>
  <c r="B25" i="76"/>
  <c r="B25" i="75"/>
  <c r="B25" i="74"/>
  <c r="B25" i="73"/>
  <c r="B25" i="72"/>
  <c r="B25" i="71"/>
  <c r="B25" i="70"/>
  <c r="B25" i="69"/>
  <c r="B25" i="68"/>
  <c r="B25" i="67"/>
  <c r="B25" i="66"/>
  <c r="B25" i="65"/>
  <c r="B25" i="64"/>
  <c r="B25" i="63"/>
  <c r="B25" i="62"/>
  <c r="B25" i="61"/>
  <c r="B25" i="60"/>
  <c r="B25" i="59"/>
  <c r="B25" i="58"/>
  <c r="B25" i="3"/>
  <c r="B6" i="16"/>
  <c r="B6" i="19"/>
  <c r="B6" i="17"/>
  <c r="B6" i="18"/>
  <c r="B6" i="14"/>
  <c r="B6" i="98"/>
  <c r="B6" i="97"/>
  <c r="B6" i="96"/>
  <c r="B6" i="95"/>
  <c r="B6" i="94"/>
  <c r="B6" i="93"/>
  <c r="B6" i="92"/>
  <c r="B6" i="91"/>
  <c r="B6" i="90"/>
  <c r="B6" i="89"/>
  <c r="B6" i="88"/>
  <c r="B6" i="87"/>
  <c r="B6" i="86"/>
  <c r="B6" i="85"/>
  <c r="B6" i="84"/>
  <c r="B6" i="83"/>
  <c r="B6" i="82"/>
  <c r="B6" i="81"/>
  <c r="B6" i="80"/>
  <c r="B6" i="78"/>
  <c r="B6" i="76"/>
  <c r="B6" i="75"/>
  <c r="B6" i="74"/>
  <c r="B6" i="73"/>
  <c r="B6" i="72"/>
  <c r="B6" i="71"/>
  <c r="B6" i="70"/>
  <c r="B6" i="69"/>
  <c r="B6" i="68"/>
  <c r="B6" i="67"/>
  <c r="B6" i="66"/>
  <c r="B6" i="65"/>
  <c r="B6" i="64"/>
  <c r="B6" i="63"/>
  <c r="B6" i="62"/>
  <c r="B6" i="61"/>
  <c r="B6" i="59"/>
  <c r="B6" i="3"/>
  <c r="B6" i="60"/>
  <c r="B6" i="58"/>
  <c r="B7" i="16"/>
  <c r="B7" i="19"/>
  <c r="B7" i="17"/>
  <c r="B7" i="18"/>
  <c r="B7" i="14"/>
  <c r="B7" i="98"/>
  <c r="B7" i="97"/>
  <c r="B7" i="96"/>
  <c r="B7" i="95"/>
  <c r="B7" i="94"/>
  <c r="B7" i="93"/>
  <c r="B7" i="92"/>
  <c r="B7" i="91"/>
  <c r="B7" i="90"/>
  <c r="B7" i="89"/>
  <c r="B7" i="88"/>
  <c r="B7" i="87"/>
  <c r="B7" i="86"/>
  <c r="B7" i="85"/>
  <c r="B7" i="84"/>
  <c r="B7" i="83"/>
  <c r="B7" i="82"/>
  <c r="B7" i="81"/>
  <c r="B7" i="80"/>
  <c r="B7" i="78"/>
  <c r="B7" i="76"/>
  <c r="B7" i="75"/>
  <c r="B7" i="74"/>
  <c r="B7" i="73"/>
  <c r="B7" i="72"/>
  <c r="B7" i="71"/>
  <c r="B7" i="70"/>
  <c r="B7" i="69"/>
  <c r="B7" i="68"/>
  <c r="B7" i="67"/>
  <c r="B7" i="66"/>
  <c r="B7" i="65"/>
  <c r="B7" i="64"/>
  <c r="B7" i="63"/>
  <c r="B7" i="62"/>
  <c r="B7" i="61"/>
  <c r="B7" i="60"/>
  <c r="B7" i="59"/>
  <c r="B7" i="58"/>
  <c r="B7" i="3"/>
  <c r="B22" i="16"/>
  <c r="B22" i="19"/>
  <c r="B22" i="17"/>
  <c r="B22" i="18"/>
  <c r="B22" i="14"/>
  <c r="B22" i="98"/>
  <c r="B22" i="97"/>
  <c r="B22" i="96"/>
  <c r="B22" i="95"/>
  <c r="B22" i="94"/>
  <c r="B22" i="93"/>
  <c r="B22" i="92"/>
  <c r="B22" i="91"/>
  <c r="B22" i="90"/>
  <c r="B22" i="89"/>
  <c r="B22" i="88"/>
  <c r="B22" i="87"/>
  <c r="B22" i="86"/>
  <c r="B22" i="85"/>
  <c r="B22" i="84"/>
  <c r="B22" i="83"/>
  <c r="B22" i="82"/>
  <c r="B22" i="81"/>
  <c r="B22" i="80"/>
  <c r="B22" i="78"/>
  <c r="B22" i="76"/>
  <c r="B22" i="75"/>
  <c r="B22" i="74"/>
  <c r="B22" i="73"/>
  <c r="B22" i="72"/>
  <c r="B22" i="71"/>
  <c r="B22" i="70"/>
  <c r="B22" i="69"/>
  <c r="B22" i="68"/>
  <c r="B22" i="67"/>
  <c r="B22" i="66"/>
  <c r="B22" i="65"/>
  <c r="B22" i="64"/>
  <c r="B22" i="63"/>
  <c r="B22" i="62"/>
  <c r="B22" i="61"/>
  <c r="B22" i="60"/>
  <c r="B22" i="58"/>
  <c r="B22" i="59"/>
  <c r="B22" i="3"/>
  <c r="B23" i="16"/>
  <c r="B23" i="19"/>
  <c r="B23" i="17"/>
  <c r="B23" i="18"/>
  <c r="B23" i="14"/>
  <c r="B23" i="98"/>
  <c r="B23" i="97"/>
  <c r="B23" i="96"/>
  <c r="B23" i="95"/>
  <c r="B23" i="94"/>
  <c r="B23" i="93"/>
  <c r="B23" i="92"/>
  <c r="B23" i="91"/>
  <c r="B23" i="90"/>
  <c r="B23" i="89"/>
  <c r="B23" i="88"/>
  <c r="B23" i="87"/>
  <c r="B23" i="86"/>
  <c r="B23" i="85"/>
  <c r="B23" i="84"/>
  <c r="B23" i="83"/>
  <c r="B23" i="82"/>
  <c r="B23" i="81"/>
  <c r="B23" i="80"/>
  <c r="B23" i="78"/>
  <c r="B23" i="76"/>
  <c r="B23" i="75"/>
  <c r="B23" i="74"/>
  <c r="B23" i="73"/>
  <c r="B23" i="72"/>
  <c r="B23" i="71"/>
  <c r="B23" i="70"/>
  <c r="B23" i="69"/>
  <c r="B23" i="68"/>
  <c r="B23" i="67"/>
  <c r="B23" i="66"/>
  <c r="B23" i="65"/>
  <c r="B23" i="64"/>
  <c r="B23" i="63"/>
  <c r="B23" i="62"/>
  <c r="B23" i="61"/>
  <c r="B23" i="60"/>
  <c r="B23" i="59"/>
  <c r="B23" i="58"/>
  <c r="B23" i="3"/>
  <c r="B17" i="73"/>
  <c r="B17" i="62"/>
  <c r="B17" i="59"/>
  <c r="B17" i="3"/>
  <c r="B17" i="16"/>
  <c r="B17" i="19"/>
  <c r="B17" i="17"/>
  <c r="B17" i="18"/>
  <c r="B17" i="14"/>
  <c r="B17" i="98"/>
  <c r="B17" i="97"/>
  <c r="B17" i="96"/>
  <c r="B17" i="95"/>
  <c r="B17" i="94"/>
  <c r="B17" i="93"/>
  <c r="B17" i="92"/>
  <c r="B17" i="91"/>
  <c r="B17" i="90"/>
  <c r="B17" i="89"/>
  <c r="B17" i="88"/>
  <c r="B17" i="87"/>
  <c r="B17" i="86"/>
  <c r="B17" i="85"/>
  <c r="B17" i="84"/>
  <c r="B17" i="83"/>
  <c r="B17" i="82"/>
  <c r="B17" i="81"/>
  <c r="B17" i="80"/>
  <c r="B17" i="78"/>
  <c r="B17" i="76"/>
  <c r="B17" i="75"/>
  <c r="B17" i="74"/>
  <c r="B17" i="72"/>
  <c r="B17" i="71"/>
  <c r="B17" i="70"/>
  <c r="B17" i="69"/>
  <c r="B17" i="68"/>
  <c r="B17" i="67"/>
  <c r="B17" i="66"/>
  <c r="B17" i="65"/>
  <c r="B17" i="64"/>
  <c r="B17" i="63"/>
  <c r="B17" i="61"/>
  <c r="B17" i="60"/>
  <c r="B17" i="58"/>
  <c r="B9" i="16"/>
  <c r="B9" i="17"/>
  <c r="B9" i="14"/>
  <c r="B9" i="97"/>
  <c r="B9" i="95"/>
  <c r="B9" i="93"/>
  <c r="B9" i="91"/>
  <c r="B9" i="89"/>
  <c r="B9" i="87"/>
  <c r="B9" i="85"/>
  <c r="B9" i="83"/>
  <c r="B9" i="81"/>
  <c r="B9" i="78"/>
  <c r="B9" i="75"/>
  <c r="B9" i="73"/>
  <c r="B9" i="71"/>
  <c r="B9" i="69"/>
  <c r="B9" i="67"/>
  <c r="B9" i="65"/>
  <c r="B9" i="63"/>
  <c r="B9" i="59"/>
  <c r="B9" i="19"/>
  <c r="B9" i="18"/>
  <c r="B9" i="98"/>
  <c r="B9" i="96"/>
  <c r="B9" i="94"/>
  <c r="B9" i="92"/>
  <c r="B9" i="90"/>
  <c r="B9" i="88"/>
  <c r="B9" i="86"/>
  <c r="B9" i="84"/>
  <c r="B9" i="82"/>
  <c r="B9" i="80"/>
  <c r="B9" i="76"/>
  <c r="B9" i="74"/>
  <c r="B9" i="72"/>
  <c r="B9" i="70"/>
  <c r="B9" i="68"/>
  <c r="B9" i="66"/>
  <c r="B9" i="64"/>
  <c r="B9" i="62"/>
  <c r="B9" i="60"/>
  <c r="B9" i="58"/>
  <c r="B9" i="61"/>
  <c r="B9" i="3"/>
  <c r="B5" i="71"/>
  <c r="B5" i="60"/>
  <c r="B5" i="58"/>
  <c r="B5" i="16"/>
  <c r="B5" i="19"/>
  <c r="B5" i="17"/>
  <c r="B5" i="18"/>
  <c r="B5" i="14"/>
  <c r="B5" i="98"/>
  <c r="B5" i="97"/>
  <c r="B5" i="96"/>
  <c r="B5" i="95"/>
  <c r="B5" i="94"/>
  <c r="B5" i="93"/>
  <c r="B5" i="92"/>
  <c r="B5" i="91"/>
  <c r="B5" i="90"/>
  <c r="B5" i="89"/>
  <c r="B5" i="88"/>
  <c r="B5" i="87"/>
  <c r="B5" i="86"/>
  <c r="B5" i="85"/>
  <c r="B5" i="84"/>
  <c r="B5" i="83"/>
  <c r="B5" i="82"/>
  <c r="B5" i="81"/>
  <c r="B5" i="80"/>
  <c r="B5" i="78"/>
  <c r="B5" i="76"/>
  <c r="B5" i="75"/>
  <c r="B5" i="74"/>
  <c r="B5" i="73"/>
  <c r="B5" i="72"/>
  <c r="B5" i="70"/>
  <c r="B5" i="69"/>
  <c r="B5" i="68"/>
  <c r="B5" i="67"/>
  <c r="B5" i="66"/>
  <c r="B5" i="65"/>
  <c r="B5" i="64"/>
  <c r="B5" i="63"/>
  <c r="B5" i="62"/>
  <c r="B5" i="61"/>
  <c r="B5" i="59"/>
  <c r="B5" i="3"/>
  <c r="B3" i="16"/>
  <c r="B3" i="17"/>
  <c r="B3" i="14"/>
  <c r="A3" i="14" s="1"/>
  <c r="B3" i="97"/>
  <c r="A4" i="97" s="1"/>
  <c r="B3" i="95"/>
  <c r="B3" i="93"/>
  <c r="A3" i="93" s="1"/>
  <c r="B3" i="91"/>
  <c r="A5" i="91" s="1"/>
  <c r="B3" i="89"/>
  <c r="A4" i="89" s="1"/>
  <c r="B3" i="87"/>
  <c r="B3" i="85"/>
  <c r="B3" i="83"/>
  <c r="B3" i="81"/>
  <c r="B3" i="78"/>
  <c r="B3" i="75"/>
  <c r="B3" i="73"/>
  <c r="B3" i="71"/>
  <c r="B3" i="69"/>
  <c r="B3" i="67"/>
  <c r="B3" i="65"/>
  <c r="B3" i="63"/>
  <c r="B3" i="61"/>
  <c r="B3" i="3"/>
  <c r="B3" i="19"/>
  <c r="A3" i="19" s="1"/>
  <c r="B3" i="18"/>
  <c r="A3" i="18" s="1"/>
  <c r="B3" i="98"/>
  <c r="A3" i="98" s="1"/>
  <c r="B3" i="96"/>
  <c r="A4" i="96" s="1"/>
  <c r="B3" i="94"/>
  <c r="B3" i="92"/>
  <c r="A4" i="92" s="1"/>
  <c r="B3" i="90"/>
  <c r="A4" i="90" s="1"/>
  <c r="B3" i="88"/>
  <c r="B3" i="86"/>
  <c r="B3" i="84"/>
  <c r="B3" i="82"/>
  <c r="B3" i="80"/>
  <c r="B3" i="76"/>
  <c r="B3" i="74"/>
  <c r="B3" i="72"/>
  <c r="B3" i="70"/>
  <c r="B3" i="68"/>
  <c r="B3" i="66"/>
  <c r="B3" i="64"/>
  <c r="B3" i="62"/>
  <c r="B3" i="60"/>
  <c r="B3" i="58"/>
  <c r="B3" i="59"/>
  <c r="B31" i="3"/>
  <c r="G2" i="27" s="1"/>
  <c r="H2" i="27" s="1"/>
  <c r="I2" i="27" s="1"/>
  <c r="C2" i="27"/>
  <c r="A3" i="92"/>
  <c r="A3" i="97"/>
  <c r="A3" i="95"/>
  <c r="A3" i="89"/>
  <c r="A3" i="96"/>
  <c r="A7" i="96"/>
  <c r="A3" i="17"/>
  <c r="A3" i="16"/>
  <c r="A8" i="96" l="1"/>
  <c r="A6" i="89"/>
  <c r="A7" i="92"/>
  <c r="A5" i="93"/>
  <c r="A11" i="114"/>
  <c r="A10" i="126"/>
  <c r="A10" i="128"/>
  <c r="A5" i="92"/>
  <c r="A5" i="96"/>
  <c r="A6" i="127"/>
  <c r="A4" i="93"/>
  <c r="A5" i="94"/>
  <c r="A9" i="96"/>
  <c r="A24" i="129"/>
  <c r="A20" i="129"/>
  <c r="A22" i="128"/>
  <c r="A6" i="126"/>
  <c r="A10" i="96"/>
  <c r="A6" i="95"/>
  <c r="A23" i="126"/>
  <c r="A15" i="126"/>
  <c r="A13" i="129"/>
  <c r="A14" i="126"/>
  <c r="A8" i="129"/>
  <c r="A25" i="129"/>
  <c r="A7" i="126"/>
  <c r="A28" i="129"/>
  <c r="A18" i="129"/>
  <c r="A21" i="129"/>
  <c r="A17" i="129"/>
  <c r="A29" i="129"/>
  <c r="A12" i="129"/>
  <c r="A16" i="126"/>
  <c r="A27" i="126"/>
  <c r="A26" i="126"/>
  <c r="A11" i="126"/>
  <c r="A9" i="129"/>
  <c r="A24" i="126"/>
  <c r="A23" i="127"/>
  <c r="A20" i="126"/>
  <c r="A22" i="129"/>
  <c r="A15" i="127"/>
  <c r="A13" i="126"/>
  <c r="A14" i="127"/>
  <c r="A8" i="127"/>
  <c r="A25" i="126"/>
  <c r="A7" i="127"/>
  <c r="A28" i="126"/>
  <c r="A18" i="126"/>
  <c r="A21" i="126"/>
  <c r="A17" i="126"/>
  <c r="A29" i="126"/>
  <c r="A12" i="126"/>
  <c r="A16" i="127"/>
  <c r="A27" i="127"/>
  <c r="A26" i="127"/>
  <c r="A11" i="127"/>
  <c r="A9" i="126"/>
  <c r="A11" i="101"/>
  <c r="A11" i="105"/>
  <c r="A11" i="109"/>
  <c r="A11" i="113"/>
  <c r="A11" i="117"/>
  <c r="A11" i="121"/>
  <c r="A24" i="127"/>
  <c r="A23" i="128"/>
  <c r="A20" i="127"/>
  <c r="A22" i="126"/>
  <c r="A15" i="128"/>
  <c r="A13" i="127"/>
  <c r="A6" i="129"/>
  <c r="A14" i="128"/>
  <c r="A8" i="128"/>
  <c r="A25" i="127"/>
  <c r="A7" i="128"/>
  <c r="A28" i="127"/>
  <c r="A18" i="127"/>
  <c r="A21" i="127"/>
  <c r="A17" i="127"/>
  <c r="A29" i="127"/>
  <c r="A12" i="127"/>
  <c r="A16" i="128"/>
  <c r="A27" i="128"/>
  <c r="A26" i="129"/>
  <c r="A11" i="128"/>
  <c r="A9" i="127"/>
  <c r="A3" i="91"/>
  <c r="A24" i="128"/>
  <c r="A19" i="129"/>
  <c r="A10" i="129"/>
  <c r="A23" i="129"/>
  <c r="A20" i="128"/>
  <c r="A22" i="127"/>
  <c r="A15" i="129"/>
  <c r="A13" i="128"/>
  <c r="A6" i="128"/>
  <c r="A14" i="129"/>
  <c r="A8" i="126"/>
  <c r="A25" i="128"/>
  <c r="A7" i="129"/>
  <c r="A28" i="128"/>
  <c r="A18" i="128"/>
  <c r="A21" i="128"/>
  <c r="A17" i="128"/>
  <c r="A29" i="128"/>
  <c r="A12" i="128"/>
  <c r="A16" i="129"/>
  <c r="A27" i="129"/>
  <c r="A26" i="128"/>
  <c r="A11" i="129"/>
  <c r="A9" i="128"/>
  <c r="A11" i="115"/>
  <c r="A17" i="99"/>
  <c r="A17" i="101"/>
  <c r="A17" i="103"/>
  <c r="A17" i="105"/>
  <c r="A17" i="107"/>
  <c r="A17" i="109"/>
  <c r="A17" i="111"/>
  <c r="A17" i="113"/>
  <c r="A17" i="115"/>
  <c r="A17" i="117"/>
  <c r="A17" i="119"/>
  <c r="A17" i="121"/>
  <c r="A17" i="124"/>
  <c r="A13" i="99"/>
  <c r="A13" i="101"/>
  <c r="A13" i="103"/>
  <c r="A13" i="105"/>
  <c r="A13" i="107"/>
  <c r="A13" i="109"/>
  <c r="A13" i="111"/>
  <c r="A13" i="113"/>
  <c r="A13" i="114"/>
  <c r="A13" i="117"/>
  <c r="A13" i="119"/>
  <c r="A13" i="121"/>
  <c r="A13" i="124"/>
  <c r="A23" i="99"/>
  <c r="A23" i="101"/>
  <c r="A23" i="103"/>
  <c r="A23" i="105"/>
  <c r="A23" i="107"/>
  <c r="A23" i="109"/>
  <c r="A23" i="111"/>
  <c r="A23" i="113"/>
  <c r="A23" i="115"/>
  <c r="A23" i="117"/>
  <c r="A23" i="119"/>
  <c r="A23" i="121"/>
  <c r="A23" i="124"/>
  <c r="A6" i="99"/>
  <c r="A6" i="101"/>
  <c r="A6" i="103"/>
  <c r="A6" i="105"/>
  <c r="A6" i="107"/>
  <c r="A6" i="109"/>
  <c r="A6" i="111"/>
  <c r="A6" i="113"/>
  <c r="A6" i="115"/>
  <c r="A6" i="117"/>
  <c r="A6" i="119"/>
  <c r="A6" i="121"/>
  <c r="A6" i="124"/>
  <c r="A9" i="99"/>
  <c r="A9" i="101"/>
  <c r="A9" i="103"/>
  <c r="A9" i="105"/>
  <c r="A9" i="107"/>
  <c r="A9" i="109"/>
  <c r="A9" i="111"/>
  <c r="A9" i="113"/>
  <c r="A9" i="114"/>
  <c r="A9" i="117"/>
  <c r="A9" i="119"/>
  <c r="A9" i="121"/>
  <c r="A9" i="124"/>
  <c r="A14" i="99"/>
  <c r="A14" i="101"/>
  <c r="A14" i="103"/>
  <c r="A14" i="105"/>
  <c r="A14" i="107"/>
  <c r="A14" i="109"/>
  <c r="A14" i="111"/>
  <c r="A14" i="113"/>
  <c r="A14" i="115"/>
  <c r="A14" i="117"/>
  <c r="A14" i="119"/>
  <c r="A14" i="121"/>
  <c r="A14" i="124"/>
  <c r="A20" i="99"/>
  <c r="A20" i="101"/>
  <c r="A20" i="103"/>
  <c r="A20" i="105"/>
  <c r="A20" i="107"/>
  <c r="A20" i="109"/>
  <c r="A20" i="111"/>
  <c r="A20" i="113"/>
  <c r="A20" i="115"/>
  <c r="A20" i="117"/>
  <c r="A20" i="119"/>
  <c r="A20" i="121"/>
  <c r="A20" i="124"/>
  <c r="A8" i="99"/>
  <c r="A8" i="101"/>
  <c r="A8" i="103"/>
  <c r="A8" i="105"/>
  <c r="A8" i="107"/>
  <c r="A8" i="109"/>
  <c r="A8" i="111"/>
  <c r="A8" i="113"/>
  <c r="A8" i="115"/>
  <c r="A8" i="117"/>
  <c r="A8" i="119"/>
  <c r="A8" i="121"/>
  <c r="A8" i="124"/>
  <c r="A29" i="99"/>
  <c r="A29" i="101"/>
  <c r="A29" i="103"/>
  <c r="A29" i="105"/>
  <c r="A29" i="107"/>
  <c r="A29" i="109"/>
  <c r="A29" i="111"/>
  <c r="A29" i="113"/>
  <c r="A29" i="115"/>
  <c r="A29" i="117"/>
  <c r="A29" i="119"/>
  <c r="A29" i="121"/>
  <c r="A29" i="124"/>
  <c r="A25" i="99"/>
  <c r="A25" i="101"/>
  <c r="A25" i="103"/>
  <c r="A25" i="105"/>
  <c r="A25" i="107"/>
  <c r="A25" i="109"/>
  <c r="A25" i="111"/>
  <c r="A25" i="113"/>
  <c r="A25" i="115"/>
  <c r="A25" i="117"/>
  <c r="A25" i="119"/>
  <c r="A25" i="121"/>
  <c r="A17" i="100"/>
  <c r="A17" i="102"/>
  <c r="A17" i="104"/>
  <c r="A17" i="106"/>
  <c r="A17" i="108"/>
  <c r="A17" i="110"/>
  <c r="A17" i="112"/>
  <c r="A17" i="114"/>
  <c r="A17" i="116"/>
  <c r="A17" i="118"/>
  <c r="A17" i="120"/>
  <c r="A17" i="122"/>
  <c r="A17" i="125"/>
  <c r="A13" i="100"/>
  <c r="A13" i="102"/>
  <c r="A13" i="104"/>
  <c r="A13" i="106"/>
  <c r="A13" i="108"/>
  <c r="A13" i="110"/>
  <c r="A13" i="112"/>
  <c r="A13" i="115"/>
  <c r="A13" i="116"/>
  <c r="A13" i="118"/>
  <c r="A13" i="120"/>
  <c r="A13" i="122"/>
  <c r="A13" i="125"/>
  <c r="A23" i="100"/>
  <c r="A23" i="102"/>
  <c r="A23" i="104"/>
  <c r="A23" i="106"/>
  <c r="A23" i="108"/>
  <c r="A23" i="110"/>
  <c r="A23" i="112"/>
  <c r="A23" i="114"/>
  <c r="A23" i="116"/>
  <c r="A23" i="118"/>
  <c r="A23" i="120"/>
  <c r="A23" i="122"/>
  <c r="A23" i="125"/>
  <c r="A6" i="100"/>
  <c r="A6" i="102"/>
  <c r="A6" i="104"/>
  <c r="A6" i="106"/>
  <c r="A6" i="108"/>
  <c r="A6" i="110"/>
  <c r="A6" i="112"/>
  <c r="A6" i="114"/>
  <c r="A6" i="116"/>
  <c r="A6" i="118"/>
  <c r="A6" i="120"/>
  <c r="A6" i="122"/>
  <c r="A6" i="125"/>
  <c r="A9" i="100"/>
  <c r="A9" i="102"/>
  <c r="A9" i="104"/>
  <c r="A9" i="106"/>
  <c r="A9" i="108"/>
  <c r="A9" i="110"/>
  <c r="A9" i="112"/>
  <c r="A9" i="115"/>
  <c r="A9" i="116"/>
  <c r="A9" i="118"/>
  <c r="A9" i="120"/>
  <c r="A9" i="122"/>
  <c r="A9" i="125"/>
  <c r="A14" i="100"/>
  <c r="A14" i="102"/>
  <c r="A14" i="104"/>
  <c r="A14" i="106"/>
  <c r="A14" i="108"/>
  <c r="A14" i="110"/>
  <c r="A14" i="112"/>
  <c r="A14" i="114"/>
  <c r="A14" i="116"/>
  <c r="A14" i="118"/>
  <c r="A14" i="120"/>
  <c r="A14" i="122"/>
  <c r="A14" i="125"/>
  <c r="A20" i="100"/>
  <c r="A20" i="102"/>
  <c r="A20" i="104"/>
  <c r="A20" i="106"/>
  <c r="A20" i="108"/>
  <c r="A20" i="110"/>
  <c r="A20" i="112"/>
  <c r="A20" i="114"/>
  <c r="A20" i="116"/>
  <c r="A20" i="118"/>
  <c r="A20" i="120"/>
  <c r="A20" i="122"/>
  <c r="A20" i="125"/>
  <c r="A8" i="100"/>
  <c r="A8" i="102"/>
  <c r="A8" i="104"/>
  <c r="A8" i="106"/>
  <c r="A8" i="108"/>
  <c r="A8" i="110"/>
  <c r="A8" i="112"/>
  <c r="A8" i="114"/>
  <c r="A8" i="116"/>
  <c r="A8" i="118"/>
  <c r="A8" i="120"/>
  <c r="A8" i="122"/>
  <c r="A8" i="125"/>
  <c r="A29" i="100"/>
  <c r="A29" i="102"/>
  <c r="A29" i="104"/>
  <c r="A29" i="106"/>
  <c r="A29" i="108"/>
  <c r="A29" i="110"/>
  <c r="A29" i="112"/>
  <c r="A29" i="114"/>
  <c r="A29" i="116"/>
  <c r="A29" i="118"/>
  <c r="A29" i="120"/>
  <c r="A29" i="122"/>
  <c r="A29" i="125"/>
  <c r="A25" i="100"/>
  <c r="A25" i="102"/>
  <c r="A25" i="104"/>
  <c r="A25" i="106"/>
  <c r="A25" i="108"/>
  <c r="A25" i="110"/>
  <c r="A25" i="112"/>
  <c r="A25" i="114"/>
  <c r="A25" i="116"/>
  <c r="A25" i="118"/>
  <c r="A25" i="120"/>
  <c r="A25" i="122"/>
  <c r="A25" i="125"/>
  <c r="A22" i="100"/>
  <c r="A22" i="102"/>
  <c r="A22" i="104"/>
  <c r="A22" i="106"/>
  <c r="A22" i="108"/>
  <c r="A22" i="110"/>
  <c r="A22" i="112"/>
  <c r="A22" i="114"/>
  <c r="A22" i="116"/>
  <c r="A22" i="118"/>
  <c r="A22" i="120"/>
  <c r="A25" i="124"/>
  <c r="A22" i="99"/>
  <c r="A22" i="101"/>
  <c r="A22" i="103"/>
  <c r="A22" i="105"/>
  <c r="A22" i="107"/>
  <c r="A22" i="109"/>
  <c r="A22" i="111"/>
  <c r="A22" i="113"/>
  <c r="A22" i="115"/>
  <c r="A22" i="117"/>
  <c r="A22" i="119"/>
  <c r="A22" i="121"/>
  <c r="A22" i="124"/>
  <c r="A7" i="99"/>
  <c r="A7" i="101"/>
  <c r="A7" i="103"/>
  <c r="A7" i="105"/>
  <c r="A7" i="107"/>
  <c r="A7" i="109"/>
  <c r="A7" i="111"/>
  <c r="A7" i="113"/>
  <c r="A7" i="115"/>
  <c r="A7" i="117"/>
  <c r="A7" i="119"/>
  <c r="A7" i="121"/>
  <c r="A7" i="124"/>
  <c r="A24" i="99"/>
  <c r="A24" i="101"/>
  <c r="A24" i="103"/>
  <c r="A24" i="105"/>
  <c r="A24" i="107"/>
  <c r="A24" i="109"/>
  <c r="A24" i="111"/>
  <c r="A24" i="113"/>
  <c r="A24" i="115"/>
  <c r="A24" i="117"/>
  <c r="A24" i="119"/>
  <c r="A24" i="121"/>
  <c r="A24" i="124"/>
  <c r="A28" i="99"/>
  <c r="A28" i="101"/>
  <c r="A28" i="103"/>
  <c r="A28" i="105"/>
  <c r="A28" i="107"/>
  <c r="A28" i="109"/>
  <c r="A28" i="111"/>
  <c r="A28" i="113"/>
  <c r="A28" i="115"/>
  <c r="A28" i="117"/>
  <c r="A28" i="119"/>
  <c r="A28" i="121"/>
  <c r="A28" i="124"/>
  <c r="A12" i="99"/>
  <c r="A12" i="101"/>
  <c r="A12" i="103"/>
  <c r="A12" i="105"/>
  <c r="A12" i="107"/>
  <c r="A12" i="109"/>
  <c r="A12" i="111"/>
  <c r="A12" i="113"/>
  <c r="A12" i="115"/>
  <c r="A12" i="117"/>
  <c r="A12" i="119"/>
  <c r="A12" i="121"/>
  <c r="A12" i="124"/>
  <c r="A18" i="99"/>
  <c r="A18" i="101"/>
  <c r="A18" i="103"/>
  <c r="A18" i="105"/>
  <c r="A18" i="107"/>
  <c r="A18" i="109"/>
  <c r="A18" i="111"/>
  <c r="A18" i="113"/>
  <c r="A18" i="115"/>
  <c r="A18" i="117"/>
  <c r="A18" i="119"/>
  <c r="A18" i="121"/>
  <c r="A18" i="124"/>
  <c r="A15" i="99"/>
  <c r="A15" i="101"/>
  <c r="A15" i="103"/>
  <c r="A15" i="105"/>
  <c r="A15" i="107"/>
  <c r="A15" i="109"/>
  <c r="A15" i="111"/>
  <c r="A15" i="113"/>
  <c r="A15" i="115"/>
  <c r="A15" i="117"/>
  <c r="A15" i="119"/>
  <c r="A15" i="121"/>
  <c r="A15" i="124"/>
  <c r="A16" i="99"/>
  <c r="A16" i="101"/>
  <c r="A16" i="103"/>
  <c r="A16" i="105"/>
  <c r="A16" i="107"/>
  <c r="A16" i="109"/>
  <c r="A16" i="111"/>
  <c r="A16" i="113"/>
  <c r="A16" i="115"/>
  <c r="A16" i="117"/>
  <c r="A16" i="119"/>
  <c r="A16" i="121"/>
  <c r="A16" i="124"/>
  <c r="A27" i="107"/>
  <c r="A27" i="100"/>
  <c r="A27" i="102"/>
  <c r="A27" i="104"/>
  <c r="A27" i="106"/>
  <c r="A27" i="109"/>
  <c r="A27" i="111"/>
  <c r="A27" i="113"/>
  <c r="A27" i="115"/>
  <c r="A27" i="117"/>
  <c r="A27" i="119"/>
  <c r="A27" i="121"/>
  <c r="A27" i="124"/>
  <c r="A21" i="99"/>
  <c r="A21" i="101"/>
  <c r="A21" i="103"/>
  <c r="A21" i="105"/>
  <c r="A21" i="107"/>
  <c r="A21" i="109"/>
  <c r="A21" i="111"/>
  <c r="A21" i="113"/>
  <c r="A21" i="115"/>
  <c r="A21" i="117"/>
  <c r="A21" i="119"/>
  <c r="A21" i="121"/>
  <c r="A21" i="124"/>
  <c r="A19" i="99"/>
  <c r="A19" i="101"/>
  <c r="A19" i="103"/>
  <c r="A19" i="105"/>
  <c r="A19" i="107"/>
  <c r="A19" i="109"/>
  <c r="A19" i="111"/>
  <c r="A19" i="113"/>
  <c r="A19" i="114"/>
  <c r="A19" i="117"/>
  <c r="A19" i="119"/>
  <c r="A19" i="121"/>
  <c r="A19" i="124"/>
  <c r="A26" i="99"/>
  <c r="A26" i="101"/>
  <c r="A26" i="103"/>
  <c r="A26" i="105"/>
  <c r="A26" i="107"/>
  <c r="A26" i="109"/>
  <c r="A26" i="111"/>
  <c r="A26" i="113"/>
  <c r="A26" i="115"/>
  <c r="A26" i="117"/>
  <c r="A26" i="119"/>
  <c r="A26" i="121"/>
  <c r="A26" i="124"/>
  <c r="A10" i="99"/>
  <c r="A10" i="101"/>
  <c r="A10" i="103"/>
  <c r="A10" i="105"/>
  <c r="A10" i="107"/>
  <c r="A10" i="109"/>
  <c r="A10" i="111"/>
  <c r="A10" i="113"/>
  <c r="A10" i="115"/>
  <c r="A10" i="117"/>
  <c r="A10" i="119"/>
  <c r="A10" i="121"/>
  <c r="A10" i="124"/>
  <c r="A22" i="122"/>
  <c r="A22" i="125"/>
  <c r="A7" i="100"/>
  <c r="A7" i="102"/>
  <c r="A7" i="104"/>
  <c r="A7" i="106"/>
  <c r="A7" i="108"/>
  <c r="A7" i="110"/>
  <c r="A7" i="112"/>
  <c r="A7" i="114"/>
  <c r="A7" i="116"/>
  <c r="A7" i="118"/>
  <c r="A7" i="120"/>
  <c r="A7" i="122"/>
  <c r="A7" i="125"/>
  <c r="A24" i="100"/>
  <c r="A24" i="102"/>
  <c r="A24" i="104"/>
  <c r="A24" i="106"/>
  <c r="A24" i="108"/>
  <c r="A24" i="110"/>
  <c r="A24" i="112"/>
  <c r="A24" i="114"/>
  <c r="A24" i="116"/>
  <c r="A24" i="118"/>
  <c r="A24" i="120"/>
  <c r="A24" i="122"/>
  <c r="A24" i="125"/>
  <c r="A28" i="100"/>
  <c r="A28" i="102"/>
  <c r="A28" i="104"/>
  <c r="A28" i="106"/>
  <c r="A28" i="108"/>
  <c r="A28" i="110"/>
  <c r="A28" i="112"/>
  <c r="A28" i="114"/>
  <c r="A28" i="116"/>
  <c r="A28" i="118"/>
  <c r="A28" i="120"/>
  <c r="A28" i="122"/>
  <c r="A28" i="125"/>
  <c r="A12" i="100"/>
  <c r="A12" i="102"/>
  <c r="A12" i="104"/>
  <c r="A12" i="106"/>
  <c r="A12" i="108"/>
  <c r="A12" i="110"/>
  <c r="A12" i="112"/>
  <c r="A12" i="114"/>
  <c r="A12" i="116"/>
  <c r="A12" i="118"/>
  <c r="A12" i="120"/>
  <c r="A12" i="122"/>
  <c r="A12" i="125"/>
  <c r="A18" i="100"/>
  <c r="A18" i="102"/>
  <c r="A18" i="104"/>
  <c r="A18" i="106"/>
  <c r="A18" i="108"/>
  <c r="A18" i="110"/>
  <c r="A18" i="112"/>
  <c r="A18" i="114"/>
  <c r="A18" i="116"/>
  <c r="A18" i="118"/>
  <c r="A18" i="120"/>
  <c r="A18" i="122"/>
  <c r="A18" i="125"/>
  <c r="A15" i="100"/>
  <c r="A15" i="102"/>
  <c r="A15" i="104"/>
  <c r="A15" i="106"/>
  <c r="A15" i="108"/>
  <c r="A15" i="110"/>
  <c r="A15" i="112"/>
  <c r="A15" i="114"/>
  <c r="A15" i="116"/>
  <c r="A15" i="118"/>
  <c r="A15" i="120"/>
  <c r="A15" i="122"/>
  <c r="A15" i="125"/>
  <c r="A16" i="100"/>
  <c r="A16" i="102"/>
  <c r="A16" i="104"/>
  <c r="A16" i="106"/>
  <c r="A16" i="108"/>
  <c r="A16" i="110"/>
  <c r="A16" i="112"/>
  <c r="A16" i="114"/>
  <c r="A16" i="116"/>
  <c r="A16" i="118"/>
  <c r="A16" i="120"/>
  <c r="A16" i="122"/>
  <c r="A16" i="125"/>
  <c r="A27" i="99"/>
  <c r="A27" i="101"/>
  <c r="A27" i="103"/>
  <c r="A27" i="105"/>
  <c r="A27" i="108"/>
  <c r="A27" i="110"/>
  <c r="A27" i="112"/>
  <c r="A27" i="114"/>
  <c r="A27" i="116"/>
  <c r="A27" i="118"/>
  <c r="A27" i="120"/>
  <c r="A27" i="122"/>
  <c r="A27" i="125"/>
  <c r="A21" i="100"/>
  <c r="A21" i="102"/>
  <c r="A21" i="104"/>
  <c r="A21" i="106"/>
  <c r="A21" i="108"/>
  <c r="A21" i="110"/>
  <c r="A21" i="112"/>
  <c r="A21" i="114"/>
  <c r="A21" i="116"/>
  <c r="A21" i="118"/>
  <c r="A21" i="120"/>
  <c r="A21" i="122"/>
  <c r="A21" i="125"/>
  <c r="A19" i="100"/>
  <c r="A19" i="102"/>
  <c r="A19" i="104"/>
  <c r="A19" i="106"/>
  <c r="A19" i="108"/>
  <c r="A19" i="110"/>
  <c r="A19" i="112"/>
  <c r="A19" i="115"/>
  <c r="A19" i="116"/>
  <c r="A19" i="118"/>
  <c r="A19" i="120"/>
  <c r="A19" i="122"/>
  <c r="A19" i="125"/>
  <c r="A26" i="100"/>
  <c r="A26" i="102"/>
  <c r="A26" i="104"/>
  <c r="A26" i="106"/>
  <c r="A26" i="108"/>
  <c r="A26" i="110"/>
  <c r="A26" i="112"/>
  <c r="A26" i="114"/>
  <c r="A26" i="116"/>
  <c r="A26" i="118"/>
  <c r="A26" i="120"/>
  <c r="A26" i="122"/>
  <c r="A26" i="125"/>
  <c r="A10" i="100"/>
  <c r="A10" i="102"/>
  <c r="A10" i="104"/>
  <c r="A10" i="106"/>
  <c r="A10" i="108"/>
  <c r="A10" i="110"/>
  <c r="A10" i="112"/>
  <c r="A10" i="114"/>
  <c r="A10" i="116"/>
  <c r="A10" i="118"/>
  <c r="A10" i="120"/>
  <c r="A10" i="122"/>
  <c r="A10" i="125"/>
  <c r="A5" i="89"/>
  <c r="A6" i="93"/>
  <c r="A5" i="97"/>
  <c r="A9" i="92"/>
  <c r="A7" i="89"/>
  <c r="A14" i="92"/>
  <c r="A6" i="96"/>
  <c r="A11" i="96"/>
  <c r="A13" i="96"/>
  <c r="A8" i="93"/>
  <c r="A13" i="93"/>
  <c r="A12" i="91"/>
  <c r="A12" i="89"/>
  <c r="A4" i="95"/>
  <c r="A8" i="92"/>
  <c r="A3" i="90"/>
  <c r="A4" i="94"/>
  <c r="A7" i="98"/>
  <c r="A3" i="94"/>
  <c r="A13" i="95"/>
  <c r="A5" i="95"/>
  <c r="A18" i="94"/>
  <c r="A6" i="94"/>
  <c r="A10" i="91"/>
  <c r="A4" i="91"/>
  <c r="A11" i="95"/>
  <c r="A14" i="98"/>
  <c r="A7" i="91"/>
  <c r="A22" i="93"/>
  <c r="A25" i="97"/>
  <c r="A20" i="94"/>
  <c r="A24" i="96"/>
  <c r="A14" i="89"/>
  <c r="A13" i="91"/>
  <c r="A7" i="93"/>
  <c r="A14" i="95"/>
  <c r="A6" i="92"/>
  <c r="A7" i="94"/>
  <c r="A13" i="98"/>
  <c r="A8" i="94"/>
  <c r="A11" i="94"/>
  <c r="A9" i="94"/>
  <c r="A9" i="91"/>
  <c r="A11" i="91"/>
  <c r="A13" i="89"/>
  <c r="A10" i="89"/>
  <c r="A11" i="89"/>
  <c r="A8" i="89"/>
  <c r="A9" i="95"/>
  <c r="A12" i="95"/>
  <c r="A15" i="92"/>
  <c r="A16" i="92"/>
  <c r="A21" i="96"/>
  <c r="A22" i="96"/>
  <c r="A5" i="98"/>
  <c r="A13" i="94"/>
  <c r="A13" i="90"/>
  <c r="A4" i="98"/>
  <c r="A17" i="97"/>
  <c r="A22" i="92"/>
  <c r="A17" i="91"/>
  <c r="A10" i="93"/>
  <c r="A9" i="97"/>
  <c r="A12" i="96"/>
  <c r="A9" i="90"/>
  <c r="A14" i="93"/>
  <c r="A26" i="89"/>
  <c r="A15" i="89"/>
  <c r="A22" i="95"/>
  <c r="A15" i="96"/>
  <c r="A16" i="96"/>
  <c r="A23" i="93"/>
  <c r="A16" i="93"/>
  <c r="A19" i="94"/>
  <c r="A14" i="94"/>
  <c r="A25" i="94"/>
  <c r="A23" i="92"/>
  <c r="A26" i="92"/>
  <c r="A28" i="90"/>
  <c r="A27" i="91"/>
  <c r="A29" i="97"/>
  <c r="A18" i="90"/>
  <c r="A23" i="96"/>
  <c r="A29" i="96"/>
  <c r="A14" i="96"/>
  <c r="A21" i="93"/>
  <c r="A26" i="94"/>
  <c r="A28" i="94"/>
  <c r="A27" i="94"/>
  <c r="A25" i="91"/>
  <c r="A18" i="91"/>
  <c r="A20" i="91"/>
  <c r="A29" i="89"/>
  <c r="A20" i="89"/>
  <c r="A25" i="95"/>
  <c r="A19" i="95"/>
  <c r="A28" i="95"/>
  <c r="A13" i="97"/>
  <c r="A21" i="97"/>
  <c r="A17" i="92"/>
  <c r="A19" i="90"/>
  <c r="A12" i="90"/>
  <c r="A25" i="90"/>
  <c r="A27" i="90"/>
  <c r="A27" i="95"/>
  <c r="A27" i="97"/>
  <c r="A20" i="95"/>
  <c r="A17" i="93"/>
  <c r="A27" i="92"/>
  <c r="A12" i="93"/>
  <c r="A14" i="90"/>
  <c r="A26" i="96"/>
  <c r="A26" i="93"/>
  <c r="A26" i="95"/>
  <c r="A16" i="91"/>
  <c r="A16" i="95"/>
  <c r="A23" i="90"/>
  <c r="A23" i="95"/>
  <c r="A23" i="91"/>
  <c r="A20" i="96"/>
  <c r="A20" i="93"/>
  <c r="A28" i="96"/>
  <c r="A28" i="93"/>
  <c r="A25" i="93"/>
  <c r="A8" i="91"/>
  <c r="A8" i="95"/>
  <c r="A22" i="91"/>
  <c r="A24" i="91"/>
  <c r="A24" i="95"/>
  <c r="A15" i="91"/>
  <c r="A10" i="95"/>
  <c r="A10" i="92"/>
  <c r="A10" i="94"/>
  <c r="A10" i="97"/>
  <c r="A18" i="92"/>
  <c r="A18" i="97"/>
  <c r="A15" i="90"/>
  <c r="A15" i="95"/>
  <c r="A11" i="92"/>
  <c r="A21" i="95"/>
  <c r="A21" i="90"/>
  <c r="A21" i="94"/>
  <c r="A29" i="95"/>
  <c r="A29" i="90"/>
  <c r="A29" i="94"/>
  <c r="A16" i="89"/>
  <c r="A6" i="90"/>
  <c r="A6" i="91"/>
  <c r="A13" i="92"/>
  <c r="A28" i="97"/>
  <c r="A19" i="89"/>
  <c r="A15" i="93"/>
  <c r="A24" i="93"/>
  <c r="A29" i="93"/>
  <c r="A17" i="94"/>
  <c r="A26" i="91"/>
  <c r="A19" i="91"/>
  <c r="A28" i="91"/>
  <c r="A21" i="89"/>
  <c r="A18" i="89"/>
  <c r="A23" i="89"/>
  <c r="A28" i="89"/>
  <c r="A17" i="95"/>
  <c r="A7" i="97"/>
  <c r="A11" i="97"/>
  <c r="A15" i="97"/>
  <c r="A19" i="97"/>
  <c r="A23" i="97"/>
  <c r="A24" i="92"/>
  <c r="A25" i="92"/>
  <c r="A11" i="90"/>
  <c r="A20" i="90"/>
  <c r="A17" i="90"/>
  <c r="A26" i="90"/>
  <c r="A10" i="90"/>
  <c r="A17" i="98"/>
  <c r="A27" i="98"/>
  <c r="A12" i="98"/>
  <c r="A26" i="98"/>
  <c r="A16" i="98"/>
  <c r="A23" i="98"/>
  <c r="A20" i="98"/>
  <c r="A28" i="98"/>
  <c r="A25" i="98"/>
  <c r="A8" i="98"/>
  <c r="A22" i="98"/>
  <c r="A24" i="98"/>
  <c r="A19" i="96"/>
  <c r="A27" i="96"/>
  <c r="A25" i="96"/>
  <c r="A17" i="96"/>
  <c r="A18" i="96"/>
  <c r="A27" i="93"/>
  <c r="A19" i="93"/>
  <c r="A11" i="93"/>
  <c r="A9" i="93"/>
  <c r="A18" i="93"/>
  <c r="A22" i="94"/>
  <c r="A12" i="94"/>
  <c r="A24" i="94"/>
  <c r="A16" i="94"/>
  <c r="A23" i="94"/>
  <c r="A15" i="94"/>
  <c r="A29" i="91"/>
  <c r="A21" i="91"/>
  <c r="A14" i="91"/>
  <c r="A25" i="89"/>
  <c r="A17" i="89"/>
  <c r="A22" i="89"/>
  <c r="A27" i="89"/>
  <c r="A9" i="89"/>
  <c r="A24" i="89"/>
  <c r="A7" i="95"/>
  <c r="A18" i="95"/>
  <c r="A6" i="97"/>
  <c r="A8" i="97"/>
  <c r="A12" i="97"/>
  <c r="A14" i="97"/>
  <c r="A16" i="97"/>
  <c r="A20" i="97"/>
  <c r="A22" i="97"/>
  <c r="A24" i="97"/>
  <c r="A26" i="97"/>
  <c r="A28" i="92"/>
  <c r="A19" i="92"/>
  <c r="A20" i="92"/>
  <c r="A12" i="92"/>
  <c r="A29" i="92"/>
  <c r="A21" i="92"/>
  <c r="A7" i="90"/>
  <c r="A24" i="90"/>
  <c r="A16" i="90"/>
  <c r="A8" i="90"/>
  <c r="A5" i="90"/>
  <c r="A22" i="90"/>
  <c r="A10" i="98"/>
  <c r="A18" i="98"/>
  <c r="A15" i="98"/>
  <c r="A11" i="98"/>
  <c r="A21" i="98"/>
  <c r="A29" i="98"/>
  <c r="A9" i="98"/>
  <c r="A6" i="98"/>
  <c r="A19" i="98"/>
  <c r="A4" i="60"/>
  <c r="A4" i="64"/>
  <c r="A4" i="68"/>
  <c r="A4" i="70"/>
  <c r="A4" i="72"/>
  <c r="A4" i="66"/>
  <c r="A4" i="85"/>
  <c r="A4" i="87"/>
  <c r="A4" i="18"/>
  <c r="A22" i="59"/>
  <c r="A22" i="63"/>
  <c r="A22" i="74"/>
  <c r="A22" i="76"/>
  <c r="A22" i="80"/>
  <c r="A22" i="82"/>
  <c r="A3" i="58"/>
  <c r="A29" i="58"/>
  <c r="A3" i="62"/>
  <c r="A29" i="62"/>
  <c r="A29" i="65"/>
  <c r="A3" i="65"/>
  <c r="A29" i="61"/>
  <c r="A3" i="61"/>
  <c r="A3" i="73"/>
  <c r="A29" i="73"/>
  <c r="A3" i="75"/>
  <c r="A29" i="75"/>
  <c r="A3" i="67"/>
  <c r="A29" i="67"/>
  <c r="A3" i="69"/>
  <c r="A29" i="69"/>
  <c r="A3" i="71"/>
  <c r="A29" i="71"/>
  <c r="A29" i="78"/>
  <c r="A3" i="78"/>
  <c r="A3" i="81"/>
  <c r="A29" i="81"/>
  <c r="A3" i="83"/>
  <c r="A29" i="83"/>
  <c r="A3" i="84"/>
  <c r="A29" i="84"/>
  <c r="A3" i="86"/>
  <c r="A29" i="86"/>
  <c r="A3" i="88"/>
  <c r="A29" i="88"/>
  <c r="A4" i="58"/>
  <c r="A4" i="62"/>
  <c r="A4" i="75"/>
  <c r="A4" i="78"/>
  <c r="A4" i="81"/>
  <c r="A4" i="83"/>
  <c r="A22" i="58"/>
  <c r="A22" i="61"/>
  <c r="A22" i="67"/>
  <c r="A22" i="69"/>
  <c r="A22" i="71"/>
  <c r="A22" i="73"/>
  <c r="A22" i="84"/>
  <c r="A22" i="86"/>
  <c r="A22" i="88"/>
  <c r="A24" i="59"/>
  <c r="A24" i="60"/>
  <c r="A24" i="62"/>
  <c r="A24" i="65"/>
  <c r="A24" i="68"/>
  <c r="A24" i="70"/>
  <c r="A24" i="72"/>
  <c r="A24" i="66"/>
  <c r="A24" i="75"/>
  <c r="A24" i="78"/>
  <c r="A24" i="81"/>
  <c r="A24" i="83"/>
  <c r="A24" i="85"/>
  <c r="A24" i="87"/>
  <c r="A26" i="59"/>
  <c r="A26" i="58"/>
  <c r="A26" i="61"/>
  <c r="A26" i="63"/>
  <c r="A26" i="67"/>
  <c r="A26" i="69"/>
  <c r="A26" i="71"/>
  <c r="A26" i="73"/>
  <c r="A26" i="74"/>
  <c r="A26" i="76"/>
  <c r="A26" i="80"/>
  <c r="A26" i="82"/>
  <c r="A26" i="84"/>
  <c r="A26" i="86"/>
  <c r="A26" i="88"/>
  <c r="A28" i="59"/>
  <c r="A28" i="60"/>
  <c r="A28" i="62"/>
  <c r="A28" i="65"/>
  <c r="A28" i="68"/>
  <c r="A28" i="70"/>
  <c r="A28" i="72"/>
  <c r="A28" i="66"/>
  <c r="A28" i="75"/>
  <c r="A28" i="78"/>
  <c r="A28" i="81"/>
  <c r="A28" i="83"/>
  <c r="A28" i="85"/>
  <c r="A28" i="87"/>
  <c r="A5" i="62"/>
  <c r="A5" i="65"/>
  <c r="A5" i="60"/>
  <c r="A5" i="59"/>
  <c r="A5" i="73"/>
  <c r="A5" i="66"/>
  <c r="A5" i="68"/>
  <c r="A5" i="70"/>
  <c r="A5" i="72"/>
  <c r="A5" i="80"/>
  <c r="A5" i="82"/>
  <c r="A5" i="75"/>
  <c r="A5" i="83"/>
  <c r="A5" i="86"/>
  <c r="A5" i="88"/>
  <c r="A6" i="65"/>
  <c r="A6" i="59"/>
  <c r="A6" i="61"/>
  <c r="A6" i="63"/>
  <c r="A6" i="68"/>
  <c r="A6" i="70"/>
  <c r="A6" i="72"/>
  <c r="A6" i="66"/>
  <c r="A6" i="75"/>
  <c r="A6" i="78"/>
  <c r="A6" i="81"/>
  <c r="A6" i="83"/>
  <c r="A6" i="85"/>
  <c r="A6" i="87"/>
  <c r="A7" i="60"/>
  <c r="A7" i="62"/>
  <c r="A7" i="65"/>
  <c r="A7" i="59"/>
  <c r="A7" i="73"/>
  <c r="A7" i="66"/>
  <c r="A7" i="68"/>
  <c r="A7" i="70"/>
  <c r="A7" i="72"/>
  <c r="A7" i="80"/>
  <c r="A7" i="82"/>
  <c r="A7" i="75"/>
  <c r="A7" i="84"/>
  <c r="A7" i="86"/>
  <c r="A7" i="88"/>
  <c r="A8" i="58"/>
  <c r="A8" i="60"/>
  <c r="A8" i="62"/>
  <c r="A8" i="65"/>
  <c r="A8" i="68"/>
  <c r="A8" i="70"/>
  <c r="A8" i="72"/>
  <c r="A8" i="66"/>
  <c r="A8" i="75"/>
  <c r="A8" i="78"/>
  <c r="A8" i="81"/>
  <c r="A8" i="83"/>
  <c r="A8" i="85"/>
  <c r="A8" i="87"/>
  <c r="A9" i="58"/>
  <c r="A9" i="62"/>
  <c r="A9" i="60"/>
  <c r="A9" i="64"/>
  <c r="A9" i="73"/>
  <c r="A9" i="66"/>
  <c r="A9" i="68"/>
  <c r="A9" i="70"/>
  <c r="A9" i="72"/>
  <c r="A9" i="80"/>
  <c r="A9" i="82"/>
  <c r="A9" i="76"/>
  <c r="A9" i="84"/>
  <c r="A9" i="86"/>
  <c r="A9" i="88"/>
  <c r="A10" i="58"/>
  <c r="A10" i="60"/>
  <c r="A10" i="62"/>
  <c r="A10" i="65"/>
  <c r="A10" i="68"/>
  <c r="A10" i="70"/>
  <c r="A10" i="72"/>
  <c r="A10" i="66"/>
  <c r="A10" i="75"/>
  <c r="A10" i="78"/>
  <c r="A10" i="81"/>
  <c r="A10" i="83"/>
  <c r="A10" i="85"/>
  <c r="A10" i="87"/>
  <c r="A11" i="60"/>
  <c r="A11" i="62"/>
  <c r="A11" i="58"/>
  <c r="A11" i="64"/>
  <c r="A11" i="73"/>
  <c r="A11" i="66"/>
  <c r="A11" i="68"/>
  <c r="A11" i="70"/>
  <c r="A11" i="72"/>
  <c r="A11" i="80"/>
  <c r="A11" i="82"/>
  <c r="A11" i="75"/>
  <c r="A11" i="84"/>
  <c r="A11" i="86"/>
  <c r="A11" i="88"/>
  <c r="A12" i="59"/>
  <c r="A12" i="60"/>
  <c r="A12" i="62"/>
  <c r="A12" i="65"/>
  <c r="A12" i="68"/>
  <c r="A12" i="70"/>
  <c r="A12" i="72"/>
  <c r="A12" i="66"/>
  <c r="A12" i="75"/>
  <c r="A12" i="78"/>
  <c r="A12" i="81"/>
  <c r="A12" i="83"/>
  <c r="A12" i="85"/>
  <c r="A12" i="87"/>
  <c r="A13" i="58"/>
  <c r="A13" i="62"/>
  <c r="A13" i="60"/>
  <c r="A13" i="64"/>
  <c r="A3" i="60"/>
  <c r="A29" i="60"/>
  <c r="A3" i="63"/>
  <c r="A29" i="63"/>
  <c r="A29" i="59"/>
  <c r="A3" i="59"/>
  <c r="A29" i="64"/>
  <c r="A3" i="64"/>
  <c r="A3" i="74"/>
  <c r="A29" i="74"/>
  <c r="A3" i="66"/>
  <c r="A29" i="66"/>
  <c r="A3" i="68"/>
  <c r="A29" i="68"/>
  <c r="A3" i="70"/>
  <c r="A29" i="70"/>
  <c r="A3" i="72"/>
  <c r="A29" i="72"/>
  <c r="A3" i="80"/>
  <c r="A29" i="80"/>
  <c r="A3" i="82"/>
  <c r="A29" i="82"/>
  <c r="A3" i="76"/>
  <c r="A29" i="76"/>
  <c r="A29" i="85"/>
  <c r="A3" i="85"/>
  <c r="A3" i="87"/>
  <c r="A29" i="87"/>
  <c r="A4" i="65"/>
  <c r="A4" i="59"/>
  <c r="A4" i="61"/>
  <c r="A4" i="63"/>
  <c r="A4" i="67"/>
  <c r="A4" i="69"/>
  <c r="A4" i="71"/>
  <c r="A4" i="73"/>
  <c r="A4" i="74"/>
  <c r="A4" i="76"/>
  <c r="A4" i="80"/>
  <c r="A4" i="82"/>
  <c r="A4" i="84"/>
  <c r="A4" i="86"/>
  <c r="A4" i="88"/>
  <c r="A22" i="64"/>
  <c r="A22" i="60"/>
  <c r="A22" i="62"/>
  <c r="A22" i="65"/>
  <c r="A22" i="68"/>
  <c r="A22" i="70"/>
  <c r="A22" i="72"/>
  <c r="A22" i="66"/>
  <c r="A22" i="75"/>
  <c r="A22" i="78"/>
  <c r="A22" i="81"/>
  <c r="A22" i="83"/>
  <c r="A22" i="85"/>
  <c r="A22" i="87"/>
  <c r="A24" i="64"/>
  <c r="A24" i="58"/>
  <c r="A24" i="61"/>
  <c r="A24" i="63"/>
  <c r="A24" i="67"/>
  <c r="A24" i="69"/>
  <c r="A24" i="71"/>
  <c r="A24" i="73"/>
  <c r="A24" i="74"/>
  <c r="A24" i="76"/>
  <c r="A24" i="80"/>
  <c r="A24" i="82"/>
  <c r="A24" i="84"/>
  <c r="A24" i="86"/>
  <c r="A24" i="88"/>
  <c r="A26" i="64"/>
  <c r="A26" i="60"/>
  <c r="A26" i="62"/>
  <c r="A26" i="65"/>
  <c r="A26" i="68"/>
  <c r="A26" i="70"/>
  <c r="A26" i="72"/>
  <c r="A26" i="66"/>
  <c r="A26" i="75"/>
  <c r="A26" i="78"/>
  <c r="A26" i="81"/>
  <c r="A26" i="83"/>
  <c r="A26" i="85"/>
  <c r="A26" i="87"/>
  <c r="A28" i="64"/>
  <c r="A28" i="58"/>
  <c r="A28" i="61"/>
  <c r="A28" i="63"/>
  <c r="A28" i="67"/>
  <c r="A28" i="69"/>
  <c r="A28" i="71"/>
  <c r="A28" i="73"/>
  <c r="A28" i="74"/>
  <c r="A28" i="76"/>
  <c r="A28" i="80"/>
  <c r="A28" i="82"/>
  <c r="A28" i="84"/>
  <c r="A28" i="86"/>
  <c r="A28" i="88"/>
  <c r="A5" i="63"/>
  <c r="A5" i="58"/>
  <c r="A5" i="61"/>
  <c r="A5" i="64"/>
  <c r="A5" i="74"/>
  <c r="A5" i="67"/>
  <c r="A5" i="69"/>
  <c r="A5" i="71"/>
  <c r="A5" i="78"/>
  <c r="A5" i="81"/>
  <c r="A5" i="84"/>
  <c r="A5" i="76"/>
  <c r="A5" i="85"/>
  <c r="A5" i="87"/>
  <c r="A6" i="64"/>
  <c r="A6" i="58"/>
  <c r="A6" i="60"/>
  <c r="A6" i="62"/>
  <c r="A6" i="67"/>
  <c r="A6" i="69"/>
  <c r="A6" i="71"/>
  <c r="A6" i="73"/>
  <c r="A6" i="74"/>
  <c r="A6" i="76"/>
  <c r="A6" i="80"/>
  <c r="A6" i="82"/>
  <c r="A6" i="84"/>
  <c r="A6" i="86"/>
  <c r="A6" i="88"/>
  <c r="A7" i="61"/>
  <c r="A7" i="63"/>
  <c r="A7" i="58"/>
  <c r="A7" i="64"/>
  <c r="A7" i="74"/>
  <c r="A7" i="67"/>
  <c r="A7" i="69"/>
  <c r="A7" i="71"/>
  <c r="A7" i="78"/>
  <c r="A7" i="81"/>
  <c r="A7" i="83"/>
  <c r="A7" i="76"/>
  <c r="A7" i="85"/>
  <c r="A7" i="87"/>
  <c r="A8" i="64"/>
  <c r="A8" i="59"/>
  <c r="A8" i="61"/>
  <c r="A8" i="63"/>
  <c r="A8" i="67"/>
  <c r="A8" i="69"/>
  <c r="A8" i="71"/>
  <c r="A8" i="73"/>
  <c r="A8" i="74"/>
  <c r="A8" i="76"/>
  <c r="A8" i="80"/>
  <c r="A8" i="82"/>
  <c r="A8" i="84"/>
  <c r="A8" i="86"/>
  <c r="A8" i="88"/>
  <c r="A9" i="61"/>
  <c r="A9" i="63"/>
  <c r="A9" i="59"/>
  <c r="A9" i="65"/>
  <c r="A9" i="74"/>
  <c r="A9" i="67"/>
  <c r="A9" i="69"/>
  <c r="A9" i="71"/>
  <c r="A9" i="78"/>
  <c r="A9" i="81"/>
  <c r="A9" i="75"/>
  <c r="A9" i="83"/>
  <c r="A9" i="85"/>
  <c r="A9" i="87"/>
  <c r="A10" i="64"/>
  <c r="A10" i="59"/>
  <c r="A10" i="61"/>
  <c r="A10" i="63"/>
  <c r="A10" i="67"/>
  <c r="A10" i="69"/>
  <c r="A10" i="71"/>
  <c r="A10" i="73"/>
  <c r="A10" i="74"/>
  <c r="A10" i="76"/>
  <c r="A10" i="80"/>
  <c r="A10" i="82"/>
  <c r="A10" i="84"/>
  <c r="A10" i="86"/>
  <c r="A10" i="88"/>
  <c r="A11" i="61"/>
  <c r="A11" i="63"/>
  <c r="A11" i="59"/>
  <c r="A11" i="65"/>
  <c r="A11" i="74"/>
  <c r="A11" i="67"/>
  <c r="A11" i="69"/>
  <c r="A11" i="71"/>
  <c r="A11" i="78"/>
  <c r="A11" i="81"/>
  <c r="A11" i="83"/>
  <c r="A11" i="76"/>
  <c r="A11" i="85"/>
  <c r="A11" i="87"/>
  <c r="A12" i="64"/>
  <c r="A12" i="58"/>
  <c r="A12" i="61"/>
  <c r="A12" i="63"/>
  <c r="A12" i="67"/>
  <c r="A12" i="69"/>
  <c r="A12" i="71"/>
  <c r="A12" i="73"/>
  <c r="A12" i="74"/>
  <c r="A12" i="76"/>
  <c r="A12" i="80"/>
  <c r="A12" i="82"/>
  <c r="A12" i="84"/>
  <c r="A12" i="86"/>
  <c r="A12" i="88"/>
  <c r="A13" i="61"/>
  <c r="A13" i="63"/>
  <c r="A13" i="59"/>
  <c r="A13" i="65"/>
  <c r="A13" i="74"/>
  <c r="A13" i="67"/>
  <c r="A13" i="69"/>
  <c r="A13" i="71"/>
  <c r="A13" i="78"/>
  <c r="A13" i="81"/>
  <c r="A13" i="75"/>
  <c r="A13" i="83"/>
  <c r="A13" i="85"/>
  <c r="A13" i="87"/>
  <c r="A14" i="59"/>
  <c r="A13" i="73"/>
  <c r="A13" i="66"/>
  <c r="A13" i="68"/>
  <c r="A13" i="70"/>
  <c r="A13" i="72"/>
  <c r="A13" i="80"/>
  <c r="A13" i="82"/>
  <c r="A13" i="76"/>
  <c r="A13" i="84"/>
  <c r="A13" i="86"/>
  <c r="A13" i="88"/>
  <c r="A14" i="64"/>
  <c r="A14" i="60"/>
  <c r="A14" i="62"/>
  <c r="A14" i="65"/>
  <c r="A14" i="68"/>
  <c r="A14" i="70"/>
  <c r="A14" i="72"/>
  <c r="A14" i="66"/>
  <c r="A14" i="75"/>
  <c r="A14" i="78"/>
  <c r="A14" i="81"/>
  <c r="A14" i="83"/>
  <c r="A14" i="85"/>
  <c r="A14" i="87"/>
  <c r="A15" i="60"/>
  <c r="A15" i="62"/>
  <c r="A15" i="58"/>
  <c r="A15" i="64"/>
  <c r="A15" i="73"/>
  <c r="A15" i="66"/>
  <c r="A15" i="68"/>
  <c r="A15" i="70"/>
  <c r="A15" i="72"/>
  <c r="A15" i="80"/>
  <c r="A15" i="82"/>
  <c r="A15" i="75"/>
  <c r="A15" i="84"/>
  <c r="A15" i="86"/>
  <c r="A15" i="88"/>
  <c r="A16" i="59"/>
  <c r="A16" i="60"/>
  <c r="A16" i="62"/>
  <c r="A16" i="65"/>
  <c r="A16" i="68"/>
  <c r="A16" i="70"/>
  <c r="A16" i="72"/>
  <c r="A16" i="66"/>
  <c r="A16" i="75"/>
  <c r="A16" i="78"/>
  <c r="A16" i="81"/>
  <c r="A16" i="83"/>
  <c r="A16" i="85"/>
  <c r="A16" i="87"/>
  <c r="A17" i="58"/>
  <c r="A17" i="62"/>
  <c r="A17" i="60"/>
  <c r="A17" i="64"/>
  <c r="A17" i="73"/>
  <c r="A17" i="66"/>
  <c r="A17" i="68"/>
  <c r="A17" i="70"/>
  <c r="A17" i="72"/>
  <c r="A17" i="80"/>
  <c r="A17" i="82"/>
  <c r="A17" i="76"/>
  <c r="A17" i="84"/>
  <c r="A17" i="86"/>
  <c r="A17" i="88"/>
  <c r="A18" i="64"/>
  <c r="A18" i="60"/>
  <c r="A18" i="62"/>
  <c r="A18" i="65"/>
  <c r="A18" i="68"/>
  <c r="A18" i="70"/>
  <c r="A18" i="72"/>
  <c r="A18" i="66"/>
  <c r="A18" i="75"/>
  <c r="A18" i="78"/>
  <c r="A18" i="81"/>
  <c r="A18" i="83"/>
  <c r="A18" i="85"/>
  <c r="A18" i="87"/>
  <c r="A19" i="60"/>
  <c r="A19" i="62"/>
  <c r="A19" i="58"/>
  <c r="A19" i="64"/>
  <c r="A19" i="73"/>
  <c r="A19" i="66"/>
  <c r="A19" i="68"/>
  <c r="A19" i="70"/>
  <c r="A19" i="72"/>
  <c r="A19" i="80"/>
  <c r="A19" i="83"/>
  <c r="A19" i="76"/>
  <c r="A19" i="84"/>
  <c r="A19" i="86"/>
  <c r="A19" i="88"/>
  <c r="A20" i="59"/>
  <c r="A20" i="60"/>
  <c r="A20" i="62"/>
  <c r="A20" i="65"/>
  <c r="A20" i="68"/>
  <c r="A20" i="70"/>
  <c r="A20" i="72"/>
  <c r="A20" i="66"/>
  <c r="A20" i="75"/>
  <c r="A20" i="78"/>
  <c r="A20" i="81"/>
  <c r="A20" i="83"/>
  <c r="A20" i="85"/>
  <c r="A20" i="87"/>
  <c r="A21" i="61"/>
  <c r="A21" i="63"/>
  <c r="A21" i="60"/>
  <c r="A21" i="64"/>
  <c r="A21" i="73"/>
  <c r="A21" i="66"/>
  <c r="A21" i="68"/>
  <c r="A21" i="70"/>
  <c r="A21" i="72"/>
  <c r="A21" i="80"/>
  <c r="A21" i="82"/>
  <c r="A21" i="76"/>
  <c r="A21" i="84"/>
  <c r="A21" i="86"/>
  <c r="A21" i="88"/>
  <c r="A23" i="61"/>
  <c r="A23" i="63"/>
  <c r="A23" i="59"/>
  <c r="A23" i="65"/>
  <c r="A23" i="74"/>
  <c r="A23" i="67"/>
  <c r="A23" i="69"/>
  <c r="A23" i="71"/>
  <c r="A23" i="78"/>
  <c r="A23" i="81"/>
  <c r="A23" i="75"/>
  <c r="A23" i="82"/>
  <c r="A23" i="85"/>
  <c r="A23" i="87"/>
  <c r="A25" i="60"/>
  <c r="A25" i="62"/>
  <c r="A25" i="58"/>
  <c r="A25" i="64"/>
  <c r="A25" i="73"/>
  <c r="A25" i="66"/>
  <c r="A25" i="68"/>
  <c r="A25" i="70"/>
  <c r="A25" i="72"/>
  <c r="A25" i="80"/>
  <c r="A25" i="82"/>
  <c r="A25" i="76"/>
  <c r="A25" i="84"/>
  <c r="A25" i="86"/>
  <c r="A25" i="88"/>
  <c r="A27" i="61"/>
  <c r="A27" i="63"/>
  <c r="A27" i="59"/>
  <c r="A27" i="65"/>
  <c r="A27" i="74"/>
  <c r="A27" i="67"/>
  <c r="A27" i="69"/>
  <c r="A27" i="71"/>
  <c r="A27" i="78"/>
  <c r="A27" i="81"/>
  <c r="A27" i="75"/>
  <c r="A27" i="82"/>
  <c r="A27" i="85"/>
  <c r="A27" i="87"/>
  <c r="A14" i="58"/>
  <c r="A14" i="61"/>
  <c r="A14" i="63"/>
  <c r="A14" i="67"/>
  <c r="A14" i="69"/>
  <c r="A14" i="71"/>
  <c r="A14" i="73"/>
  <c r="A14" i="74"/>
  <c r="A14" i="76"/>
  <c r="A14" i="80"/>
  <c r="A14" i="82"/>
  <c r="A14" i="84"/>
  <c r="A14" i="86"/>
  <c r="A14" i="88"/>
  <c r="A15" i="61"/>
  <c r="A15" i="63"/>
  <c r="A15" i="59"/>
  <c r="A15" i="65"/>
  <c r="A15" i="74"/>
  <c r="A15" i="67"/>
  <c r="A15" i="69"/>
  <c r="A15" i="71"/>
  <c r="A15" i="78"/>
  <c r="A15" i="81"/>
  <c r="A15" i="83"/>
  <c r="A15" i="76"/>
  <c r="A15" i="85"/>
  <c r="A15" i="87"/>
  <c r="A16" i="64"/>
  <c r="A16" i="58"/>
  <c r="A16" i="61"/>
  <c r="A16" i="63"/>
  <c r="A16" i="67"/>
  <c r="A16" i="69"/>
  <c r="A16" i="71"/>
  <c r="A16" i="73"/>
  <c r="A16" i="74"/>
  <c r="A16" i="76"/>
  <c r="A16" i="80"/>
  <c r="A16" i="82"/>
  <c r="A16" i="84"/>
  <c r="A16" i="86"/>
  <c r="A16" i="88"/>
  <c r="A17" i="61"/>
  <c r="A17" i="63"/>
  <c r="A17" i="59"/>
  <c r="A17" i="65"/>
  <c r="A17" i="74"/>
  <c r="A17" i="67"/>
  <c r="A17" i="69"/>
  <c r="A17" i="71"/>
  <c r="A17" i="78"/>
  <c r="A17" i="81"/>
  <c r="A17" i="75"/>
  <c r="A17" i="83"/>
  <c r="A17" i="85"/>
  <c r="A17" i="87"/>
  <c r="A18" i="59"/>
  <c r="A18" i="58"/>
  <c r="A18" i="61"/>
  <c r="A18" i="63"/>
  <c r="A18" i="67"/>
  <c r="A18" i="69"/>
  <c r="A18" i="71"/>
  <c r="A18" i="73"/>
  <c r="A18" i="74"/>
  <c r="A18" i="76"/>
  <c r="A18" i="80"/>
  <c r="A18" i="82"/>
  <c r="A18" i="84"/>
  <c r="A18" i="86"/>
  <c r="A18" i="88"/>
  <c r="A19" i="61"/>
  <c r="A19" i="63"/>
  <c r="A19" i="59"/>
  <c r="A19" i="65"/>
  <c r="A19" i="74"/>
  <c r="A19" i="67"/>
  <c r="A19" i="69"/>
  <c r="A19" i="71"/>
  <c r="A19" i="78"/>
  <c r="A19" i="81"/>
  <c r="A19" i="75"/>
  <c r="A19" i="82"/>
  <c r="A19" i="85"/>
  <c r="A19" i="87"/>
  <c r="A20" i="64"/>
  <c r="A20" i="58"/>
  <c r="A20" i="61"/>
  <c r="A20" i="63"/>
  <c r="A20" i="67"/>
  <c r="A20" i="69"/>
  <c r="A20" i="71"/>
  <c r="A20" i="73"/>
  <c r="A20" i="74"/>
  <c r="A20" i="76"/>
  <c r="A20" i="80"/>
  <c r="A20" i="82"/>
  <c r="A20" i="84"/>
  <c r="A20" i="86"/>
  <c r="A20" i="88"/>
  <c r="A21" i="62"/>
  <c r="A21" i="58"/>
  <c r="A21" i="59"/>
  <c r="A21" i="65"/>
  <c r="A21" i="74"/>
  <c r="A21" i="67"/>
  <c r="A21" i="69"/>
  <c r="A21" i="71"/>
  <c r="A21" i="78"/>
  <c r="A21" i="81"/>
  <c r="A21" i="75"/>
  <c r="A21" i="83"/>
  <c r="A21" i="85"/>
  <c r="A21" i="87"/>
  <c r="A23" i="60"/>
  <c r="A23" i="62"/>
  <c r="A23" i="58"/>
  <c r="A23" i="64"/>
  <c r="A23" i="73"/>
  <c r="A23" i="66"/>
  <c r="A23" i="68"/>
  <c r="A23" i="70"/>
  <c r="A23" i="72"/>
  <c r="A23" i="80"/>
  <c r="A23" i="83"/>
  <c r="A23" i="76"/>
  <c r="A23" i="84"/>
  <c r="A23" i="86"/>
  <c r="A23" i="88"/>
  <c r="A25" i="61"/>
  <c r="A25" i="63"/>
  <c r="A25" i="59"/>
  <c r="A25" i="65"/>
  <c r="A25" i="74"/>
  <c r="A25" i="67"/>
  <c r="A25" i="69"/>
  <c r="A25" i="71"/>
  <c r="A25" i="78"/>
  <c r="A25" i="81"/>
  <c r="A25" i="75"/>
  <c r="A25" i="83"/>
  <c r="A25" i="85"/>
  <c r="A25" i="87"/>
  <c r="A27" i="60"/>
  <c r="A27" i="62"/>
  <c r="A27" i="58"/>
  <c r="A27" i="64"/>
  <c r="A27" i="73"/>
  <c r="A27" i="66"/>
  <c r="A27" i="68"/>
  <c r="A27" i="70"/>
  <c r="A27" i="72"/>
  <c r="A27" i="80"/>
  <c r="A27" i="83"/>
  <c r="A27" i="76"/>
  <c r="A27" i="84"/>
  <c r="A27" i="86"/>
  <c r="A27" i="88"/>
  <c r="A6" i="19"/>
  <c r="A28" i="3"/>
  <c r="A21" i="3"/>
  <c r="A28" i="14"/>
  <c r="A29" i="14"/>
  <c r="A28" i="19"/>
  <c r="A29" i="19"/>
  <c r="A28" i="18"/>
  <c r="A29" i="18"/>
  <c r="A28" i="16"/>
  <c r="A29" i="16"/>
  <c r="A28" i="17"/>
  <c r="A29" i="17"/>
  <c r="A29" i="3"/>
  <c r="A18" i="3"/>
  <c r="A9" i="3"/>
  <c r="A23" i="3"/>
  <c r="A11" i="3"/>
  <c r="A13" i="19"/>
  <c r="A6" i="14"/>
  <c r="A19" i="3"/>
  <c r="A17" i="3"/>
  <c r="A14" i="3"/>
  <c r="A13" i="3"/>
  <c r="A15" i="3"/>
  <c r="A21" i="14"/>
  <c r="A8" i="3"/>
  <c r="A12" i="3"/>
  <c r="A20" i="3"/>
  <c r="A22" i="3"/>
  <c r="A16" i="3"/>
  <c r="A5" i="3"/>
  <c r="A6" i="3"/>
  <c r="A10" i="3"/>
  <c r="A3" i="3"/>
  <c r="A24" i="3"/>
  <c r="A27" i="3"/>
  <c r="A6" i="18"/>
  <c r="A4" i="17"/>
  <c r="A4" i="16"/>
  <c r="A26" i="3"/>
  <c r="A25" i="3"/>
  <c r="A18" i="14"/>
  <c r="A13" i="16"/>
  <c r="A6" i="17"/>
  <c r="A6" i="16"/>
  <c r="A4" i="19"/>
  <c r="A4" i="14"/>
  <c r="A7" i="3"/>
  <c r="A13" i="14"/>
  <c r="A13" i="18"/>
  <c r="A13" i="17"/>
  <c r="A12" i="19"/>
  <c r="A12" i="14"/>
  <c r="A12" i="18"/>
  <c r="A4" i="3"/>
  <c r="A11" i="14"/>
  <c r="A11" i="18"/>
  <c r="A11" i="19"/>
  <c r="A25" i="14"/>
  <c r="A27" i="14"/>
  <c r="A23" i="14"/>
  <c r="A19" i="14"/>
  <c r="A12" i="17"/>
  <c r="A12" i="16"/>
  <c r="A26" i="17"/>
  <c r="A26" i="16"/>
  <c r="A11" i="16"/>
  <c r="A11" i="17"/>
  <c r="A25" i="16"/>
  <c r="A25" i="19"/>
  <c r="A15" i="14"/>
  <c r="A15" i="18"/>
  <c r="A15" i="19"/>
  <c r="A22" i="19"/>
  <c r="A22" i="18"/>
  <c r="A19" i="16"/>
  <c r="A19" i="19"/>
  <c r="A27" i="16"/>
  <c r="A27" i="19"/>
  <c r="A24" i="19"/>
  <c r="A24" i="18"/>
  <c r="A7" i="16"/>
  <c r="A7" i="17"/>
  <c r="A21" i="18"/>
  <c r="A21" i="17"/>
  <c r="A23" i="18"/>
  <c r="A23" i="17"/>
  <c r="A9" i="16"/>
  <c r="A9" i="17"/>
  <c r="A17" i="16"/>
  <c r="A17" i="17"/>
  <c r="A14" i="19"/>
  <c r="A14" i="16"/>
  <c r="A10" i="19"/>
  <c r="A10" i="14"/>
  <c r="A10" i="18"/>
  <c r="A20" i="19"/>
  <c r="A20" i="18"/>
  <c r="A8" i="17"/>
  <c r="A8" i="16"/>
  <c r="A5" i="14"/>
  <c r="A5" i="18"/>
  <c r="A5" i="19"/>
  <c r="A18" i="17"/>
  <c r="A18" i="16"/>
  <c r="A16" i="19"/>
  <c r="A16" i="16"/>
  <c r="A26" i="19"/>
  <c r="A26" i="18"/>
  <c r="A25" i="18"/>
  <c r="A25" i="17"/>
  <c r="A15" i="16"/>
  <c r="A15" i="17"/>
  <c r="A22" i="17"/>
  <c r="A22" i="16"/>
  <c r="A19" i="18"/>
  <c r="A19" i="17"/>
  <c r="A27" i="18"/>
  <c r="A27" i="17"/>
  <c r="A24" i="17"/>
  <c r="A24" i="16"/>
  <c r="A7" i="14"/>
  <c r="A7" i="18"/>
  <c r="A7" i="19"/>
  <c r="A21" i="16"/>
  <c r="A21" i="19"/>
  <c r="A23" i="16"/>
  <c r="A23" i="19"/>
  <c r="A9" i="14"/>
  <c r="A9" i="18"/>
  <c r="A9" i="19"/>
  <c r="A17" i="14"/>
  <c r="A17" i="18"/>
  <c r="A17" i="19"/>
  <c r="A14" i="17"/>
  <c r="A14" i="14"/>
  <c r="A14" i="18"/>
  <c r="A10" i="17"/>
  <c r="A10" i="16"/>
  <c r="A20" i="17"/>
  <c r="A20" i="16"/>
  <c r="A8" i="19"/>
  <c r="A8" i="14"/>
  <c r="A8" i="18"/>
  <c r="A5" i="16"/>
  <c r="A5" i="17"/>
  <c r="A18" i="19"/>
  <c r="A18" i="18"/>
  <c r="A16" i="17"/>
  <c r="A16" i="14"/>
  <c r="A16" i="18"/>
  <c r="A26" i="14"/>
  <c r="A22" i="14"/>
  <c r="A24" i="14"/>
  <c r="A20" i="14"/>
</calcChain>
</file>

<file path=xl/sharedStrings.xml><?xml version="1.0" encoding="utf-8"?>
<sst xmlns="http://schemas.openxmlformats.org/spreadsheetml/2006/main" count="677" uniqueCount="58">
  <si>
    <t>№ п/п</t>
  </si>
  <si>
    <t>Номер виборчого округу</t>
  </si>
  <si>
    <t>Прізвище, власне ім’я (усі власні імена), по батькові (за наявності) обраного депутата</t>
  </si>
  <si>
    <t>явка</t>
  </si>
  <si>
    <t>кількість прибувших депутатів</t>
  </si>
  <si>
    <t>Панченко Сергій Вікторович</t>
  </si>
  <si>
    <t>прибув</t>
  </si>
  <si>
    <t>Мелащенко Іван Іванович</t>
  </si>
  <si>
    <t>Садовий Сергій Миколайович</t>
  </si>
  <si>
    <t>відсутній</t>
  </si>
  <si>
    <t>Цопа Микола Миколайович</t>
  </si>
  <si>
    <t>Всього</t>
  </si>
  <si>
    <t>За</t>
  </si>
  <si>
    <t>Проти</t>
  </si>
  <si>
    <t>Утрим</t>
  </si>
  <si>
    <t>Саверська-Лихошва Валентина Василівна</t>
  </si>
  <si>
    <t>селищний голова</t>
  </si>
  <si>
    <t>примітка</t>
  </si>
  <si>
    <t>Регламент</t>
  </si>
  <si>
    <t>Лічильна комісія</t>
  </si>
  <si>
    <t>Секретар сесії</t>
  </si>
  <si>
    <t xml:space="preserve">Остаточний порядок денний </t>
  </si>
  <si>
    <t>за</t>
  </si>
  <si>
    <t>проти</t>
  </si>
  <si>
    <t>утрималися</t>
  </si>
  <si>
    <t>результат</t>
  </si>
  <si>
    <t>Питання порядку денного</t>
  </si>
  <si>
    <t>не голосували</t>
  </si>
  <si>
    <t>Коваленко Марина Петрівна</t>
  </si>
  <si>
    <t>Нагнойний Микола Олексійович</t>
  </si>
  <si>
    <t>Андрієнко Андрій Іванович</t>
  </si>
  <si>
    <t xml:space="preserve">Небрат Володимир Гнатович </t>
  </si>
  <si>
    <t>Лущик Любов Олександрівна</t>
  </si>
  <si>
    <t>Чаленко Валерій Миколайович</t>
  </si>
  <si>
    <t>Борщ Яна Петрівна</t>
  </si>
  <si>
    <t>Прищенко Тетяна Іванівна</t>
  </si>
  <si>
    <t>Сміловець Віталій Володимирович</t>
  </si>
  <si>
    <t>Шашлова Тамара Вікторівна</t>
  </si>
  <si>
    <t>Гайдай Микола Васильович</t>
  </si>
  <si>
    <t>Пальоха Тетяна Петрівна</t>
  </si>
  <si>
    <t>Матухно Іван Григорович</t>
  </si>
  <si>
    <t>Гармаш Віктор Іванович</t>
  </si>
  <si>
    <t>Борсук Юрій Миколайович</t>
  </si>
  <si>
    <t>Рибальченко Максим Володимирович</t>
  </si>
  <si>
    <t>Макух Богдан Володимирович</t>
  </si>
  <si>
    <t>Небрат Василь Іванович</t>
  </si>
  <si>
    <t>Бойко Валентина Дмитрівна</t>
  </si>
  <si>
    <t>Костін Андрій Анатолійович</t>
  </si>
  <si>
    <t>Холявінська Олена Миколаївна</t>
  </si>
  <si>
    <t>Неліпа Віталій Михайлович</t>
  </si>
  <si>
    <t>Лічильна комісія:</t>
  </si>
  <si>
    <t>Коваленко М.П.</t>
  </si>
  <si>
    <t>Матухно І.Г.</t>
  </si>
  <si>
    <t>Цопа М.М.</t>
  </si>
  <si>
    <t>21/18 отг</t>
  </si>
  <si>
    <t>№ рішення</t>
  </si>
  <si>
    <t>Про відмову в наданні дозволів на розроблення проектів землеустрою щодо відведення земельних ділянок у власність</t>
  </si>
  <si>
    <t>Про затвердження в новій редакції Програми з благоустрою території  Варвинської селищної ради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</si>
</sst>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0" xfId="0" applyFont="1"/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10" fillId="0" borderId="6" xfId="0" applyNumberFormat="1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10" xfId="0" applyFont="1" applyBorder="1"/>
    <xf numFmtId="0" fontId="14" fillId="0" borderId="9" xfId="0" applyFont="1" applyBorder="1"/>
    <xf numFmtId="0" fontId="14" fillId="0" borderId="9" xfId="0" applyFont="1" applyBorder="1"/>
    <xf numFmtId="0" fontId="8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9" xfId="0" applyFont="1" applyBorder="1"/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/>
    <xf numFmtId="0" fontId="19" fillId="0" borderId="10" xfId="0" applyFont="1" applyBorder="1"/>
    <xf numFmtId="0" fontId="16" fillId="0" borderId="5" xfId="0" applyFont="1" applyBorder="1" applyAlignment="1">
      <alignment vertical="center" wrapText="1"/>
    </xf>
    <xf numFmtId="0" fontId="21" fillId="0" borderId="0" xfId="0" applyFont="1"/>
    <xf numFmtId="0" fontId="20" fillId="0" borderId="0" xfId="0" applyFont="1"/>
    <xf numFmtId="0" fontId="13" fillId="0" borderId="6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1" applyBorder="1" applyAlignment="1">
      <alignment horizontal="center"/>
    </xf>
    <xf numFmtId="0" fontId="8" fillId="0" borderId="0" xfId="0" applyFont="1" applyBorder="1" applyAlignment="1">
      <alignment wrapText="1"/>
    </xf>
    <xf numFmtId="0" fontId="5" fillId="0" borderId="1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center" wrapText="1"/>
    </xf>
    <xf numFmtId="0" fontId="13" fillId="0" borderId="0" xfId="1" applyAlignment="1">
      <alignment horizontal="left" vertical="top"/>
    </xf>
    <xf numFmtId="0" fontId="13" fillId="0" borderId="0" xfId="1" applyAlignment="1">
      <alignment horizontal="center" vertical="top" wrapText="1"/>
    </xf>
    <xf numFmtId="0" fontId="8" fillId="0" borderId="6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10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ables/table1.xml><?xml version="1.0" encoding="utf-8"?>
<table xmlns="http://schemas.openxmlformats.org/spreadsheetml/2006/main" id="1" name="Таблица1" displayName="Таблица1" ref="A2:F30" totalsRowCount="1" tableBorderDxfId="1059">
  <autoFilter ref="A2:F29"/>
  <sortState ref="A3:F29">
    <sortCondition ref="F3:F29"/>
    <sortCondition descending="1" ref="D3:D29"/>
    <sortCondition ref="C3:C29"/>
  </sortState>
  <tableColumns count="6">
    <tableColumn id="1" name="№ п/п" totalsRowLabel="Всього" dataDxfId="1058" totalsRowDxfId="16">
      <calculatedColumnFormula>IF(ISBLANK(F3),"",COUNTA($F$3:F3))</calculatedColumnFormula>
    </tableColumn>
    <tableColumn id="2" name="Номер виборчого округу" dataDxfId="1057" totalsRowDxfId="15"/>
    <tableColumn id="3" name="Прізвище, власне ім’я (усі власні імена), по батькові (за наявності) обраного депутата" dataDxfId="1056" totalsRowDxfId="14"/>
    <tableColumn id="4" name="явка" dataDxfId="1055" totalsRowDxfId="13"/>
    <tableColumn id="6" name="кількість прибувших депутатів" totalsRowFunction="custom" dataDxfId="1054" totalsRowDxfId="12">
      <calculatedColumnFormula>IF(Таблица1[[#This Row],[явка]]="прибув",1,"")</calculatedColumnFormula>
      <totalsRowFormula>SUBTOTAL(109,Таблица1[кількість прибувших депутатів])-1</totalsRowFormula>
    </tableColumn>
    <tableColumn id="7" name="примітк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24567891011" displayName="Таблица24567891011" ref="A2:F30" totalsRowCount="1" headerRowDxfId="953" dataDxfId="952">
  <autoFilter ref="A2:F29"/>
  <sortState ref="A3:G28">
    <sortCondition descending="1" ref="B1:B27"/>
  </sortState>
  <tableColumns count="6">
    <tableColumn id="1" name="№ п/п" totalsRowLabel="Всього" dataDxfId="951" totalsRowDxfId="95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49" totalsRowDxfId="94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47" totalsRowDxfId="946"/>
    <tableColumn id="4" name="Проти" totalsRowFunction="sum" dataDxfId="945" totalsRowDxfId="944"/>
    <tableColumn id="5" name="Утрим" totalsRowFunction="sum" dataDxfId="943" totalsRowDxfId="942"/>
    <tableColumn id="6" name="не голосували" totalsRowFunction="sum" dataDxfId="941" totalsRowDxfId="940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16" name="Таблица2456789101117" displayName="Таблица2456789101117" ref="A2:F30" totalsRowCount="1" headerRowDxfId="939" dataDxfId="938">
  <autoFilter ref="A2:F29"/>
  <sortState ref="A3:G28">
    <sortCondition descending="1" ref="B1:B27"/>
  </sortState>
  <tableColumns count="6">
    <tableColumn id="1" name="№ п/п" totalsRowLabel="Всього" dataDxfId="937" totalsRowDxfId="93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35" totalsRowDxfId="93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33" totalsRowDxfId="932"/>
    <tableColumn id="4" name="Проти" totalsRowFunction="sum" dataDxfId="931" totalsRowDxfId="930"/>
    <tableColumn id="5" name="Утрим" totalsRowFunction="sum" dataDxfId="929" totalsRowDxfId="928"/>
    <tableColumn id="6" name="не голосували" totalsRowFunction="sum" dataDxfId="927" totalsRowDxfId="926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17" name="Таблица245678910111718" displayName="Таблица245678910111718" ref="A2:F30" totalsRowCount="1" headerRowDxfId="925" dataDxfId="924">
  <autoFilter ref="A2:F29"/>
  <sortState ref="A3:G28">
    <sortCondition descending="1" ref="B1:B27"/>
  </sortState>
  <tableColumns count="6">
    <tableColumn id="1" name="№ п/п" totalsRowLabel="Всього" dataDxfId="923" totalsRowDxfId="92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21" totalsRowDxfId="92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19" totalsRowDxfId="918"/>
    <tableColumn id="4" name="Проти" totalsRowFunction="sum" dataDxfId="917" totalsRowDxfId="916"/>
    <tableColumn id="5" name="Утрим" totalsRowFunction="sum" dataDxfId="915" totalsRowDxfId="914"/>
    <tableColumn id="6" name="не голосували" totalsRowFunction="sum" dataDxfId="913" totalsRowDxfId="912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18" name="Таблица24567891011171819" displayName="Таблица24567891011171819" ref="A2:F30" totalsRowCount="1" headerRowDxfId="911" dataDxfId="910">
  <autoFilter ref="A2:F29"/>
  <sortState ref="A3:G28">
    <sortCondition descending="1" ref="B1:B27"/>
  </sortState>
  <tableColumns count="6">
    <tableColumn id="1" name="№ п/п" totalsRowLabel="Всього" dataDxfId="909" totalsRowDxfId="90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07" totalsRowDxfId="90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05" totalsRowDxfId="904"/>
    <tableColumn id="4" name="Проти" totalsRowFunction="sum" dataDxfId="903" totalsRowDxfId="902"/>
    <tableColumn id="5" name="Утрим" totalsRowFunction="sum" dataDxfId="901" totalsRowDxfId="900"/>
    <tableColumn id="6" name="не голосували" totalsRowFunction="sum" dataDxfId="899" totalsRowDxfId="898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19" name="Таблица2456789101117181920" displayName="Таблица2456789101117181920" ref="A2:F30" totalsRowCount="1" headerRowDxfId="897" dataDxfId="896">
  <autoFilter ref="A2:F29"/>
  <sortState ref="A3:G28">
    <sortCondition descending="1" ref="B1:B27"/>
  </sortState>
  <tableColumns count="6">
    <tableColumn id="1" name="№ п/п" totalsRowLabel="Всього" dataDxfId="895" totalsRowDxfId="89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93" totalsRowDxfId="89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91" totalsRowDxfId="890"/>
    <tableColumn id="4" name="Проти" totalsRowFunction="sum" dataDxfId="889" totalsRowDxfId="888"/>
    <tableColumn id="5" name="Утрим" totalsRowFunction="sum" dataDxfId="887" totalsRowDxfId="886"/>
    <tableColumn id="6" name="не голосували" totalsRowFunction="sum" dataDxfId="885" totalsRowDxfId="884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id="20" name="Таблица245678910111718192021" displayName="Таблица245678910111718192021" ref="A2:F30" totalsRowCount="1" headerRowDxfId="883" dataDxfId="882">
  <autoFilter ref="A2:F29"/>
  <sortState ref="A3:G28">
    <sortCondition descending="1" ref="B1:B27"/>
  </sortState>
  <tableColumns count="6">
    <tableColumn id="1" name="№ п/п" totalsRowLabel="Всього" dataDxfId="881" totalsRowDxfId="88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79" totalsRowDxfId="87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77" totalsRowDxfId="876"/>
    <tableColumn id="4" name="Проти" totalsRowFunction="sum" dataDxfId="875" totalsRowDxfId="874"/>
    <tableColumn id="5" name="Утрим" totalsRowFunction="sum" dataDxfId="873" totalsRowDxfId="872"/>
    <tableColumn id="6" name="не голосували" totalsRowFunction="sum" dataDxfId="871" totalsRowDxfId="870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id="21" name="Таблица24567891011171819202122" displayName="Таблица24567891011171819202122" ref="A2:F30" totalsRowCount="1" headerRowDxfId="869" dataDxfId="868">
  <autoFilter ref="A2:F29"/>
  <sortState ref="A3:G28">
    <sortCondition descending="1" ref="B1:B27"/>
  </sortState>
  <tableColumns count="6">
    <tableColumn id="1" name="№ п/п" totalsRowLabel="Всього" dataDxfId="867" totalsRowDxfId="86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65" totalsRowDxfId="86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63" totalsRowDxfId="862"/>
    <tableColumn id="4" name="Проти" totalsRowFunction="sum" dataDxfId="861" totalsRowDxfId="860"/>
    <tableColumn id="5" name="Утрим" totalsRowFunction="sum" dataDxfId="859" totalsRowDxfId="858"/>
    <tableColumn id="6" name="не голосували" totalsRowFunction="sum" dataDxfId="857" totalsRowDxfId="856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id="22" name="Таблица2456789101117181920212223" displayName="Таблица2456789101117181920212223" ref="A2:F30" totalsRowCount="1" headerRowDxfId="855" dataDxfId="854">
  <autoFilter ref="A2:F29"/>
  <sortState ref="A3:G28">
    <sortCondition descending="1" ref="B1:B27"/>
  </sortState>
  <tableColumns count="6">
    <tableColumn id="1" name="№ п/п" totalsRowLabel="Всього" dataDxfId="853" totalsRowDxfId="85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51" totalsRowDxfId="85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49" totalsRowDxfId="848"/>
    <tableColumn id="4" name="Проти" totalsRowFunction="sum" dataDxfId="847" totalsRowDxfId="846"/>
    <tableColumn id="5" name="Утрим" totalsRowFunction="sum" dataDxfId="845" totalsRowDxfId="844"/>
    <tableColumn id="6" name="не голосували" dataDxfId="843" totalsRowDxfId="842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id="23" name="Таблица245678910111718192021222324" displayName="Таблица245678910111718192021222324" ref="A2:F30" totalsRowCount="1" headerRowDxfId="841" dataDxfId="840">
  <autoFilter ref="A2:F29"/>
  <sortState ref="A3:G28">
    <sortCondition descending="1" ref="B1:B27"/>
  </sortState>
  <tableColumns count="6">
    <tableColumn id="1" name="№ п/п" totalsRowLabel="Всього" dataDxfId="839" totalsRowDxfId="83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37" totalsRowDxfId="83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35" totalsRowDxfId="834"/>
    <tableColumn id="4" name="Проти" totalsRowFunction="sum" dataDxfId="833" totalsRowDxfId="832"/>
    <tableColumn id="5" name="Утрим" totalsRowFunction="sum" dataDxfId="831" totalsRowDxfId="830"/>
    <tableColumn id="6" name="не голосували" totalsRowFunction="sum" dataDxfId="829" totalsRowDxfId="828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id="24" name="Таблица24567891011171819202122232425" displayName="Таблица24567891011171819202122232425" ref="A2:F30" totalsRowCount="1" headerRowDxfId="827" dataDxfId="826">
  <autoFilter ref="A2:F29"/>
  <sortState ref="A3:G28">
    <sortCondition descending="1" ref="B1:B27"/>
  </sortState>
  <tableColumns count="6">
    <tableColumn id="1" name="№ п/п" totalsRowLabel="Всього" dataDxfId="825" totalsRowDxfId="82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23" totalsRowDxfId="8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21" totalsRowDxfId="820"/>
    <tableColumn id="4" name="Проти" totalsRowFunction="sum" dataDxfId="819" totalsRowDxfId="818"/>
    <tableColumn id="5" name="Утрим" totalsRowFunction="sum" dataDxfId="817" totalsRowDxfId="816"/>
    <tableColumn id="6" name="не голосували" totalsRowFunction="sum" dataDxfId="815" totalsRowDxfId="8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F30" totalsRowCount="1" headerRowDxfId="1053" dataDxfId="1052">
  <autoFilter ref="A2:F29"/>
  <sortState ref="A2:G27">
    <sortCondition descending="1" ref="B1:B27"/>
  </sortState>
  <tableColumns count="6">
    <tableColumn id="1" name="№ п/п" totalsRowLabel="Всього" dataDxfId="1051" totalsRowDxfId="11"/>
    <tableColumn id="2" name="Прізвище, власне ім’я (усі власні імена), по батькові (за наявності) обраного депутата" dataDxfId="1050" totalsRowDxfId="1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49" totalsRowDxfId="9"/>
    <tableColumn id="4" name="Проти" totalsRowFunction="sum" dataDxfId="1048" totalsRowDxfId="8"/>
    <tableColumn id="5" name="Утрим" totalsRowFunction="sum" dataDxfId="1047" totalsRowDxfId="7"/>
    <tableColumn id="6" name="не голосували" totalsRowFunction="sum" dataDxfId="1046" totalsRowDxfId="6"/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id="25" name="Таблица2456789101117181920212223242526" displayName="Таблица2456789101117181920212223242526" ref="A2:F30" totalsRowCount="1" headerRowDxfId="813" dataDxfId="812">
  <autoFilter ref="A2:F29"/>
  <sortState ref="A3:G28">
    <sortCondition descending="1" ref="B1:B27"/>
  </sortState>
  <tableColumns count="6">
    <tableColumn id="1" name="№ п/п" totalsRowLabel="Всього" dataDxfId="811" totalsRowDxfId="81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09" totalsRowDxfId="80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07" totalsRowDxfId="806"/>
    <tableColumn id="4" name="Проти" totalsRowFunction="sum" dataDxfId="805" totalsRowDxfId="804"/>
    <tableColumn id="5" name="Утрим" totalsRowFunction="sum" dataDxfId="803" totalsRowDxfId="802"/>
    <tableColumn id="6" name="не голосували" totalsRowFunction="sum" dataDxfId="801" totalsRowDxfId="800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id="26" name="Таблица245678910111718192021222324252627" displayName="Таблица245678910111718192021222324252627" ref="A2:F30" totalsRowCount="1" headerRowDxfId="799" dataDxfId="798">
  <autoFilter ref="A2:F29"/>
  <sortState ref="A3:G28">
    <sortCondition descending="1" ref="B1:B27"/>
  </sortState>
  <tableColumns count="6">
    <tableColumn id="1" name="№ п/п" totalsRowLabel="Всього" dataDxfId="797" totalsRowDxfId="79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95" totalsRowDxfId="79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93" totalsRowDxfId="792"/>
    <tableColumn id="4" name="Проти" totalsRowFunction="sum" dataDxfId="791" totalsRowDxfId="790"/>
    <tableColumn id="5" name="Утрим" totalsRowFunction="sum" dataDxfId="789" totalsRowDxfId="788"/>
    <tableColumn id="6" name="не голосували" totalsRowFunction="sum" dataDxfId="787" totalsRowDxfId="786"/>
  </tableColumns>
  <tableStyleInfo name="TableStyleLight2" showFirstColumn="0" showLastColumn="0" showRowStripes="1" showColumnStripes="0"/>
</table>
</file>

<file path=xl/tables/table22.xml><?xml version="1.0" encoding="utf-8"?>
<table xmlns="http://schemas.openxmlformats.org/spreadsheetml/2006/main" id="27" name="Таблица24567891011171819202122232425262728" displayName="Таблица24567891011171819202122232425262728" ref="A2:F30" totalsRowCount="1" headerRowDxfId="785" dataDxfId="784">
  <autoFilter ref="A2:F29"/>
  <sortState ref="A3:G28">
    <sortCondition descending="1" ref="B1:B27"/>
  </sortState>
  <tableColumns count="6">
    <tableColumn id="1" name="№ п/п" totalsRowLabel="Всього" dataDxfId="783" totalsRowDxfId="78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81" totalsRowDxfId="78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79" totalsRowDxfId="778"/>
    <tableColumn id="4" name="Проти" totalsRowFunction="sum" dataDxfId="777" totalsRowDxfId="776"/>
    <tableColumn id="5" name="Утрим" totalsRowFunction="sum" dataDxfId="775" totalsRowDxfId="774"/>
    <tableColumn id="6" name="не голосували" totalsRowFunction="sum" dataDxfId="773" totalsRowDxfId="772"/>
  </tableColumns>
  <tableStyleInfo name="TableStyleLight2" showFirstColumn="0" showLastColumn="0" showRowStripes="1" showColumnStripes="0"/>
</table>
</file>

<file path=xl/tables/table23.xml><?xml version="1.0" encoding="utf-8"?>
<table xmlns="http://schemas.openxmlformats.org/spreadsheetml/2006/main" id="28" name="Таблица2456789101117181920212223242526272829" displayName="Таблица2456789101117181920212223242526272829" ref="A2:F30" totalsRowCount="1" headerRowDxfId="771" dataDxfId="770">
  <autoFilter ref="A2:F29"/>
  <sortState ref="A3:G28">
    <sortCondition descending="1" ref="B1:B27"/>
  </sortState>
  <tableColumns count="6">
    <tableColumn id="1" name="№ п/п" totalsRowLabel="Всього" dataDxfId="769" totalsRowDxfId="76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67" totalsRowDxfId="76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65" totalsRowDxfId="764"/>
    <tableColumn id="4" name="Проти" totalsRowFunction="sum" dataDxfId="763" totalsRowDxfId="762"/>
    <tableColumn id="5" name="Утрим" totalsRowFunction="sum" dataDxfId="761" totalsRowDxfId="760"/>
    <tableColumn id="6" name="не голосували" totalsRowFunction="sum" dataDxfId="759" totalsRowDxfId="758"/>
  </tableColumns>
  <tableStyleInfo name="TableStyleLight2" showFirstColumn="0" showLastColumn="0" showRowStripes="1" showColumnStripes="0"/>
</table>
</file>

<file path=xl/tables/table24.xml><?xml version="1.0" encoding="utf-8"?>
<table xmlns="http://schemas.openxmlformats.org/spreadsheetml/2006/main" id="29" name="Таблица245678910111718192021222324252627282930" displayName="Таблица245678910111718192021222324252627282930" ref="A2:F30" totalsRowCount="1" headerRowDxfId="757" dataDxfId="756">
  <autoFilter ref="A2:F29"/>
  <sortState ref="A3:G28">
    <sortCondition descending="1" ref="B1:B27"/>
  </sortState>
  <tableColumns count="6">
    <tableColumn id="1" name="№ п/п" totalsRowLabel="Всього" dataDxfId="755" totalsRowDxfId="75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53" totalsRowDxfId="75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51" totalsRowDxfId="750"/>
    <tableColumn id="4" name="Проти" totalsRowFunction="sum" dataDxfId="749" totalsRowDxfId="748"/>
    <tableColumn id="5" name="Утрим" totalsRowFunction="sum" dataDxfId="747" totalsRowDxfId="746"/>
    <tableColumn id="6" name="не голосували" totalsRowFunction="sum" dataDxfId="745" totalsRowDxfId="744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id="30" name="Таблица24567891011171819202122232425262728293031" displayName="Таблица24567891011171819202122232425262728293031" ref="A2:F30" totalsRowCount="1" headerRowDxfId="743" dataDxfId="742">
  <autoFilter ref="A2:F29"/>
  <sortState ref="A3:G28">
    <sortCondition descending="1" ref="B1:B27"/>
  </sortState>
  <tableColumns count="6">
    <tableColumn id="1" name="№ п/п" totalsRowLabel="Всього" dataDxfId="741" totalsRowDxfId="74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39" totalsRowDxfId="73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37" totalsRowDxfId="736"/>
    <tableColumn id="4" name="Проти" totalsRowFunction="sum" dataDxfId="735" totalsRowDxfId="734"/>
    <tableColumn id="5" name="Утрим" totalsRowFunction="sum" dataDxfId="733" totalsRowDxfId="732"/>
    <tableColumn id="6" name="не голосували" totalsRowFunction="sum" dataDxfId="731" totalsRowDxfId="730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id="31" name="Таблица2456789101117181920212223242526272829303132" displayName="Таблица2456789101117181920212223242526272829303132" ref="A2:F30" totalsRowCount="1" headerRowDxfId="729" dataDxfId="728">
  <autoFilter ref="A2:F29"/>
  <sortState ref="A3:G28">
    <sortCondition descending="1" ref="B1:B27"/>
  </sortState>
  <tableColumns count="6">
    <tableColumn id="1" name="№ п/п" totalsRowLabel="Всього" dataDxfId="727" totalsRowDxfId="72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25" totalsRowDxfId="72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23" totalsRowDxfId="722"/>
    <tableColumn id="4" name="Проти" totalsRowFunction="sum" dataDxfId="721" totalsRowDxfId="720"/>
    <tableColumn id="5" name="Утрим" totalsRowFunction="sum" dataDxfId="719" totalsRowDxfId="718"/>
    <tableColumn id="6" name="не голосували" totalsRowFunction="sum" dataDxfId="717" totalsRowDxfId="716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id="32" name="Таблица245678910111718192021222324252627282930313233" displayName="Таблица245678910111718192021222324252627282930313233" ref="A2:F30" totalsRowCount="1" headerRowDxfId="715" dataDxfId="714">
  <autoFilter ref="A2:F29"/>
  <sortState ref="A3:G28">
    <sortCondition descending="1" ref="B1:B27"/>
  </sortState>
  <tableColumns count="6">
    <tableColumn id="1" name="№ п/п" totalsRowLabel="Всього" dataDxfId="713" totalsRowDxfId="71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11" totalsRowDxfId="71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09" totalsRowDxfId="708"/>
    <tableColumn id="4" name="Проти" totalsRowFunction="sum" dataDxfId="707" totalsRowDxfId="706"/>
    <tableColumn id="5" name="Утрим" totalsRowFunction="sum" dataDxfId="705" totalsRowDxfId="704"/>
    <tableColumn id="6" name="не голосували" totalsRowFunction="sum" dataDxfId="703" totalsRowDxfId="702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id="33" name="Таблица24567891011171819202122232425262728293031323334" displayName="Таблица24567891011171819202122232425262728293031323334" ref="A2:F30" totalsRowCount="1" headerRowDxfId="701" dataDxfId="700">
  <autoFilter ref="A2:F29"/>
  <sortState ref="A3:G28">
    <sortCondition descending="1" ref="B1:B27"/>
  </sortState>
  <tableColumns count="6">
    <tableColumn id="1" name="№ п/п" totalsRowLabel="Всього" dataDxfId="699" totalsRowDxfId="69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97" totalsRowDxfId="69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95" totalsRowDxfId="694"/>
    <tableColumn id="4" name="Проти" totalsRowFunction="sum" dataDxfId="693" totalsRowDxfId="692"/>
    <tableColumn id="5" name="Утрим" totalsRowFunction="sum" dataDxfId="691" totalsRowDxfId="690"/>
    <tableColumn id="6" name="не голосували" totalsRowFunction="sum" dataDxfId="689" totalsRowDxfId="688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id="34" name="Таблица2456789101117181920212223242526272829303132333435" displayName="Таблица2456789101117181920212223242526272829303132333435" ref="A2:F30" totalsRowCount="1" headerRowDxfId="687" dataDxfId="686">
  <autoFilter ref="A2:F29"/>
  <sortState ref="A3:G28">
    <sortCondition descending="1" ref="B1:B27"/>
  </sortState>
  <tableColumns count="6">
    <tableColumn id="1" name="№ п/п" totalsRowLabel="Всього" dataDxfId="685" totalsRowDxfId="68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83" totalsRowDxfId="68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81" totalsRowDxfId="680"/>
    <tableColumn id="4" name="Проти" totalsRowFunction="sum" dataDxfId="679" totalsRowDxfId="678"/>
    <tableColumn id="5" name="Утрим" totalsRowFunction="sum" dataDxfId="677" totalsRowDxfId="676"/>
    <tableColumn id="6" name="не голосували" totalsRowFunction="sum" dataDxfId="675" totalsRowDxfId="67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2:F30" totalsRowCount="1" headerRowDxfId="1045" dataDxfId="1044">
  <autoFilter ref="A2:F29"/>
  <sortState ref="A3:G28">
    <sortCondition descending="1" ref="B1:B27"/>
  </sortState>
  <tableColumns count="6">
    <tableColumn id="1" name="№ п/п" totalsRowLabel="Всього" dataDxfId="1043" totalsRowDxfId="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42" totalsRowDxfId="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41" totalsRowDxfId="3"/>
    <tableColumn id="4" name="Проти" totalsRowFunction="sum" dataDxfId="1040" totalsRowDxfId="2"/>
    <tableColumn id="5" name="Утрим" totalsRowFunction="sum" dataDxfId="1039" totalsRowDxfId="1"/>
    <tableColumn id="6" name="не голосували" totalsRowFunction="sum" dataDxfId="1038" totalsRowDxfId="0"/>
  </tableColumns>
  <tableStyleInfo name="TableStyleLight2" showFirstColumn="0" showLastColumn="0" showRowStripes="1" showColumnStripes="0"/>
</table>
</file>

<file path=xl/tables/table30.xml><?xml version="1.0" encoding="utf-8"?>
<table xmlns="http://schemas.openxmlformats.org/spreadsheetml/2006/main" id="35" name="Таблица245678910111718192021222324252627282930313233343536" displayName="Таблица245678910111718192021222324252627282930313233343536" ref="A2:F30" totalsRowCount="1" headerRowDxfId="673" dataDxfId="672">
  <autoFilter ref="A2:F29"/>
  <sortState ref="A3:G28">
    <sortCondition descending="1" ref="B1:B27"/>
  </sortState>
  <tableColumns count="6">
    <tableColumn id="1" name="№ п/п" totalsRowLabel="Всього" dataDxfId="671" totalsRowDxfId="67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69" totalsRowDxfId="66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67" totalsRowDxfId="666"/>
    <tableColumn id="4" name="Проти" totalsRowFunction="sum" dataDxfId="665" totalsRowDxfId="664"/>
    <tableColumn id="5" name="Утрим" totalsRowFunction="sum" dataDxfId="663" totalsRowDxfId="662"/>
    <tableColumn id="6" name="не голосували" totalsRowFunction="sum" dataDxfId="661" totalsRowDxfId="660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id="36" name="Таблица24567891011171819202122232425262728293031323334353637" displayName="Таблица24567891011171819202122232425262728293031323334353637" ref="A2:F30" totalsRowCount="1" headerRowDxfId="659" dataDxfId="658">
  <autoFilter ref="A2:F29"/>
  <sortState ref="A3:G28">
    <sortCondition descending="1" ref="B1:B27"/>
  </sortState>
  <tableColumns count="6">
    <tableColumn id="1" name="№ п/п" totalsRowLabel="Всього" dataDxfId="657" totalsRowDxfId="65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55" totalsRowDxfId="65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53" totalsRowDxfId="652"/>
    <tableColumn id="4" name="Проти" totalsRowFunction="sum" dataDxfId="651" totalsRowDxfId="650"/>
    <tableColumn id="5" name="Утрим" totalsRowFunction="sum" dataDxfId="649" totalsRowDxfId="648"/>
    <tableColumn id="6" name="не голосували" totalsRowFunction="sum" dataDxfId="647" totalsRowDxfId="646"/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id="37" name="Таблица2456789101117181920212223242526272829303132333435363738" displayName="Таблица2456789101117181920212223242526272829303132333435363738" ref="A2:F30" totalsRowCount="1" headerRowDxfId="645" dataDxfId="644">
  <autoFilter ref="A2:F29"/>
  <sortState ref="A3:G28">
    <sortCondition descending="1" ref="B1:B27"/>
  </sortState>
  <tableColumns count="6">
    <tableColumn id="1" name="№ п/п" totalsRowLabel="Всього" dataDxfId="643" totalsRowDxfId="64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41" totalsRowDxfId="64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39" totalsRowDxfId="638"/>
    <tableColumn id="4" name="Проти" totalsRowFunction="sum" dataDxfId="637" totalsRowDxfId="636"/>
    <tableColumn id="5" name="Утрим" totalsRowFunction="sum" dataDxfId="635" totalsRowDxfId="634"/>
    <tableColumn id="6" name="не голосували" totalsRowFunction="sum" dataDxfId="633" totalsRowDxfId="632"/>
  </tableColumns>
  <tableStyleInfo name="TableStyleLight2" showFirstColumn="0" showLastColumn="0" showRowStripes="1" showColumnStripes="0"/>
</table>
</file>

<file path=xl/tables/table33.xml><?xml version="1.0" encoding="utf-8"?>
<table xmlns="http://schemas.openxmlformats.org/spreadsheetml/2006/main" id="38" name="Таблица245678910111718192021222324252627282930313233343536373839" displayName="Таблица245678910111718192021222324252627282930313233343536373839" ref="A2:F30" totalsRowCount="1" headerRowDxfId="631" dataDxfId="630">
  <autoFilter ref="A2:F29"/>
  <sortState ref="A3:G28">
    <sortCondition descending="1" ref="B1:B27"/>
  </sortState>
  <tableColumns count="6">
    <tableColumn id="1" name="№ п/п" totalsRowLabel="Всього" dataDxfId="629" totalsRowDxfId="62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27" totalsRowDxfId="62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25" totalsRowDxfId="624"/>
    <tableColumn id="4" name="Проти" totalsRowFunction="sum" dataDxfId="623" totalsRowDxfId="622"/>
    <tableColumn id="5" name="Утрим" totalsRowFunction="sum" dataDxfId="621" totalsRowDxfId="620"/>
    <tableColumn id="6" name="не голосували" totalsRowFunction="sum" dataDxfId="619" totalsRowDxfId="618"/>
  </tableColumns>
  <tableStyleInfo name="TableStyleLight2" showFirstColumn="0" showLastColumn="0" showRowStripes="1" showColumnStripes="0"/>
</table>
</file>

<file path=xl/tables/table34.xml><?xml version="1.0" encoding="utf-8"?>
<table xmlns="http://schemas.openxmlformats.org/spreadsheetml/2006/main" id="39" name="Таблица24567891011171819202122232425262728293031323334353637383940" displayName="Таблица24567891011171819202122232425262728293031323334353637383940" ref="A2:F30" totalsRowCount="1" headerRowDxfId="617" dataDxfId="616">
  <autoFilter ref="A2:F29"/>
  <sortState ref="A3:G28">
    <sortCondition descending="1" ref="B1:B27"/>
  </sortState>
  <tableColumns count="6">
    <tableColumn id="1" name="№ п/п" totalsRowLabel="Всього" dataDxfId="615" totalsRowDxfId="61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13" totalsRowDxfId="61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11" totalsRowDxfId="610"/>
    <tableColumn id="4" name="Проти" totalsRowFunction="sum" dataDxfId="609" totalsRowDxfId="608"/>
    <tableColumn id="5" name="Утрим" totalsRowFunction="sum" dataDxfId="607" totalsRowDxfId="606"/>
    <tableColumn id="6" name="не голосували" totalsRowFunction="sum" dataDxfId="605" totalsRowDxfId="604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id="40" name="Таблица2456789101117181920212223242526272829303132333435363738394041" displayName="Таблица2456789101117181920212223242526272829303132333435363738394041" ref="A2:F30" totalsRowCount="1" headerRowDxfId="603" dataDxfId="602">
  <autoFilter ref="A2:F29"/>
  <sortState ref="A3:G28">
    <sortCondition descending="1" ref="B1:B27"/>
  </sortState>
  <tableColumns count="6">
    <tableColumn id="1" name="№ п/п" totalsRowLabel="Всього" dataDxfId="601" totalsRowDxfId="60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99" totalsRowDxfId="59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97" totalsRowDxfId="596"/>
    <tableColumn id="4" name="Проти" totalsRowFunction="sum" dataDxfId="595" totalsRowDxfId="594"/>
    <tableColumn id="5" name="Утрим" totalsRowFunction="sum" dataDxfId="593" totalsRowDxfId="592"/>
    <tableColumn id="6" name="не голосували" totalsRowFunction="sum" dataDxfId="591" totalsRowDxfId="590"/>
  </tableColumns>
  <tableStyleInfo name="TableStyleLight2" showFirstColumn="0" showLastColumn="0" showRowStripes="1" showColumnStripes="0"/>
</table>
</file>

<file path=xl/tables/table36.xml><?xml version="1.0" encoding="utf-8"?>
<table xmlns="http://schemas.openxmlformats.org/spreadsheetml/2006/main" id="41" name="Таблица245678910111718192021222324252627282930313233343536373839404142" displayName="Таблица245678910111718192021222324252627282930313233343536373839404142" ref="A2:F30" totalsRowCount="1" headerRowDxfId="589" dataDxfId="588">
  <autoFilter ref="A2:F29"/>
  <sortState ref="A3:G28">
    <sortCondition descending="1" ref="B1:B27"/>
  </sortState>
  <tableColumns count="6">
    <tableColumn id="1" name="№ п/п" totalsRowLabel="Всього" dataDxfId="587" totalsRowDxfId="58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85" totalsRowDxfId="58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83" totalsRowDxfId="582"/>
    <tableColumn id="4" name="Проти" totalsRowFunction="sum" dataDxfId="581" totalsRowDxfId="580"/>
    <tableColumn id="5" name="Утрим" totalsRowFunction="sum" dataDxfId="579" totalsRowDxfId="578"/>
    <tableColumn id="6" name="не голосували" totalsRowFunction="sum" dataDxfId="577" totalsRowDxfId="576"/>
  </tableColumns>
  <tableStyleInfo name="TableStyleLight2" showFirstColumn="0" showLastColumn="0" showRowStripes="1" showColumnStripes="0"/>
</table>
</file>

<file path=xl/tables/table37.xml><?xml version="1.0" encoding="utf-8"?>
<table xmlns="http://schemas.openxmlformats.org/spreadsheetml/2006/main" id="42" name="Таблица24567891011171819202122232425262728293031323334353637383940414243" displayName="Таблица24567891011171819202122232425262728293031323334353637383940414243" ref="A2:F30" totalsRowCount="1" headerRowDxfId="575" dataDxfId="574">
  <autoFilter ref="A2:F29"/>
  <sortState ref="A3:G28">
    <sortCondition descending="1" ref="B1:B27"/>
  </sortState>
  <tableColumns count="6">
    <tableColumn id="1" name="№ п/п" totalsRowLabel="Всього" dataDxfId="573" totalsRowDxfId="57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71" totalsRowDxfId="57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69" totalsRowDxfId="568"/>
    <tableColumn id="4" name="Проти" totalsRowFunction="sum" dataDxfId="567" totalsRowDxfId="566"/>
    <tableColumn id="5" name="Утрим" totalsRowFunction="sum" dataDxfId="565" totalsRowDxfId="564"/>
    <tableColumn id="6" name="не голосували" totalsRowFunction="sum" dataDxfId="563" totalsRowDxfId="562"/>
  </tableColumns>
  <tableStyleInfo name="TableStyleLight2" showFirstColumn="0" showLastColumn="0" showRowStripes="1" showColumnStripes="0"/>
</table>
</file>

<file path=xl/tables/table38.xml><?xml version="1.0" encoding="utf-8"?>
<table xmlns="http://schemas.openxmlformats.org/spreadsheetml/2006/main" id="43" name="Таблица2456789101117181920212223242526272829303132333435363738394041424344" displayName="Таблица2456789101117181920212223242526272829303132333435363738394041424344" ref="A2:F30" totalsRowCount="1" headerRowDxfId="561" dataDxfId="560">
  <autoFilter ref="A2:F29"/>
  <sortState ref="A3:G28">
    <sortCondition descending="1" ref="B1:B27"/>
  </sortState>
  <tableColumns count="6">
    <tableColumn id="1" name="№ п/п" totalsRowLabel="Всього" dataDxfId="559" totalsRowDxfId="55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57" totalsRowDxfId="55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55" totalsRowDxfId="554"/>
    <tableColumn id="4" name="Проти" totalsRowFunction="sum" dataDxfId="553" totalsRowDxfId="552"/>
    <tableColumn id="5" name="Утрим" totalsRowFunction="sum" dataDxfId="551" totalsRowDxfId="550"/>
    <tableColumn id="6" name="не голосували" totalsRowFunction="sum" dataDxfId="549" totalsRowDxfId="548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id="44" name="Таблица245678910111718192021222324252627282930313233343536373839404142434445" displayName="Таблица245678910111718192021222324252627282930313233343536373839404142434445" ref="A2:F30" totalsRowCount="1" headerRowDxfId="547" dataDxfId="546">
  <autoFilter ref="A2:F29"/>
  <sortState ref="A3:G28">
    <sortCondition descending="1" ref="B1:B27"/>
  </sortState>
  <tableColumns count="6">
    <tableColumn id="1" name="№ п/п" totalsRowLabel="Всього" dataDxfId="545" totalsRowDxfId="54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43" totalsRowDxfId="54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41" totalsRowDxfId="540"/>
    <tableColumn id="4" name="Проти" totalsRowFunction="sum" dataDxfId="539" totalsRowDxfId="538"/>
    <tableColumn id="5" name="Утрим" totalsRowFunction="sum" dataDxfId="537" totalsRowDxfId="536"/>
    <tableColumn id="6" name="не голосували" totalsRowFunction="sum" dataDxfId="535" totalsRowDxfId="53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Таблица245" displayName="Таблица245" ref="A2:F30" totalsRowCount="1" headerRowDxfId="1037" dataDxfId="1036">
  <autoFilter ref="A2:F29"/>
  <sortState ref="A3:G28">
    <sortCondition descending="1" ref="B1:B27"/>
  </sortState>
  <tableColumns count="6">
    <tableColumn id="1" name="№ п/п" totalsRowLabel="Всього" dataDxfId="1035" totalsRowDxfId="103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33" totalsRowDxfId="103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31" totalsRowDxfId="1030"/>
    <tableColumn id="4" name="Проти" totalsRowFunction="sum" dataDxfId="1029" totalsRowDxfId="1028"/>
    <tableColumn id="5" name="Утрим" totalsRowFunction="sum" dataDxfId="1027" totalsRowDxfId="1026"/>
    <tableColumn id="6" name="не голосували" totalsRowFunction="sum" dataDxfId="1025" totalsRowDxfId="1024"/>
  </tableColumns>
  <tableStyleInfo name="TableStyleLight2" showFirstColumn="0" showLastColumn="0" showRowStripes="1" showColumnStripes="0"/>
</table>
</file>

<file path=xl/tables/table40.xml><?xml version="1.0" encoding="utf-8"?>
<table xmlns="http://schemas.openxmlformats.org/spreadsheetml/2006/main" id="45" name="Таблица24567891011171819202122232425262728293031323334353637383940414243444546" displayName="Таблица24567891011171819202122232425262728293031323334353637383940414243444546" ref="A2:F30" totalsRowCount="1" headerRowDxfId="533" dataDxfId="532">
  <autoFilter ref="A2:F29"/>
  <sortState ref="A3:G28">
    <sortCondition descending="1" ref="B1:B27"/>
  </sortState>
  <tableColumns count="6">
    <tableColumn id="1" name="№ п/п" totalsRowLabel="Всього" dataDxfId="531" totalsRowDxfId="53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29" totalsRowDxfId="52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27" totalsRowDxfId="526"/>
    <tableColumn id="4" name="Проти" totalsRowFunction="sum" dataDxfId="525" totalsRowDxfId="524"/>
    <tableColumn id="5" name="Утрим" totalsRowFunction="sum" dataDxfId="523" totalsRowDxfId="522"/>
    <tableColumn id="6" name="не голосували" totalsRowFunction="sum" dataDxfId="521" totalsRowDxfId="520"/>
  </tableColumns>
  <tableStyleInfo name="TableStyleLight2" showFirstColumn="0" showLastColumn="0" showRowStripes="1" showColumnStripes="0"/>
</table>
</file>

<file path=xl/tables/table41.xml><?xml version="1.0" encoding="utf-8"?>
<table xmlns="http://schemas.openxmlformats.org/spreadsheetml/2006/main" id="46" name="Таблица2456789101117181920212223242526272829303132333435363738394041424344454647" displayName="Таблица2456789101117181920212223242526272829303132333435363738394041424344454647" ref="A2:F30" totalsRowCount="1" headerRowDxfId="519" dataDxfId="518">
  <autoFilter ref="A2:F29"/>
  <sortState ref="A3:G28">
    <sortCondition descending="1" ref="B1:B27"/>
  </sortState>
  <tableColumns count="6">
    <tableColumn id="1" name="№ п/п" totalsRowLabel="Всього" dataDxfId="517" totalsRowDxfId="51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15" totalsRowDxfId="51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13" totalsRowDxfId="512"/>
    <tableColumn id="4" name="Проти" totalsRowFunction="sum" dataDxfId="511" totalsRowDxfId="510"/>
    <tableColumn id="5" name="Утрим" totalsRowFunction="sum" dataDxfId="509" totalsRowDxfId="508"/>
    <tableColumn id="6" name="не голосували" totalsRowFunction="sum" dataDxfId="507" totalsRowDxfId="506"/>
  </tableColumns>
  <tableStyleInfo name="TableStyleLight2" showFirstColumn="0" showLastColumn="0" showRowStripes="1" showColumnStripes="0"/>
</table>
</file>

<file path=xl/tables/table42.xml><?xml version="1.0" encoding="utf-8"?>
<table xmlns="http://schemas.openxmlformats.org/spreadsheetml/2006/main" id="47" name="Таблица245678910111718192021222324252627282930313233343536373839404142434445464748" displayName="Таблица245678910111718192021222324252627282930313233343536373839404142434445464748" ref="A2:F30" totalsRowCount="1" headerRowDxfId="505" dataDxfId="504">
  <autoFilter ref="A2:F29"/>
  <sortState ref="A3:G28">
    <sortCondition descending="1" ref="B1:B27"/>
  </sortState>
  <tableColumns count="6">
    <tableColumn id="1" name="№ п/п" totalsRowLabel="Всього" dataDxfId="503" totalsRowDxfId="50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01" totalsRowDxfId="50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99" totalsRowDxfId="498"/>
    <tableColumn id="4" name="Проти" totalsRowFunction="sum" dataDxfId="497" totalsRowDxfId="496"/>
    <tableColumn id="5" name="Утрим" totalsRowFunction="sum" dataDxfId="495" totalsRowDxfId="494"/>
    <tableColumn id="6" name="не голосували" totalsRowFunction="sum" dataDxfId="493" totalsRowDxfId="492"/>
  </tableColumns>
  <tableStyleInfo name="TableStyleLight2" showFirstColumn="0" showLastColumn="0" showRowStripes="1" showColumnStripes="0"/>
</table>
</file>

<file path=xl/tables/table43.xml><?xml version="1.0" encoding="utf-8"?>
<table xmlns="http://schemas.openxmlformats.org/spreadsheetml/2006/main" id="48" name="Таблица24567891011171819202122232425262728293031323334353637383940414243444546474849" displayName="Таблица24567891011171819202122232425262728293031323334353637383940414243444546474849" ref="A2:F30" totalsRowCount="1" headerRowDxfId="491" dataDxfId="490">
  <autoFilter ref="A2:F29"/>
  <sortState ref="A3:G28">
    <sortCondition descending="1" ref="B1:B27"/>
  </sortState>
  <tableColumns count="6">
    <tableColumn id="1" name="№ п/п" totalsRowLabel="Всього" dataDxfId="489" totalsRowDxfId="48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87" totalsRowDxfId="48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85" totalsRowDxfId="484"/>
    <tableColumn id="4" name="Проти" totalsRowFunction="sum" dataDxfId="483" totalsRowDxfId="482"/>
    <tableColumn id="5" name="Утрим" totalsRowFunction="sum" dataDxfId="481" totalsRowDxfId="480"/>
    <tableColumn id="6" name="не голосували" totalsRowFunction="sum" dataDxfId="479" totalsRowDxfId="478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id="49" name="Таблица2456789101117181920212223242526272829303132333435363738394041424344454647484950" displayName="Таблица2456789101117181920212223242526272829303132333435363738394041424344454647484950" ref="A2:F30" totalsRowCount="1" headerRowDxfId="477" dataDxfId="476">
  <autoFilter ref="A2:F29"/>
  <sortState ref="A3:G28">
    <sortCondition descending="1" ref="B1:B27"/>
  </sortState>
  <tableColumns count="6">
    <tableColumn id="1" name="№ п/п" totalsRowLabel="Всього" dataDxfId="475" totalsRowDxfId="47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73" totalsRowDxfId="47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71" totalsRowDxfId="470"/>
    <tableColumn id="4" name="Проти" totalsRowFunction="sum" dataDxfId="469" totalsRowDxfId="468"/>
    <tableColumn id="5" name="Утрим" totalsRowFunction="sum" dataDxfId="467" totalsRowDxfId="466"/>
    <tableColumn id="6" name="не голосували" totalsRowFunction="sum" dataDxfId="465" totalsRowDxfId="464"/>
  </tableColumns>
  <tableStyleInfo name="TableStyleLight2" showFirstColumn="0" showLastColumn="0" showRowStripes="1" showColumnStripes="0"/>
</table>
</file>

<file path=xl/tables/table45.xml><?xml version="1.0" encoding="utf-8"?>
<table xmlns="http://schemas.openxmlformats.org/spreadsheetml/2006/main" id="50" name="Таблица245678910111718192021222324252627282930313233343536373839404142434445464748495051" displayName="Таблица245678910111718192021222324252627282930313233343536373839404142434445464748495051" ref="A2:F30" totalsRowCount="1" headerRowDxfId="463" dataDxfId="462">
  <autoFilter ref="A2:F29"/>
  <sortState ref="A3:G28">
    <sortCondition descending="1" ref="B1:B27"/>
  </sortState>
  <tableColumns count="6">
    <tableColumn id="1" name="№ п/п" totalsRowLabel="Всього" dataDxfId="461" totalsRowDxfId="46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59" totalsRowDxfId="45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57" totalsRowDxfId="456"/>
    <tableColumn id="4" name="Проти" totalsRowFunction="sum" dataDxfId="455" totalsRowDxfId="454"/>
    <tableColumn id="5" name="Утрим" totalsRowFunction="sum" dataDxfId="453" totalsRowDxfId="452"/>
    <tableColumn id="6" name="не голосували" totalsRowFunction="sum" dataDxfId="451" totalsRowDxfId="450"/>
  </tableColumns>
  <tableStyleInfo name="TableStyleLight2" showFirstColumn="0" showLastColumn="0" showRowStripes="1" showColumnStripes="0"/>
</table>
</file>

<file path=xl/tables/table46.xml><?xml version="1.0" encoding="utf-8"?>
<table xmlns="http://schemas.openxmlformats.org/spreadsheetml/2006/main" id="51" name="Таблица24567891011171819202122232425262728293031323334353637383940414243444546474849505152" displayName="Таблица24567891011171819202122232425262728293031323334353637383940414243444546474849505152" ref="A2:F30" totalsRowCount="1" headerRowDxfId="449" dataDxfId="448">
  <autoFilter ref="A2:F29"/>
  <sortState ref="A3:G28">
    <sortCondition descending="1" ref="B1:B27"/>
  </sortState>
  <tableColumns count="6">
    <tableColumn id="1" name="№ п/п" totalsRowLabel="Всього" dataDxfId="447" totalsRowDxfId="44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45" totalsRowDxfId="44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43" totalsRowDxfId="442"/>
    <tableColumn id="4" name="Проти" totalsRowFunction="sum" dataDxfId="441" totalsRowDxfId="440"/>
    <tableColumn id="5" name="Утрим" totalsRowFunction="sum" dataDxfId="439" totalsRowDxfId="438"/>
    <tableColumn id="6" name="не голосували" totalsRowFunction="sum" dataDxfId="437" totalsRowDxfId="436"/>
  </tableColumns>
  <tableStyleInfo name="TableStyleLight2" showFirstColumn="0" showLastColumn="0" showRowStripes="1" showColumnStripes="0"/>
</table>
</file>

<file path=xl/tables/table47.xml><?xml version="1.0" encoding="utf-8"?>
<table xmlns="http://schemas.openxmlformats.org/spreadsheetml/2006/main" id="52" name="Таблица2456789101117181920212223242526272829303132333435363738394041424344454647484950515253" displayName="Таблица2456789101117181920212223242526272829303132333435363738394041424344454647484950515253" ref="A2:F30" totalsRowCount="1" headerRowDxfId="435" dataDxfId="434">
  <autoFilter ref="A2:F29"/>
  <sortState ref="A3:G28">
    <sortCondition descending="1" ref="B1:B27"/>
  </sortState>
  <tableColumns count="6">
    <tableColumn id="1" name="№ п/п" totalsRowLabel="Всього" dataDxfId="433" totalsRowDxfId="43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31" totalsRowDxfId="43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29" totalsRowDxfId="428"/>
    <tableColumn id="4" name="Проти" totalsRowFunction="sum" dataDxfId="427" totalsRowDxfId="426"/>
    <tableColumn id="5" name="Утрим" totalsRowFunction="sum" dataDxfId="425" totalsRowDxfId="424"/>
    <tableColumn id="6" name="не голосували" totalsRowFunction="sum" dataDxfId="423" totalsRowDxfId="422"/>
  </tableColumns>
  <tableStyleInfo name="TableStyleLight2" showFirstColumn="0" showLastColumn="0" showRowStripes="1" showColumnStripes="0"/>
</table>
</file>

<file path=xl/tables/table48.xml><?xml version="1.0" encoding="utf-8"?>
<table xmlns="http://schemas.openxmlformats.org/spreadsheetml/2006/main" id="53" name="Таблица245678910111718192021222324252627282930313233343536373839404142434445464748495051525354" displayName="Таблица245678910111718192021222324252627282930313233343536373839404142434445464748495051525354" ref="A2:F30" totalsRowCount="1" headerRowDxfId="421" dataDxfId="420">
  <autoFilter ref="A2:F29"/>
  <sortState ref="A3:G28">
    <sortCondition descending="1" ref="B1:B27"/>
  </sortState>
  <tableColumns count="6">
    <tableColumn id="1" name="№ п/п" totalsRowLabel="Всього" dataDxfId="419" totalsRowDxfId="41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17" totalsRowDxfId="41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15" totalsRowDxfId="414"/>
    <tableColumn id="4" name="Проти" totalsRowFunction="sum" dataDxfId="413" totalsRowDxfId="412"/>
    <tableColumn id="5" name="Утрим" totalsRowFunction="sum" dataDxfId="411" totalsRowDxfId="410"/>
    <tableColumn id="6" name="не голосували" totalsRowFunction="sum" dataDxfId="409" totalsRowDxfId="408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id="54" name="Таблица24567891011171819202122232425262728293031323334353637383940414243444546474849505152535455" displayName="Таблица24567891011171819202122232425262728293031323334353637383940414243444546474849505152535455" ref="A2:F30" totalsRowCount="1" headerRowDxfId="407" dataDxfId="406">
  <autoFilter ref="A2:F29"/>
  <sortState ref="A3:G28">
    <sortCondition descending="1" ref="B1:B27"/>
  </sortState>
  <tableColumns count="6">
    <tableColumn id="1" name="№ п/п" totalsRowLabel="Всього" dataDxfId="405" totalsRowDxfId="40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03" totalsRowDxfId="40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01" totalsRowDxfId="400"/>
    <tableColumn id="4" name="Проти" totalsRowFunction="sum" dataDxfId="399" totalsRowDxfId="398"/>
    <tableColumn id="5" name="Утрим" totalsRowFunction="sum" dataDxfId="397" totalsRowDxfId="396"/>
    <tableColumn id="6" name="не голосували" totalsRowFunction="sum" dataDxfId="395" totalsRowDxfId="39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Таблица2456" displayName="Таблица2456" ref="A2:F30" totalsRowCount="1" headerRowDxfId="1023" dataDxfId="1022">
  <autoFilter ref="A2:F29"/>
  <sortState ref="A3:G28">
    <sortCondition descending="1" ref="B1:B27"/>
  </sortState>
  <tableColumns count="6">
    <tableColumn id="1" name="№ п/п" totalsRowLabel="Всього" dataDxfId="1021" totalsRowDxfId="102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19" totalsRowDxfId="101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17" totalsRowDxfId="1016"/>
    <tableColumn id="4" name="Проти" totalsRowFunction="sum" dataDxfId="1015" totalsRowDxfId="1014"/>
    <tableColumn id="5" name="Утрим" totalsRowFunction="sum" dataDxfId="1013" totalsRowDxfId="1012"/>
    <tableColumn id="6" name="не голосували" totalsRowFunction="sum" dataDxfId="1011" totalsRowDxfId="1010"/>
  </tableColumns>
  <tableStyleInfo name="TableStyleLight2" showFirstColumn="0" showLastColumn="0" showRowStripes="1" showColumnStripes="0"/>
</table>
</file>

<file path=xl/tables/table50.xml><?xml version="1.0" encoding="utf-8"?>
<table xmlns="http://schemas.openxmlformats.org/spreadsheetml/2006/main" id="55" name="Таблица2456789101117181920212223242526272829303132333435363738394041424344454647484950515253545556" displayName="Таблица2456789101117181920212223242526272829303132333435363738394041424344454647484950515253545556" ref="A2:F30" totalsRowCount="1" headerRowDxfId="393" dataDxfId="392">
  <autoFilter ref="A2:F29"/>
  <sortState ref="A3:G28">
    <sortCondition descending="1" ref="B1:B27"/>
  </sortState>
  <tableColumns count="6">
    <tableColumn id="1" name="№ п/п" totalsRowLabel="Всього" dataDxfId="391" totalsRowDxfId="39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89" totalsRowDxfId="38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87" totalsRowDxfId="386"/>
    <tableColumn id="4" name="Проти" totalsRowFunction="sum" dataDxfId="385" totalsRowDxfId="384"/>
    <tableColumn id="5" name="Утрим" totalsRowFunction="sum" dataDxfId="383" totalsRowDxfId="382"/>
    <tableColumn id="6" name="не голосували" totalsRowFunction="sum" dataDxfId="381" totalsRowDxfId="380"/>
  </tableColumns>
  <tableStyleInfo name="TableStyleLight2" showFirstColumn="0" showLastColumn="0" showRowStripes="1" showColumnStripes="0"/>
</table>
</file>

<file path=xl/tables/table51.xml><?xml version="1.0" encoding="utf-8"?>
<table xmlns="http://schemas.openxmlformats.org/spreadsheetml/2006/main" id="56" name="Таблица245678910111718192021222324252627282930313233343536373839404142434445464748495051525354555657" displayName="Таблица245678910111718192021222324252627282930313233343536373839404142434445464748495051525354555657" ref="A2:F30" totalsRowCount="1" headerRowDxfId="379" dataDxfId="378">
  <autoFilter ref="A2:F29"/>
  <sortState ref="A3:G28">
    <sortCondition descending="1" ref="B1:B27"/>
  </sortState>
  <tableColumns count="6">
    <tableColumn id="1" name="№ п/п" totalsRowLabel="Всього" dataDxfId="377" totalsRowDxfId="37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75" totalsRowDxfId="37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73" totalsRowDxfId="372"/>
    <tableColumn id="4" name="Проти" totalsRowFunction="sum" dataDxfId="371" totalsRowDxfId="370"/>
    <tableColumn id="5" name="Утрим" totalsRowFunction="sum" dataDxfId="369" totalsRowDxfId="368"/>
    <tableColumn id="6" name="не голосували" totalsRowFunction="sum" dataDxfId="367" totalsRowDxfId="366"/>
  </tableColumns>
  <tableStyleInfo name="TableStyleLight2" showFirstColumn="0" showLastColumn="0" showRowStripes="1" showColumnStripes="0"/>
</table>
</file>

<file path=xl/tables/table52.xml><?xml version="1.0" encoding="utf-8"?>
<table xmlns="http://schemas.openxmlformats.org/spreadsheetml/2006/main" id="57" name="Таблица24567891011171819202122232425262728293031323334353637383940414243444546474849505152535455565758" displayName="Таблица24567891011171819202122232425262728293031323334353637383940414243444546474849505152535455565758" ref="A2:F30" totalsRowCount="1" headerRowDxfId="365" dataDxfId="364">
  <autoFilter ref="A2:F29"/>
  <sortState ref="A3:G28">
    <sortCondition descending="1" ref="B1:B27"/>
  </sortState>
  <tableColumns count="6">
    <tableColumn id="1" name="№ п/п" totalsRowLabel="Всього" dataDxfId="363" totalsRowDxfId="36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61" totalsRowDxfId="36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59" totalsRowDxfId="358"/>
    <tableColumn id="4" name="Проти" totalsRowFunction="sum" dataDxfId="357" totalsRowDxfId="356"/>
    <tableColumn id="5" name="Утрим" totalsRowFunction="sum" dataDxfId="355" totalsRowDxfId="354"/>
    <tableColumn id="6" name="не голосували" totalsRowFunction="sum" dataDxfId="353" totalsRowDxfId="352"/>
  </tableColumns>
  <tableStyleInfo name="TableStyleLight2" showFirstColumn="0" showLastColumn="0" showRowStripes="1" showColumnStripes="0"/>
</table>
</file>

<file path=xl/tables/table53.xml><?xml version="1.0" encoding="utf-8"?>
<table xmlns="http://schemas.openxmlformats.org/spreadsheetml/2006/main" id="58" name="Таблица2456789101117181920212223242526272829303132333435363738394041424344454647484950515253545556575859" displayName="Таблица2456789101117181920212223242526272829303132333435363738394041424344454647484950515253545556575859" ref="A2:F30" totalsRowCount="1" headerRowDxfId="351" dataDxfId="350">
  <autoFilter ref="A2:F29"/>
  <sortState ref="A3:G28">
    <sortCondition descending="1" ref="B1:B27"/>
  </sortState>
  <tableColumns count="6">
    <tableColumn id="1" name="№ п/п" totalsRowLabel="Всього" dataDxfId="349" totalsRowDxfId="34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47" totalsRowDxfId="34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45" totalsRowDxfId="344"/>
    <tableColumn id="4" name="Проти" totalsRowFunction="sum" dataDxfId="343" totalsRowDxfId="342"/>
    <tableColumn id="5" name="Утрим" totalsRowFunction="sum" dataDxfId="341" totalsRowDxfId="340"/>
    <tableColumn id="6" name="не голосували" totalsRowFunction="sum" dataDxfId="339" totalsRowDxfId="338"/>
  </tableColumns>
  <tableStyleInfo name="TableStyleLight2" showFirstColumn="0" showLastColumn="0" showRowStripes="1" showColumnStripes="0"/>
</table>
</file>

<file path=xl/tables/table54.xml><?xml version="1.0" encoding="utf-8"?>
<table xmlns="http://schemas.openxmlformats.org/spreadsheetml/2006/main" id="59" name="Таблица245678910111718192021222324252627282930313233343536373839404142434445464748495051525354555657585960" displayName="Таблица245678910111718192021222324252627282930313233343536373839404142434445464748495051525354555657585960" ref="A2:F30" totalsRowCount="1" headerRowDxfId="337" dataDxfId="336">
  <autoFilter ref="A2:F29"/>
  <sortState ref="A3:G28">
    <sortCondition descending="1" ref="B1:B27"/>
  </sortState>
  <tableColumns count="6">
    <tableColumn id="1" name="№ п/п" totalsRowLabel="Всього" dataDxfId="335" totalsRowDxfId="33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33" totalsRowDxfId="33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31" totalsRowDxfId="330"/>
    <tableColumn id="4" name="Проти" totalsRowFunction="sum" dataDxfId="329" totalsRowDxfId="328"/>
    <tableColumn id="5" name="Утрим" totalsRowFunction="sum" dataDxfId="327" totalsRowDxfId="326"/>
    <tableColumn id="6" name="не голосували" totalsRowFunction="sum" dataDxfId="325" totalsRowDxfId="324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id="60" name="Таблица24567891011171819202122232425262728293031323334353637383940414243444546474849505152535455565758596061" displayName="Таблица24567891011171819202122232425262728293031323334353637383940414243444546474849505152535455565758596061" ref="A2:F30" totalsRowCount="1" headerRowDxfId="323" dataDxfId="322">
  <autoFilter ref="A2:F29"/>
  <sortState ref="A3:G28">
    <sortCondition descending="1" ref="B1:B27"/>
  </sortState>
  <tableColumns count="6">
    <tableColumn id="1" name="№ п/п" totalsRowLabel="Всього" dataDxfId="321" totalsRowDxfId="32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19" totalsRowDxfId="31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17" totalsRowDxfId="316"/>
    <tableColumn id="4" name="Проти" totalsRowFunction="sum" dataDxfId="315" totalsRowDxfId="314"/>
    <tableColumn id="5" name="Утрим" totalsRowFunction="sum" dataDxfId="313" totalsRowDxfId="312"/>
    <tableColumn id="6" name="не голосували" totalsRowFunction="sum" dataDxfId="311" totalsRowDxfId="310"/>
  </tableColumns>
  <tableStyleInfo name="TableStyleLight2" showFirstColumn="0" showLastColumn="0" showRowStripes="1" showColumnStripes="0"/>
</table>
</file>

<file path=xl/tables/table56.xml><?xml version="1.0" encoding="utf-8"?>
<table xmlns="http://schemas.openxmlformats.org/spreadsheetml/2006/main" id="61" name="Таблица2456789101117181920212223242526272829303132333435363738394041424344454647484950515253545556575859606162" displayName="Таблица2456789101117181920212223242526272829303132333435363738394041424344454647484950515253545556575859606162" ref="A2:F30" totalsRowCount="1" headerRowDxfId="309" dataDxfId="308">
  <autoFilter ref="A2:F29"/>
  <sortState ref="A3:G28">
    <sortCondition descending="1" ref="B1:B27"/>
  </sortState>
  <tableColumns count="6">
    <tableColumn id="1" name="№ п/п" totalsRowLabel="Всього" dataDxfId="307" totalsRowDxfId="30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05" totalsRowDxfId="30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03" totalsRowDxfId="302"/>
    <tableColumn id="4" name="Проти" totalsRowFunction="sum" dataDxfId="301" totalsRowDxfId="300"/>
    <tableColumn id="5" name="Утрим" totalsRowFunction="sum" dataDxfId="299" totalsRowDxfId="298"/>
    <tableColumn id="6" name="не голосували" totalsRowFunction="sum" dataDxfId="297" totalsRowDxfId="296"/>
  </tableColumns>
  <tableStyleInfo name="TableStyleLight2" showFirstColumn="0" showLastColumn="0" showRowStripes="1" showColumnStripes="0"/>
</table>
</file>

<file path=xl/tables/table57.xml><?xml version="1.0" encoding="utf-8"?>
<table xmlns="http://schemas.openxmlformats.org/spreadsheetml/2006/main" id="62" name="Таблица245678910111718192021222324252627282930313233343536373839404142434445464748495051525354555657585960616263" displayName="Таблица245678910111718192021222324252627282930313233343536373839404142434445464748495051525354555657585960616263" ref="A2:F30" totalsRowCount="1" headerRowDxfId="295" dataDxfId="294">
  <autoFilter ref="A2:F29"/>
  <sortState ref="A3:G28">
    <sortCondition descending="1" ref="B1:B27"/>
  </sortState>
  <tableColumns count="6">
    <tableColumn id="1" name="№ п/п" totalsRowLabel="Всього" dataDxfId="293" totalsRowDxfId="29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91" totalsRowDxfId="29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89" totalsRowDxfId="288"/>
    <tableColumn id="4" name="Проти" totalsRowFunction="sum" dataDxfId="287" totalsRowDxfId="286"/>
    <tableColumn id="5" name="Утрим" totalsRowFunction="sum" dataDxfId="285" totalsRowDxfId="284"/>
    <tableColumn id="6" name="не голосували" totalsRowFunction="sum" dataDxfId="283" totalsRowDxfId="282"/>
  </tableColumns>
  <tableStyleInfo name="TableStyleLight2" showFirstColumn="0" showLastColumn="0" showRowStripes="1" showColumnStripes="0"/>
</table>
</file>

<file path=xl/tables/table58.xml><?xml version="1.0" encoding="utf-8"?>
<table xmlns="http://schemas.openxmlformats.org/spreadsheetml/2006/main" id="64" name="Таблица2456789101117181920212223242526272829303132333435363738394041424344454647484950515253545556575859606162636465" displayName="Таблица2456789101117181920212223242526272829303132333435363738394041424344454647484950515253545556575859606162636465" ref="A2:F30" totalsRowCount="1" headerRowDxfId="281" dataDxfId="280">
  <autoFilter ref="A2:F29"/>
  <sortState ref="A3:G28">
    <sortCondition descending="1" ref="B1:B27"/>
  </sortState>
  <tableColumns count="6">
    <tableColumn id="1" name="№ п/п" totalsRowLabel="Всього" dataDxfId="279" totalsRowDxfId="27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77" totalsRowDxfId="27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75" totalsRowDxfId="274"/>
    <tableColumn id="4" name="Проти" totalsRowFunction="sum" dataDxfId="273" totalsRowDxfId="272"/>
    <tableColumn id="5" name="Утрим" totalsRowFunction="sum" dataDxfId="271" totalsRowDxfId="270"/>
    <tableColumn id="6" name="не голосували" totalsRowFunction="sum" dataDxfId="269" totalsRowDxfId="268"/>
  </tableColumns>
  <tableStyleInfo name="TableStyleLight2" showFirstColumn="0" showLastColumn="0" showRowStripes="1" showColumnStripes="0"/>
</table>
</file>

<file path=xl/tables/table59.xml><?xml version="1.0" encoding="utf-8"?>
<table xmlns="http://schemas.openxmlformats.org/spreadsheetml/2006/main" id="63" name="Таблица24567891011171819202122232425262728293031323334353637383940414243444546474849505152535455565758596061626364" displayName="Таблица24567891011171819202122232425262728293031323334353637383940414243444546474849505152535455565758596061626364" ref="A2:F30" totalsRowCount="1" headerRowDxfId="267" dataDxfId="266">
  <autoFilter ref="A2:F29"/>
  <sortState ref="A3:G28">
    <sortCondition descending="1" ref="B1:B27"/>
  </sortState>
  <tableColumns count="6">
    <tableColumn id="1" name="№ п/п" totalsRowLabel="Всього" dataDxfId="265" totalsRowDxfId="26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63" totalsRowDxfId="26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61" totalsRowDxfId="260"/>
    <tableColumn id="4" name="Проти" totalsRowFunction="sum" dataDxfId="259" totalsRowDxfId="258"/>
    <tableColumn id="5" name="Утрим" totalsRowFunction="sum" dataDxfId="257" totalsRowDxfId="256"/>
    <tableColumn id="6" name="не голосували" totalsRowFunction="sum" dataDxfId="255" totalsRowDxfId="25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Таблица24567" displayName="Таблица24567" ref="A2:F30" totalsRowCount="1" headerRowDxfId="1009" dataDxfId="1008">
  <autoFilter ref="A2:F29"/>
  <sortState ref="A3:G28">
    <sortCondition descending="1" ref="B1:B27"/>
  </sortState>
  <tableColumns count="6">
    <tableColumn id="1" name="№ п/п" totalsRowLabel="Всього" dataDxfId="1007" totalsRowDxfId="100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05" totalsRowDxfId="100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03" totalsRowDxfId="1002"/>
    <tableColumn id="4" name="Проти" totalsRowFunction="sum" dataDxfId="1001" totalsRowDxfId="1000"/>
    <tableColumn id="5" name="Утрим" totalsRowFunction="sum" dataDxfId="999" totalsRowDxfId="998"/>
    <tableColumn id="6" name="не голосували" totalsRowFunction="sum" dataDxfId="997" totalsRowDxfId="996"/>
  </tableColumns>
  <tableStyleInfo name="TableStyleLight2" showFirstColumn="0" showLastColumn="0" showRowStripes="1" showColumnStripes="0"/>
</table>
</file>

<file path=xl/tables/table60.xml><?xml version="1.0" encoding="utf-8"?>
<table xmlns="http://schemas.openxmlformats.org/spreadsheetml/2006/main" id="65" name="Таблица2456789101117181920212223242526272829303132333435363738394041424344454647484950515253545556575859606162636466" displayName="Таблица2456789101117181920212223242526272829303132333435363738394041424344454647484950515253545556575859606162636466" ref="A2:F30" totalsRowCount="1" headerRowDxfId="253" dataDxfId="252">
  <autoFilter ref="A2:F29"/>
  <sortState ref="A3:G28">
    <sortCondition descending="1" ref="B1:B27"/>
  </sortState>
  <tableColumns count="6">
    <tableColumn id="1" name="№ п/п" totalsRowLabel="Всього" dataDxfId="251" totalsRowDxfId="25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49" totalsRowDxfId="24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47" totalsRowDxfId="246"/>
    <tableColumn id="4" name="Проти" totalsRowFunction="sum" dataDxfId="245" totalsRowDxfId="244"/>
    <tableColumn id="5" name="Утрим" totalsRowFunction="sum" dataDxfId="243" totalsRowDxfId="242"/>
    <tableColumn id="6" name="не голосували" totalsRowFunction="sum" dataDxfId="241" totalsRowDxfId="240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id="66" name="Таблица245678910111718192021222324252627282930313233343536373839404142434445464748495051525354555657585960616263646667" displayName="Таблица245678910111718192021222324252627282930313233343536373839404142434445464748495051525354555657585960616263646667" ref="A2:F30" totalsRowCount="1" headerRowDxfId="239" dataDxfId="238">
  <autoFilter ref="A2:F29"/>
  <sortState ref="A3:G28">
    <sortCondition descending="1" ref="B1:B27"/>
  </sortState>
  <tableColumns count="6">
    <tableColumn id="1" name="№ п/п" totalsRowLabel="Всього" dataDxfId="237" totalsRowDxfId="23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35" totalsRowDxfId="23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33" totalsRowDxfId="232"/>
    <tableColumn id="4" name="Проти" totalsRowFunction="sum" dataDxfId="231" totalsRowDxfId="230"/>
    <tableColumn id="5" name="Утрим" totalsRowFunction="sum" dataDxfId="229" totalsRowDxfId="228"/>
    <tableColumn id="6" name="не голосували" totalsRowFunction="sum" dataDxfId="227" totalsRowDxfId="226"/>
  </tableColumns>
  <tableStyleInfo name="TableStyleLight2" showFirstColumn="0" showLastColumn="0" showRowStripes="1" showColumnStripes="0"/>
</table>
</file>

<file path=xl/tables/table62.xml><?xml version="1.0" encoding="utf-8"?>
<table xmlns="http://schemas.openxmlformats.org/spreadsheetml/2006/main" id="67" name="Таблица24567891011171819202122232425262728293031323334353637383940414243444546474849505152535455565758596061626364666768" displayName="Таблица24567891011171819202122232425262728293031323334353637383940414243444546474849505152535455565758596061626364666768" ref="A2:F30" totalsRowCount="1" headerRowDxfId="225" dataDxfId="224">
  <autoFilter ref="A2:F29"/>
  <sortState ref="A3:G28">
    <sortCondition descending="1" ref="B1:B27"/>
  </sortState>
  <tableColumns count="6">
    <tableColumn id="1" name="№ п/п" totalsRowLabel="Всього" dataDxfId="223" totalsRowDxfId="22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21" totalsRowDxfId="22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19" totalsRowDxfId="218"/>
    <tableColumn id="4" name="Проти" totalsRowFunction="sum" dataDxfId="217" totalsRowDxfId="216"/>
    <tableColumn id="5" name="Утрим" totalsRowFunction="sum" dataDxfId="215" totalsRowDxfId="214"/>
    <tableColumn id="6" name="не голосували" totalsRowFunction="sum" dataDxfId="213" totalsRowDxfId="212"/>
  </tableColumns>
  <tableStyleInfo name="TableStyleLight2" showFirstColumn="0" showLastColumn="0" showRowStripes="1" showColumnStripes="0"/>
</table>
</file>

<file path=xl/tables/table63.xml><?xml version="1.0" encoding="utf-8"?>
<table xmlns="http://schemas.openxmlformats.org/spreadsheetml/2006/main" id="68" name="Таблица2456789101117181920212223242526272829303132333435363738394041424344454647484950515253545556575859606162636466676869" displayName="Таблица2456789101117181920212223242526272829303132333435363738394041424344454647484950515253545556575859606162636466676869" ref="A2:F30" totalsRowCount="1" headerRowDxfId="211" dataDxfId="210">
  <autoFilter ref="A2:F29"/>
  <sortState ref="A3:G28">
    <sortCondition descending="1" ref="B1:B27"/>
  </sortState>
  <tableColumns count="6">
    <tableColumn id="1" name="№ п/п" totalsRowLabel="Всього" dataDxfId="209" totalsRowDxfId="20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07" totalsRowDxfId="20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05" totalsRowDxfId="204"/>
    <tableColumn id="4" name="Проти" totalsRowFunction="sum" dataDxfId="203" totalsRowDxfId="202"/>
    <tableColumn id="5" name="Утрим" totalsRowFunction="sum" dataDxfId="201" totalsRowDxfId="200"/>
    <tableColumn id="6" name="не голосували" totalsRowFunction="sum" dataDxfId="199" totalsRowDxfId="198"/>
  </tableColumns>
  <tableStyleInfo name="TableStyleLight2" showFirstColumn="0" showLastColumn="0" showRowStripes="1" showColumnStripes="0"/>
</table>
</file>

<file path=xl/tables/table64.xml><?xml version="1.0" encoding="utf-8"?>
<table xmlns="http://schemas.openxmlformats.org/spreadsheetml/2006/main" id="69" name="Таблица245678910111718192021222324252627282930313233343536373839404142434445464748495051525354555657585960616263646667686970" displayName="Таблица245678910111718192021222324252627282930313233343536373839404142434445464748495051525354555657585960616263646667686970" ref="A2:F30" totalsRowCount="1" headerRowDxfId="197" dataDxfId="196">
  <autoFilter ref="A2:F29"/>
  <sortState ref="A3:G28">
    <sortCondition descending="1" ref="B1:B27"/>
  </sortState>
  <tableColumns count="6">
    <tableColumn id="1" name="№ п/п" totalsRowLabel="Всього" dataDxfId="195" totalsRowDxfId="19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93" totalsRowDxfId="19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91" totalsRowDxfId="190"/>
    <tableColumn id="4" name="Проти" totalsRowFunction="sum" dataDxfId="189" totalsRowDxfId="188"/>
    <tableColumn id="5" name="Утрим" totalsRowFunction="sum" dataDxfId="187" totalsRowDxfId="186"/>
    <tableColumn id="6" name="не голосували" totalsRowFunction="sum" dataDxfId="185" totalsRowDxfId="184"/>
  </tableColumns>
  <tableStyleInfo name="TableStyleLight2" showFirstColumn="0" showLastColumn="0" showRowStripes="1" showColumnStripes="0"/>
</table>
</file>

<file path=xl/tables/table65.xml><?xml version="1.0" encoding="utf-8"?>
<table xmlns="http://schemas.openxmlformats.org/spreadsheetml/2006/main" id="70" name="Таблица24567891011171819202122232425262728293031323334353637383940414243444546474849505152535455565758596061626364666768697071" displayName="Таблица24567891011171819202122232425262728293031323334353637383940414243444546474849505152535455565758596061626364666768697071" ref="A2:F30" totalsRowCount="1" headerRowDxfId="183" dataDxfId="182">
  <autoFilter ref="A2:F29"/>
  <sortState ref="A3:G28">
    <sortCondition descending="1" ref="B1:B27"/>
  </sortState>
  <tableColumns count="6">
    <tableColumn id="1" name="№ п/п" totalsRowLabel="Всього" dataDxfId="181" totalsRowDxfId="18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79" totalsRowDxfId="17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77" totalsRowDxfId="176"/>
    <tableColumn id="4" name="Проти" totalsRowFunction="sum" dataDxfId="175" totalsRowDxfId="174"/>
    <tableColumn id="5" name="Утрим" totalsRowFunction="sum" dataDxfId="173" totalsRowDxfId="172"/>
    <tableColumn id="6" name="не голосували" totalsRowFunction="sum" dataDxfId="171" totalsRowDxfId="170"/>
  </tableColumns>
  <tableStyleInfo name="TableStyleLight2" showFirstColumn="0" showLastColumn="0" showRowStripes="1" showColumnStripes="0"/>
</table>
</file>

<file path=xl/tables/table66.xml><?xml version="1.0" encoding="utf-8"?>
<table xmlns="http://schemas.openxmlformats.org/spreadsheetml/2006/main" id="72" name="Таблица2456789101117181920212223242526272829303132333435363738394041424344454647484950515253545556575859606162636466676869707173" displayName="Таблица2456789101117181920212223242526272829303132333435363738394041424344454647484950515253545556575859606162636466676869707173" ref="A2:F30" totalsRowCount="1" headerRowDxfId="169" dataDxfId="168">
  <autoFilter ref="A2:F29"/>
  <sortState ref="A3:G28">
    <sortCondition descending="1" ref="B1:B27"/>
  </sortState>
  <tableColumns count="6">
    <tableColumn id="1" name="№ п/п" totalsRowLabel="Всього" dataDxfId="167" totalsRowDxfId="16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65" totalsRowDxfId="16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63" totalsRowDxfId="162"/>
    <tableColumn id="4" name="Проти" totalsRowFunction="sum" dataDxfId="161" totalsRowDxfId="160"/>
    <tableColumn id="5" name="Утрим" totalsRowFunction="sum" dataDxfId="159" totalsRowDxfId="158"/>
    <tableColumn id="6" name="не голосували" totalsRowFunction="sum" dataDxfId="157" totalsRowDxfId="156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id="73" name="Таблица245678910111718192021222324252627282930313233343536373839404142434445464748495051525354555657585960616263646667686970717374" displayName="Таблица245678910111718192021222324252627282930313233343536373839404142434445464748495051525354555657585960616263646667686970717374" ref="A2:F30" totalsRowCount="1" headerRowDxfId="155" dataDxfId="154">
  <autoFilter ref="A2:F29"/>
  <sortState ref="A3:G28">
    <sortCondition descending="1" ref="B1:B27"/>
  </sortState>
  <tableColumns count="6">
    <tableColumn id="1" name="№ п/п" totalsRowLabel="Всього" dataDxfId="153" totalsRowDxfId="15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51" totalsRowDxfId="15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49" totalsRowDxfId="148"/>
    <tableColumn id="4" name="Проти" totalsRowFunction="sum" dataDxfId="147" totalsRowDxfId="146"/>
    <tableColumn id="5" name="Утрим" totalsRowFunction="sum" dataDxfId="145" totalsRowDxfId="144"/>
    <tableColumn id="6" name="не голосували" totalsRowFunction="sum" dataDxfId="143" totalsRowDxfId="142"/>
  </tableColumns>
  <tableStyleInfo name="TableStyleLight2" showFirstColumn="0" showLastColumn="0" showRowStripes="1" showColumnStripes="0"/>
</table>
</file>

<file path=xl/tables/table68.xml><?xml version="1.0" encoding="utf-8"?>
<table xmlns="http://schemas.openxmlformats.org/spreadsheetml/2006/main" id="71" name="Таблица24567891011171819202122232425262728293031323334353637383940414243444546474849505152535455565758596061626364666768697071737472" displayName="Таблица24567891011171819202122232425262728293031323334353637383940414243444546474849505152535455565758596061626364666768697071737472" ref="A2:F30" totalsRowCount="1" headerRowDxfId="141" dataDxfId="140">
  <autoFilter ref="A2:F29"/>
  <sortState ref="A3:G28">
    <sortCondition descending="1" ref="B1:B27"/>
  </sortState>
  <tableColumns count="6">
    <tableColumn id="1" name="№ п/п" totalsRowLabel="Всього" dataDxfId="139" totalsRowDxfId="13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37" totalsRowDxfId="13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35" totalsRowDxfId="134"/>
    <tableColumn id="4" name="Проти" totalsRowFunction="sum" dataDxfId="133" totalsRowDxfId="132"/>
    <tableColumn id="5" name="Утрим" totalsRowFunction="sum" dataDxfId="131" totalsRowDxfId="130"/>
    <tableColumn id="6" name="не голосували" totalsRowFunction="sum" dataDxfId="129" totalsRowDxfId="128"/>
  </tableColumns>
  <tableStyleInfo name="TableStyleLight2" showFirstColumn="0" showLastColumn="0" showRowStripes="1" showColumnStripes="0"/>
</table>
</file>

<file path=xl/tables/table69.xml><?xml version="1.0" encoding="utf-8"?>
<table xmlns="http://schemas.openxmlformats.org/spreadsheetml/2006/main" id="74" name="Таблица2456789101117181920212223242526272829303132333435363738394041424344454647484950515253545556575859606162636466676869707173747275" displayName="Таблица2456789101117181920212223242526272829303132333435363738394041424344454647484950515253545556575859606162636466676869707173747275" ref="A2:F30" totalsRowCount="1" headerRowDxfId="127" dataDxfId="126">
  <autoFilter ref="A2:F29"/>
  <sortState ref="A3:G28">
    <sortCondition descending="1" ref="B1:B27"/>
  </sortState>
  <tableColumns count="6">
    <tableColumn id="1" name="№ п/п" totalsRowLabel="Всього" dataDxfId="125" totalsRowDxfId="12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23" totalsRowDxfId="1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21" totalsRowDxfId="120"/>
    <tableColumn id="4" name="Проти" totalsRowFunction="sum" dataDxfId="119" totalsRowDxfId="118"/>
    <tableColumn id="5" name="Утрим" totalsRowFunction="sum" dataDxfId="117" totalsRowDxfId="116"/>
    <tableColumn id="6" name="не голосували" totalsRowFunction="sum" dataDxfId="115" totalsRowDxfId="114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Таблица245678" displayName="Таблица245678" ref="A2:F30" totalsRowCount="1" headerRowDxfId="995" dataDxfId="994">
  <autoFilter ref="A2:F29"/>
  <sortState ref="A3:G28">
    <sortCondition descending="1" ref="B1:B27"/>
  </sortState>
  <tableColumns count="6">
    <tableColumn id="1" name="№ п/п" totalsRowLabel="Всього" dataDxfId="993" totalsRowDxfId="99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91" totalsRowDxfId="99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89" totalsRowDxfId="988"/>
    <tableColumn id="4" name="Проти" totalsRowFunction="sum" dataDxfId="987" totalsRowDxfId="986"/>
    <tableColumn id="5" name="Утрим" totalsRowFunction="sum" dataDxfId="985" totalsRowDxfId="984"/>
    <tableColumn id="6" name="не голосували" totalsRowFunction="sum" dataDxfId="983" totalsRowDxfId="982"/>
  </tableColumns>
  <tableStyleInfo name="TableStyleLight2" showFirstColumn="0" showLastColumn="0" showRowStripes="1" showColumnStripes="0"/>
</table>
</file>

<file path=xl/tables/table70.xml><?xml version="1.0" encoding="utf-8"?>
<table xmlns="http://schemas.openxmlformats.org/spreadsheetml/2006/main" id="75" name="Таблица245678910111718192021222324252627282930313233343536373839404142434445464748495051525354555657585960616263646667686970717374727576" displayName="Таблица245678910111718192021222324252627282930313233343536373839404142434445464748495051525354555657585960616263646667686970717374727576" ref="A2:F30" totalsRowCount="1" headerRowDxfId="113" dataDxfId="112">
  <autoFilter ref="A2:F29"/>
  <sortState ref="A3:G28">
    <sortCondition descending="1" ref="B1:B27"/>
  </sortState>
  <tableColumns count="6">
    <tableColumn id="1" name="№ п/п" totalsRowLabel="Всього" dataDxfId="111" totalsRowDxfId="110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9" totalsRowDxfId="10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7" totalsRowDxfId="106"/>
    <tableColumn id="4" name="Проти" totalsRowFunction="sum" dataDxfId="105" totalsRowDxfId="104"/>
    <tableColumn id="5" name="Утрим" totalsRowFunction="sum" dataDxfId="103" totalsRowDxfId="102"/>
    <tableColumn id="6" name="не голосували" totalsRowFunction="sum" dataDxfId="101" totalsRowDxfId="100"/>
  </tableColumns>
  <tableStyleInfo name="TableStyleLight2" showFirstColumn="0" showLastColumn="0" showRowStripes="1" showColumnStripes="0"/>
</table>
</file>

<file path=xl/tables/table71.xml><?xml version="1.0" encoding="utf-8"?>
<table xmlns="http://schemas.openxmlformats.org/spreadsheetml/2006/main" id="76" name="Таблица24567891011171819202122232425262728293031323334353637383940414243444546474849505152535455565758596061626364666768697071737472757677" displayName="Таблица24567891011171819202122232425262728293031323334353637383940414243444546474849505152535455565758596061626364666768697071737472757677" ref="A2:F30" totalsRowCount="1" headerRowDxfId="99" dataDxfId="98">
  <autoFilter ref="A2:F29"/>
  <sortState ref="A3:G28">
    <sortCondition descending="1" ref="B1:B27"/>
  </sortState>
  <tableColumns count="6">
    <tableColumn id="1" name="№ п/п" totalsRowLabel="Всього" dataDxfId="97" totalsRowDxfId="9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5" totalsRowDxfId="9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3" totalsRowDxfId="92"/>
    <tableColumn id="4" name="Проти" totalsRowFunction="sum" dataDxfId="91" totalsRowDxfId="90"/>
    <tableColumn id="5" name="Утрим" totalsRowFunction="sum" dataDxfId="89" totalsRowDxfId="88"/>
    <tableColumn id="6" name="не голосували" totalsRowFunction="sum" dataDxfId="87" totalsRowDxfId="86"/>
  </tableColumns>
  <tableStyleInfo name="TableStyleLight2" showFirstColumn="0" showLastColumn="0" showRowStripes="1" showColumnStripes="0"/>
</table>
</file>

<file path=xl/tables/table72.xml><?xml version="1.0" encoding="utf-8"?>
<table xmlns="http://schemas.openxmlformats.org/spreadsheetml/2006/main" id="11" name="Таблица256789101112" displayName="Таблица256789101112" ref="A2:F30" totalsRowCount="1" headerRowDxfId="85" dataDxfId="84">
  <autoFilter ref="A2:F29"/>
  <sortState ref="A2:G27">
    <sortCondition descending="1" ref="B1:B27"/>
  </sortState>
  <tableColumns count="6">
    <tableColumn id="1" name="№ п/п" totalsRowLabel="Всього" dataDxfId="83" totalsRowDxfId="8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0" totalsRowDxfId="79"/>
    <tableColumn id="4" name="Проти" totalsRowFunction="sum" dataDxfId="78" totalsRowDxfId="77"/>
    <tableColumn id="5" name="Утрим" totalsRowFunction="sum" dataDxfId="76" totalsRowDxfId="75"/>
    <tableColumn id="6" name="не голосували" totalsRowFunction="sum" dataDxfId="74" totalsRowDxfId="73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id="14" name="Таблица256789101112131415" displayName="Таблица256789101112131415" ref="A2:F30" totalsRowCount="1" headerRowDxfId="72" dataDxfId="71">
  <autoFilter ref="A2:F29"/>
  <sortState ref="A2:G27">
    <sortCondition descending="1" ref="B1:B27"/>
  </sortState>
  <tableColumns count="6">
    <tableColumn id="1" name="№ п/п" totalsRowLabel="Всього" dataDxfId="70" totalsRowDxfId="6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8" totalsRowDxfId="67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6" totalsRowDxfId="65"/>
    <tableColumn id="4" name="Проти" totalsRowFunction="sum" dataDxfId="64" totalsRowDxfId="63"/>
    <tableColumn id="5" name="Утрим" totalsRowFunction="sum" dataDxfId="62" totalsRowDxfId="61"/>
    <tableColumn id="6" name="не голосували" totalsRowFunction="sum" dataDxfId="60" totalsRowDxfId="59"/>
  </tableColumns>
  <tableStyleInfo name="TableStyleLight2" showFirstColumn="0" showLastColumn="0" showRowStripes="1" showColumnStripes="0"/>
</table>
</file>

<file path=xl/tables/table74.xml><?xml version="1.0" encoding="utf-8"?>
<table xmlns="http://schemas.openxmlformats.org/spreadsheetml/2006/main" id="13" name="Таблица2567891011121314" displayName="Таблица2567891011121314" ref="A2:F30" totalsRowCount="1" headerRowDxfId="58" dataDxfId="57">
  <autoFilter ref="A2:F29"/>
  <sortState ref="A2:G27">
    <sortCondition descending="1" ref="B1:B27"/>
  </sortState>
  <tableColumns count="6">
    <tableColumn id="1" name="№ п/п" totalsRowLabel="Всього" dataDxfId="56" totalsRowDxfId="5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4" totalsRowDxfId="53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2" totalsRowDxfId="51"/>
    <tableColumn id="4" name="Проти" totalsRowFunction="sum" dataDxfId="50" totalsRowDxfId="49"/>
    <tableColumn id="5" name="Утрим" totalsRowFunction="sum" dataDxfId="48" totalsRowDxfId="47"/>
    <tableColumn id="6" name="не голосували" totalsRowFunction="sum" dataDxfId="46" totalsRowDxfId="45"/>
  </tableColumns>
  <tableStyleInfo name="TableStyleLight2" showFirstColumn="0" showLastColumn="0" showRowStripes="1" showColumnStripes="0"/>
</table>
</file>

<file path=xl/tables/table75.xml><?xml version="1.0" encoding="utf-8"?>
<table xmlns="http://schemas.openxmlformats.org/spreadsheetml/2006/main" id="15" name="Таблица2567891011121316" displayName="Таблица2567891011121316" ref="A2:F30" totalsRowCount="1" headerRowDxfId="44" dataDxfId="43">
  <autoFilter ref="A2:F29"/>
  <sortState ref="A2:G27">
    <sortCondition descending="1" ref="B1:B27"/>
  </sortState>
  <tableColumns count="6">
    <tableColumn id="1" name="№ п/п" totalsRowLabel="Всього" dataDxfId="42" totalsRowDxfId="4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0" totalsRowDxfId="3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8" totalsRowDxfId="37"/>
    <tableColumn id="4" name="Проти" totalsRowFunction="sum" dataDxfId="36" totalsRowDxfId="35"/>
    <tableColumn id="5" name="Утрим" totalsRowFunction="sum" dataDxfId="34" totalsRowDxfId="33"/>
    <tableColumn id="6" name="не голосували" totalsRowFunction="sum" dataDxfId="32" totalsRowDxfId="31"/>
  </tableColumns>
  <tableStyleInfo name="TableStyleLight2" showFirstColumn="0" showLastColumn="0" showRowStripes="1" showColumnStripes="0"/>
</table>
</file>

<file path=xl/tables/table76.xml><?xml version="1.0" encoding="utf-8"?>
<table xmlns="http://schemas.openxmlformats.org/spreadsheetml/2006/main" id="12" name="Таблица25678910111213" displayName="Таблица25678910111213" ref="A2:F30" totalsRowCount="1" headerRowDxfId="30" dataDxfId="29">
  <autoFilter ref="A2:F29"/>
  <sortState ref="A2:G27">
    <sortCondition descending="1" ref="B1:B27"/>
  </sortState>
  <tableColumns count="6">
    <tableColumn id="1" name="№ п/п" totalsRowLabel="Всього" dataDxfId="28" totalsRowDxfId="2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26" totalsRowDxfId="2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24" totalsRowDxfId="23"/>
    <tableColumn id="4" name="Проти" totalsRowFunction="sum" dataDxfId="22" totalsRowDxfId="21"/>
    <tableColumn id="5" name="Утрим" totalsRowFunction="sum" dataDxfId="20" totalsRowDxfId="19"/>
    <tableColumn id="6" name="не голосували" totalsRowFunction="sum" dataDxfId="18" totalsRowDxfId="17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Таблица2456789" displayName="Таблица2456789" ref="A2:F30" totalsRowCount="1" headerRowDxfId="981" dataDxfId="980">
  <autoFilter ref="A2:F29"/>
  <sortState ref="A3:G28">
    <sortCondition descending="1" ref="B1:B27"/>
  </sortState>
  <tableColumns count="6">
    <tableColumn id="1" name="№ п/п" totalsRowLabel="Всього" dataDxfId="979" totalsRowDxfId="97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77" totalsRowDxfId="97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75" totalsRowDxfId="974"/>
    <tableColumn id="4" name="Проти" totalsRowFunction="sum" dataDxfId="973" totalsRowDxfId="972"/>
    <tableColumn id="5" name="Утрим" totalsRowFunction="sum" dataDxfId="971" totalsRowDxfId="970"/>
    <tableColumn id="6" name="не голосували" totalsRowFunction="sum" dataDxfId="969" totalsRowDxfId="968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Таблица245678910" displayName="Таблица245678910" ref="A2:F30" totalsRowCount="1" headerRowDxfId="967" dataDxfId="966">
  <autoFilter ref="A2:F29"/>
  <sortState ref="A3:G28">
    <sortCondition descending="1" ref="B1:B27"/>
  </sortState>
  <tableColumns count="6">
    <tableColumn id="1" name="№ п/п" totalsRowLabel="Всього" dataDxfId="965" totalsRowDxfId="96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63" totalsRowDxfId="96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61" totalsRowDxfId="960"/>
    <tableColumn id="4" name="Проти" totalsRowFunction="sum" dataDxfId="959" totalsRowDxfId="958"/>
    <tableColumn id="5" name="Утрим" totalsRowFunction="sum" dataDxfId="957" totalsRowDxfId="956"/>
    <tableColumn id="6" name="не голосували" totalsRowFunction="sum" dataDxfId="955" totalsRowDxfId="95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BreakPreview" topLeftCell="B7" zoomScale="85" zoomScaleNormal="100" zoomScaleSheetLayoutView="85" workbookViewId="0">
      <selection activeCell="C23" sqref="C23"/>
    </sheetView>
  </sheetViews>
  <sheetFormatPr defaultRowHeight="15" x14ac:dyDescent="0.25"/>
  <cols>
    <col min="3" max="3" width="44.140625" customWidth="1"/>
    <col min="4" max="4" width="11.85546875" customWidth="1"/>
    <col min="5" max="5" width="11.42578125" bestFit="1" customWidth="1"/>
    <col min="6" max="6" width="25.28515625" customWidth="1"/>
  </cols>
  <sheetData>
    <row r="2" spans="1:6" ht="35.2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t="s">
        <v>17</v>
      </c>
    </row>
    <row r="3" spans="1:6" ht="16.5" thickBot="1" x14ac:dyDescent="0.3">
      <c r="A3" s="6">
        <f>IF(ISBLANK(F3),"",COUNTA($F$3:F3))</f>
        <v>1</v>
      </c>
      <c r="B3" s="7"/>
      <c r="C3" s="40" t="s">
        <v>15</v>
      </c>
      <c r="D3" s="8" t="s">
        <v>6</v>
      </c>
      <c r="E3" s="17">
        <f>IF(Таблица1[[#This Row],[явка]]="прибув",1,"")</f>
        <v>1</v>
      </c>
      <c r="F3" s="19" t="s">
        <v>16</v>
      </c>
    </row>
    <row r="4" spans="1:6" ht="16.5" thickBot="1" x14ac:dyDescent="0.3">
      <c r="A4" s="6">
        <f>IF(ISBLANK(B4),"",COUNTA($B$3:B4))</f>
        <v>1</v>
      </c>
      <c r="B4" s="7">
        <v>5</v>
      </c>
      <c r="C4" s="40" t="s">
        <v>30</v>
      </c>
      <c r="D4" s="8" t="s">
        <v>6</v>
      </c>
      <c r="E4" s="8">
        <f>IF(Таблица1[[#This Row],[явка]]="прибув",1,"")</f>
        <v>1</v>
      </c>
      <c r="F4" s="19"/>
    </row>
    <row r="5" spans="1:6" ht="16.5" thickBot="1" x14ac:dyDescent="0.3">
      <c r="A5" s="6">
        <f>IF(ISBLANK(B5),"",COUNTA($B$3:B5))</f>
        <v>2</v>
      </c>
      <c r="B5" s="7">
        <v>11</v>
      </c>
      <c r="C5" s="40" t="s">
        <v>34</v>
      </c>
      <c r="D5" s="8" t="s">
        <v>6</v>
      </c>
      <c r="E5" s="8">
        <f>IF(Таблица1[[#This Row],[явка]]="прибув",1,"")</f>
        <v>1</v>
      </c>
      <c r="F5" s="19"/>
    </row>
    <row r="6" spans="1:6" ht="16.5" thickBot="1" x14ac:dyDescent="0.3">
      <c r="A6" s="6">
        <f>IF(ISBLANK(B6),"",COUNTA($B$3:B6))</f>
        <v>3</v>
      </c>
      <c r="B6" s="7">
        <v>18</v>
      </c>
      <c r="C6" s="40" t="s">
        <v>41</v>
      </c>
      <c r="D6" s="8" t="s">
        <v>6</v>
      </c>
      <c r="E6" s="8">
        <f>IF(Таблица1[[#This Row],[явка]]="прибув",1,"")</f>
        <v>1</v>
      </c>
      <c r="F6" s="19"/>
    </row>
    <row r="7" spans="1:6" ht="16.5" thickBot="1" x14ac:dyDescent="0.3">
      <c r="A7" s="6">
        <f>IF(ISBLANK(B7),"",COUNTA($B$3:B7))</f>
        <v>4</v>
      </c>
      <c r="B7" s="7">
        <v>24</v>
      </c>
      <c r="C7" s="40" t="s">
        <v>47</v>
      </c>
      <c r="D7" s="8" t="s">
        <v>6</v>
      </c>
      <c r="E7" s="8">
        <f>IF(Таблица1[[#This Row],[явка]]="прибув",1,"")</f>
        <v>1</v>
      </c>
      <c r="F7" s="19"/>
    </row>
    <row r="8" spans="1:6" ht="16.5" thickBot="1" x14ac:dyDescent="0.3">
      <c r="A8" s="6">
        <f>IF(ISBLANK(B8),"",COUNTA($B$3:B8))</f>
        <v>5</v>
      </c>
      <c r="B8" s="7">
        <v>8</v>
      </c>
      <c r="C8" s="40" t="s">
        <v>32</v>
      </c>
      <c r="D8" s="8" t="s">
        <v>6</v>
      </c>
      <c r="E8" s="8">
        <f>IF(Таблица1[[#This Row],[явка]]="прибув",1,"")</f>
        <v>1</v>
      </c>
      <c r="F8" s="19"/>
    </row>
    <row r="9" spans="1:6" ht="16.5" thickBot="1" x14ac:dyDescent="0.3">
      <c r="A9" s="6">
        <f>IF(ISBLANK(B9),"",COUNTA($B$3:B9))</f>
        <v>6</v>
      </c>
      <c r="B9" s="7">
        <v>4</v>
      </c>
      <c r="C9" s="40" t="s">
        <v>29</v>
      </c>
      <c r="D9" s="8" t="s">
        <v>6</v>
      </c>
      <c r="E9" s="8">
        <f>IF(Таблица1[[#This Row],[явка]]="прибув",1,"")</f>
        <v>1</v>
      </c>
      <c r="F9" s="19"/>
    </row>
    <row r="10" spans="1:6" ht="16.5" thickBot="1" x14ac:dyDescent="0.3">
      <c r="A10" s="6">
        <f>IF(ISBLANK(B10),"",COUNTA($B$3:B10))</f>
        <v>7</v>
      </c>
      <c r="B10" s="7">
        <v>22</v>
      </c>
      <c r="C10" s="40" t="s">
        <v>45</v>
      </c>
      <c r="D10" s="8" t="s">
        <v>6</v>
      </c>
      <c r="E10" s="8">
        <f>IF(Таблица1[[#This Row],[явка]]="прибув",1,"")</f>
        <v>1</v>
      </c>
      <c r="F10" s="19"/>
    </row>
    <row r="11" spans="1:6" ht="16.5" thickBot="1" x14ac:dyDescent="0.3">
      <c r="A11" s="6">
        <f>IF(ISBLANK(B11),"",COUNTA($B$3:B11))</f>
        <v>8</v>
      </c>
      <c r="B11" s="7">
        <v>7</v>
      </c>
      <c r="C11" s="40" t="s">
        <v>31</v>
      </c>
      <c r="D11" s="8" t="s">
        <v>6</v>
      </c>
      <c r="E11" s="8">
        <f>IF(Таблица1[[#This Row],[явка]]="прибув",1,"")</f>
        <v>1</v>
      </c>
      <c r="F11" s="19"/>
    </row>
    <row r="12" spans="1:6" ht="16.5" thickBot="1" x14ac:dyDescent="0.3">
      <c r="A12" s="6">
        <f>IF(ISBLANK(B12),"",COUNTA($B$3:B12))</f>
        <v>9</v>
      </c>
      <c r="B12" s="7">
        <v>16</v>
      </c>
      <c r="C12" s="40" t="s">
        <v>39</v>
      </c>
      <c r="D12" s="8" t="s">
        <v>6</v>
      </c>
      <c r="E12" s="8">
        <f>IF(Таблица1[[#This Row],[явка]]="прибув",1,"")</f>
        <v>1</v>
      </c>
      <c r="F12" s="19"/>
    </row>
    <row r="13" spans="1:6" ht="16.5" thickBot="1" x14ac:dyDescent="0.3">
      <c r="A13" s="6">
        <f>IF(ISBLANK(B13),"",COUNTA($B$3:B13))</f>
        <v>10</v>
      </c>
      <c r="B13" s="18">
        <v>1</v>
      </c>
      <c r="C13" s="40" t="s">
        <v>5</v>
      </c>
      <c r="D13" s="8" t="s">
        <v>6</v>
      </c>
      <c r="E13" s="8">
        <f>IF(Таблица1[[#This Row],[явка]]="прибув",1,"")</f>
        <v>1</v>
      </c>
      <c r="F13" s="19"/>
    </row>
    <row r="14" spans="1:6" ht="16.5" thickBot="1" x14ac:dyDescent="0.3">
      <c r="A14" s="6">
        <f>IF(ISBLANK(B14),"",COUNTA($B$3:B14))</f>
        <v>11</v>
      </c>
      <c r="B14" s="7">
        <v>12</v>
      </c>
      <c r="C14" s="40" t="s">
        <v>35</v>
      </c>
      <c r="D14" s="8" t="s">
        <v>6</v>
      </c>
      <c r="E14" s="8">
        <f>IF(Таблица1[[#This Row],[явка]]="прибув",1,"")</f>
        <v>1</v>
      </c>
      <c r="F14" s="19"/>
    </row>
    <row r="15" spans="1:6" ht="16.5" thickBot="1" x14ac:dyDescent="0.3">
      <c r="A15" s="6">
        <f>IF(ISBLANK(B15),"",COUNTA($B$3:B15))</f>
        <v>12</v>
      </c>
      <c r="B15" s="7">
        <v>20</v>
      </c>
      <c r="C15" s="40" t="s">
        <v>43</v>
      </c>
      <c r="D15" s="8" t="s">
        <v>6</v>
      </c>
      <c r="E15" s="8">
        <f>IF(Таблица1[[#This Row],[явка]]="прибув",1,"")</f>
        <v>1</v>
      </c>
      <c r="F15" s="19"/>
    </row>
    <row r="16" spans="1:6" ht="16.5" thickBot="1" x14ac:dyDescent="0.3">
      <c r="A16" s="6">
        <f>IF(ISBLANK(B16),"",COUNTA($B$3:B16))</f>
        <v>13</v>
      </c>
      <c r="B16" s="7">
        <v>10</v>
      </c>
      <c r="C16" s="40" t="s">
        <v>8</v>
      </c>
      <c r="D16" s="8" t="s">
        <v>6</v>
      </c>
      <c r="E16" s="8">
        <f>IF(Таблица1[[#This Row],[явка]]="прибув",1,"")</f>
        <v>1</v>
      </c>
      <c r="F16" s="19"/>
    </row>
    <row r="17" spans="1:6" ht="16.5" thickBot="1" x14ac:dyDescent="0.3">
      <c r="A17" s="6">
        <f>IF(ISBLANK(B17),"",COUNTA($B$3:B17))</f>
        <v>14</v>
      </c>
      <c r="B17" s="7">
        <v>13</v>
      </c>
      <c r="C17" s="40" t="s">
        <v>36</v>
      </c>
      <c r="D17" s="8" t="s">
        <v>6</v>
      </c>
      <c r="E17" s="8">
        <f>IF(Таблица1[[#This Row],[явка]]="прибув",1,"")</f>
        <v>1</v>
      </c>
      <c r="F17" s="19"/>
    </row>
    <row r="18" spans="1:6" ht="16.5" thickBot="1" x14ac:dyDescent="0.3">
      <c r="A18" s="6">
        <f>IF(ISBLANK(B18),"",COUNTA($B$3:B18))</f>
        <v>15</v>
      </c>
      <c r="B18" s="7">
        <v>25</v>
      </c>
      <c r="C18" s="40" t="s">
        <v>48</v>
      </c>
      <c r="D18" s="8" t="s">
        <v>6</v>
      </c>
      <c r="E18" s="8">
        <f>IF(Таблица1[[#This Row],[явка]]="прибув",1,"")</f>
        <v>1</v>
      </c>
      <c r="F18" s="19"/>
    </row>
    <row r="19" spans="1:6" ht="16.5" thickBot="1" x14ac:dyDescent="0.3">
      <c r="A19" s="6">
        <f>IF(ISBLANK(B19),"",COUNTA($B$3:B19))</f>
        <v>16</v>
      </c>
      <c r="B19" s="7">
        <v>2</v>
      </c>
      <c r="C19" s="40" t="s">
        <v>10</v>
      </c>
      <c r="D19" s="8" t="s">
        <v>6</v>
      </c>
      <c r="E19" s="8">
        <f>IF(Таблица1[[#This Row],[явка]]="прибув",1,"")</f>
        <v>1</v>
      </c>
      <c r="F19" s="19"/>
    </row>
    <row r="20" spans="1:6" ht="16.5" thickBot="1" x14ac:dyDescent="0.3">
      <c r="A20" s="6">
        <f>IF(ISBLANK(B20),"",COUNTA($B$3:B20))</f>
        <v>17</v>
      </c>
      <c r="B20" s="7">
        <v>9</v>
      </c>
      <c r="C20" s="40" t="s">
        <v>33</v>
      </c>
      <c r="D20" s="8" t="s">
        <v>6</v>
      </c>
      <c r="E20" s="8">
        <f>IF(Таблица1[[#This Row],[явка]]="прибув",1,"")</f>
        <v>1</v>
      </c>
      <c r="F20" s="19"/>
    </row>
    <row r="21" spans="1:6" ht="16.5" thickBot="1" x14ac:dyDescent="0.3">
      <c r="A21" s="6">
        <f>IF(ISBLANK(B21),"",COUNTA($B$3:B21))</f>
        <v>18</v>
      </c>
      <c r="B21" s="7">
        <v>14</v>
      </c>
      <c r="C21" s="40" t="s">
        <v>37</v>
      </c>
      <c r="D21" s="8" t="s">
        <v>6</v>
      </c>
      <c r="E21" s="8">
        <f>IF(Таблица1[[#This Row],[явка]]="прибув",1,"")</f>
        <v>1</v>
      </c>
      <c r="F21" s="19"/>
    </row>
    <row r="22" spans="1:6" ht="16.5" thickBot="1" x14ac:dyDescent="0.3">
      <c r="A22" s="6">
        <f>IF(ISBLANK(B22),"",COUNTA($B$3:B22))</f>
        <v>19</v>
      </c>
      <c r="B22" s="7">
        <v>23</v>
      </c>
      <c r="C22" s="40" t="s">
        <v>46</v>
      </c>
      <c r="D22" s="8" t="s">
        <v>9</v>
      </c>
      <c r="E22" s="8" t="str">
        <f>IF(Таблица1[[#This Row],[явка]]="прибув",1,"")</f>
        <v/>
      </c>
      <c r="F22" s="19"/>
    </row>
    <row r="23" spans="1:6" ht="16.5" thickBot="1" x14ac:dyDescent="0.3">
      <c r="A23" s="6">
        <f>IF(ISBLANK(B23),"",COUNTA($B$3:B23))</f>
        <v>20</v>
      </c>
      <c r="B23" s="7">
        <v>19</v>
      </c>
      <c r="C23" s="40" t="s">
        <v>42</v>
      </c>
      <c r="D23" s="8" t="s">
        <v>9</v>
      </c>
      <c r="E23" s="8" t="str">
        <f>IF(Таблица1[[#This Row],[явка]]="прибув",1,"")</f>
        <v/>
      </c>
      <c r="F23" s="19"/>
    </row>
    <row r="24" spans="1:6" ht="16.5" thickBot="1" x14ac:dyDescent="0.3">
      <c r="A24" s="6">
        <f>IF(ISBLANK(B24),"",COUNTA($B$3:B24))</f>
        <v>21</v>
      </c>
      <c r="B24" s="7">
        <v>15</v>
      </c>
      <c r="C24" s="40" t="s">
        <v>38</v>
      </c>
      <c r="D24" s="8" t="s">
        <v>9</v>
      </c>
      <c r="E24" s="8" t="str">
        <f>IF(Таблица1[[#This Row],[явка]]="прибув",1,"")</f>
        <v/>
      </c>
      <c r="F24" s="19"/>
    </row>
    <row r="25" spans="1:6" ht="16.5" thickBot="1" x14ac:dyDescent="0.3">
      <c r="A25" s="6">
        <f>IF(ISBLANK(B25),"",COUNTA($B$3:B25))</f>
        <v>22</v>
      </c>
      <c r="B25" s="7">
        <v>3</v>
      </c>
      <c r="C25" s="40" t="s">
        <v>28</v>
      </c>
      <c r="D25" s="8" t="s">
        <v>9</v>
      </c>
      <c r="E25" s="8" t="str">
        <f>IF(Таблица1[[#This Row],[явка]]="прибув",1,"")</f>
        <v/>
      </c>
      <c r="F25" s="19"/>
    </row>
    <row r="26" spans="1:6" ht="16.5" thickBot="1" x14ac:dyDescent="0.3">
      <c r="A26" s="6">
        <f>IF(ISBLANK(B26),"",COUNTA($B$3:B26))</f>
        <v>23</v>
      </c>
      <c r="B26" s="7">
        <v>21</v>
      </c>
      <c r="C26" s="40" t="s">
        <v>44</v>
      </c>
      <c r="D26" s="8" t="s">
        <v>9</v>
      </c>
      <c r="E26" s="8" t="str">
        <f>IF(Таблица1[[#This Row],[явка]]="прибув",1,"")</f>
        <v/>
      </c>
      <c r="F26" s="19"/>
    </row>
    <row r="27" spans="1:6" ht="16.5" thickBot="1" x14ac:dyDescent="0.3">
      <c r="A27" s="6">
        <f>IF(ISBLANK(B27),"",COUNTA($B$3:B27))</f>
        <v>24</v>
      </c>
      <c r="B27" s="7">
        <v>17</v>
      </c>
      <c r="C27" s="40" t="s">
        <v>40</v>
      </c>
      <c r="D27" s="8" t="s">
        <v>9</v>
      </c>
      <c r="E27" s="8" t="str">
        <f>IF(Таблица1[[#This Row],[явка]]="прибув",1,"")</f>
        <v/>
      </c>
      <c r="F27" s="19"/>
    </row>
    <row r="28" spans="1:6" ht="16.5" thickBot="1" x14ac:dyDescent="0.3">
      <c r="A28" s="6">
        <f>IF(ISBLANK(B28),"",COUNTA($B$3:B28))</f>
        <v>25</v>
      </c>
      <c r="B28" s="7">
        <v>6</v>
      </c>
      <c r="C28" s="40" t="s">
        <v>7</v>
      </c>
      <c r="D28" s="8" t="s">
        <v>9</v>
      </c>
      <c r="E28" s="8" t="str">
        <f>IF(Таблица1[[#This Row],[явка]]="прибув",1,"")</f>
        <v/>
      </c>
      <c r="F28" s="19"/>
    </row>
    <row r="29" spans="1:6" ht="16.5" thickBot="1" x14ac:dyDescent="0.3">
      <c r="A29" s="6">
        <f>IF(ISBLANK(B29),"",COUNTA($B$3:B29))</f>
        <v>26</v>
      </c>
      <c r="B29" s="7">
        <v>26</v>
      </c>
      <c r="C29" s="40" t="s">
        <v>49</v>
      </c>
      <c r="D29" s="8" t="s">
        <v>9</v>
      </c>
      <c r="E29" s="8" t="str">
        <f>IF(Таблица1[[#This Row],[явка]]="прибув",1,"")</f>
        <v/>
      </c>
      <c r="F29" s="19"/>
    </row>
    <row r="30" spans="1:6" ht="15.75" x14ac:dyDescent="0.25">
      <c r="A30" s="36" t="s">
        <v>11</v>
      </c>
      <c r="B30" s="36"/>
      <c r="C30" s="37"/>
      <c r="D30" s="38"/>
      <c r="E30" s="39">
        <f>SUBTOTAL(109,Таблица1[кількість прибувших депутатів])-1</f>
        <v>18</v>
      </c>
    </row>
  </sheetData>
  <sheetProtection selectLockedCells="1" selectUnlockedCells="1"/>
  <pageMargins left="0.7" right="0.7" top="0.75" bottom="0.75" header="0.3" footer="0.3"/>
  <pageSetup paperSize="9" scale="73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дані!$A$1:$A$2</xm:f>
          </x14:formula1>
          <xm:sqref>D3:D29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'!B9</f>
        <v>0</v>
      </c>
      <c r="C1" s="52"/>
      <c r="D1" s="52"/>
      <c r="E1" s="52"/>
      <c r="F1" s="5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SUBTOTAL(109,Таблица245678910[За])</f>
        <v>0</v>
      </c>
      <c r="D30" s="29">
        <f>SUBTOTAL(109,Таблица245678910[Проти])</f>
        <v>0</v>
      </c>
      <c r="E30" s="29">
        <f>SUBTOTAL(109,Таблица245678910[Утрим])</f>
        <v>0</v>
      </c>
      <c r="F30" s="29">
        <f>SUBTOTAL(109,Таблица245678910[не голосували])</f>
        <v>0</v>
      </c>
    </row>
    <row r="31" spans="1:7" x14ac:dyDescent="0.25">
      <c r="B31" t="str">
        <f>IF(Таблица245678910[[#Totals],[За]]&gt;13,"Рішення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SUBTOTAL(109,Таблица24567891011[За])</f>
        <v>0</v>
      </c>
      <c r="D30" s="29">
        <f>SUBTOTAL(109,Таблица24567891011[Проти])</f>
        <v>0</v>
      </c>
      <c r="E30" s="29">
        <f>SUBTOTAL(109,Таблица24567891011[Утрим])</f>
        <v>0</v>
      </c>
      <c r="F30" s="29">
        <f>SUBTOTAL(109,Таблица24567891011[не голосували])</f>
        <v>0</v>
      </c>
    </row>
    <row r="31" spans="1:7" x14ac:dyDescent="0.25">
      <c r="B31" t="str">
        <f>IF(Таблица24567891011[[#Totals],[За]]&gt;13,"Рішення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SUBTOTAL(109,Таблица2456789101117[За])</f>
        <v>0</v>
      </c>
      <c r="D30" s="29">
        <f>SUBTOTAL(109,Таблица2456789101117[Проти])</f>
        <v>0</v>
      </c>
      <c r="E30" s="29">
        <f>SUBTOTAL(109,Таблица2456789101117[Утрим])</f>
        <v>0</v>
      </c>
      <c r="F30" s="29">
        <f>SUBTOTAL(109,Таблица2456789101117[не голосували])</f>
        <v>0</v>
      </c>
    </row>
    <row r="31" spans="1:7" x14ac:dyDescent="0.25">
      <c r="B31" t="str">
        <f>IF(Таблица2456789101117[[#Totals],[За]]&gt;13,"Рішення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'!B12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SUBTOTAL(109,Таблица245678910111718[За])</f>
        <v>0</v>
      </c>
      <c r="D30" s="29">
        <f>SUBTOTAL(109,Таблица245678910111718[Проти])</f>
        <v>0</v>
      </c>
      <c r="E30" s="29">
        <f>SUBTOTAL(109,Таблица245678910111718[Утрим])</f>
        <v>0</v>
      </c>
      <c r="F30" s="29">
        <f>SUBTOTAL(109,Таблица245678910111718[не голосували])</f>
        <v>0</v>
      </c>
    </row>
    <row r="31" spans="1:7" x14ac:dyDescent="0.25">
      <c r="B31" t="str">
        <f>IF(Таблица245678910111718[[#Totals],[За]]&gt;13,"Рішення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'!B13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SUBTOTAL(109,Таблица24567891011171819[За])</f>
        <v>0</v>
      </c>
      <c r="D30" s="29">
        <f>SUBTOTAL(109,Таблица24567891011171819[Проти])</f>
        <v>0</v>
      </c>
      <c r="E30" s="29">
        <f>SUBTOTAL(109,Таблица24567891011171819[Утрим])</f>
        <v>0</v>
      </c>
      <c r="F30" s="29">
        <f>SUBTOTAL(109,Таблица24567891011171819[не голосували])</f>
        <v>0</v>
      </c>
    </row>
    <row r="31" spans="1:7" x14ac:dyDescent="0.25">
      <c r="B31" t="str">
        <f>IF(Таблица24567891011171819[[#Totals],[За]]&gt;13,"Рішення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SUBTOTAL(109,Таблица2456789101117181920[За])</f>
        <v>0</v>
      </c>
      <c r="D30" s="29">
        <f>SUBTOTAL(109,Таблица2456789101117181920[Проти])</f>
        <v>0</v>
      </c>
      <c r="E30" s="29">
        <f>SUBTOTAL(109,Таблица2456789101117181920[Утрим])</f>
        <v>0</v>
      </c>
      <c r="F30" s="29">
        <f>SUBTOTAL(109,Таблица2456789101117181920[не голосували])</f>
        <v>0</v>
      </c>
    </row>
    <row r="31" spans="1:7" x14ac:dyDescent="0.25">
      <c r="B31" t="str">
        <f>IF(Таблица2456789101117181920[[#Totals],[За]]&gt;13,"Рішення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SUBTOTAL(109,Таблица245678910111718192021[За])</f>
        <v>0</v>
      </c>
      <c r="D30" s="29">
        <f>SUBTOTAL(109,Таблица245678910111718192021[Проти])</f>
        <v>0</v>
      </c>
      <c r="E30" s="29">
        <f>SUBTOTAL(109,Таблица245678910111718192021[Утрим])</f>
        <v>0</v>
      </c>
      <c r="F30" s="29">
        <f>SUBTOTAL(109,Таблица245678910111718192021[не голосували])</f>
        <v>0</v>
      </c>
    </row>
    <row r="31" spans="1:7" x14ac:dyDescent="0.25">
      <c r="B31" t="str">
        <f>IF(Таблица245678910111718192021[[#Totals],[За]]&gt;13,"Рішення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SUBTOTAL(109,Таблица24567891011171819202122[За])</f>
        <v>0</v>
      </c>
      <c r="D30" s="29">
        <f>SUBTOTAL(109,Таблица24567891011171819202122[Проти])</f>
        <v>0</v>
      </c>
      <c r="E30" s="29">
        <f>SUBTOTAL(109,Таблица24567891011171819202122[Утрим])</f>
        <v>0</v>
      </c>
      <c r="F30" s="29">
        <f>SUBTOTAL(109,Таблица24567891011171819202122[не голосували])</f>
        <v>0</v>
      </c>
    </row>
    <row r="31" spans="1:7" x14ac:dyDescent="0.25">
      <c r="B31" t="str">
        <f>IF(Таблица24567891011171819202122[[#Totals],[За]]&gt;13,"Рішення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SUBTOTAL(109,Таблица2456789101117181920212223[За])</f>
        <v>0</v>
      </c>
      <c r="D30" s="29">
        <f>SUBTOTAL(109,Таблица2456789101117181920212223[Проти])</f>
        <v>0</v>
      </c>
      <c r="E30" s="29">
        <f>SUBTOTAL(109,Таблица2456789101117181920212223[Утрим])</f>
        <v>0</v>
      </c>
      <c r="F30" s="29"/>
    </row>
    <row r="31" spans="1:7" x14ac:dyDescent="0.25">
      <c r="B31" t="str">
        <f>IF(Таблица2456789101117181920212223[[#Totals],[За]]&gt;13,"Рішення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'!B18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SUBTOTAL(109,Таблица245678910111718192021222324[За])</f>
        <v>0</v>
      </c>
      <c r="D30" s="29">
        <f>SUBTOTAL(109,Таблица245678910111718192021222324[Проти])</f>
        <v>0</v>
      </c>
      <c r="E30" s="29">
        <f>SUBTOTAL(109,Таблица245678910111718192021222324[Утрим])</f>
        <v>0</v>
      </c>
      <c r="F30" s="29">
        <f>SUBTOTAL(109,Таблица245678910111718192021222324[не голосували])</f>
        <v>0</v>
      </c>
    </row>
    <row r="31" spans="1:7" x14ac:dyDescent="0.25">
      <c r="B31" t="str">
        <f>IF(Таблица245678910111718192021222324[[#Totals],[За]]&gt;13,"Рішення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28515625" style="30" bestFit="1" customWidth="1"/>
    <col min="2" max="2" width="69.42578125" style="16" customWidth="1"/>
    <col min="3" max="4" width="9.140625" style="21"/>
    <col min="5" max="5" width="14.85546875" style="21" customWidth="1"/>
    <col min="6" max="6" width="17.28515625" style="21" customWidth="1"/>
    <col min="7" max="7" width="23.85546875" style="35" customWidth="1"/>
  </cols>
  <sheetData>
    <row r="1" spans="1:10" s="25" customFormat="1" ht="16.5" thickBot="1" x14ac:dyDescent="0.3">
      <c r="A1" s="31" t="s">
        <v>0</v>
      </c>
      <c r="B1" s="22" t="s">
        <v>26</v>
      </c>
      <c r="C1" s="23" t="s">
        <v>22</v>
      </c>
      <c r="D1" s="23" t="s">
        <v>23</v>
      </c>
      <c r="E1" s="24" t="s">
        <v>24</v>
      </c>
      <c r="F1" s="22" t="s">
        <v>27</v>
      </c>
      <c r="G1" s="33" t="s">
        <v>25</v>
      </c>
      <c r="I1" s="49" t="s">
        <v>55</v>
      </c>
      <c r="J1" s="49"/>
    </row>
    <row r="2" spans="1:10" ht="32.25" thickBot="1" x14ac:dyDescent="0.3">
      <c r="A2" s="43">
        <f>IF(ISBLANK(B2),"",COUNTA($B$2:B2))</f>
        <v>1</v>
      </c>
      <c r="B2" s="47" t="s">
        <v>56</v>
      </c>
      <c r="C2" s="20">
        <f>Таблица2[[#Totals],[За]]</f>
        <v>18</v>
      </c>
      <c r="D2" s="20">
        <f>Таблица2[[#Totals],[Проти]]</f>
        <v>0</v>
      </c>
      <c r="E2" s="20">
        <f>Таблица2[[#Totals],[Утрим]]</f>
        <v>1</v>
      </c>
      <c r="F2" s="44">
        <f>Таблица2[[#Totals],[не голосували]]</f>
        <v>0</v>
      </c>
      <c r="G2" s="34" t="str">
        <f>'1'!$B$31</f>
        <v>Рішення прийнято</v>
      </c>
      <c r="H2">
        <f>IF(G2="Рішення прийнято",1,"")</f>
        <v>1</v>
      </c>
      <c r="I2">
        <f>IF(ISBLANK(H2),"",COUNTA($H$2:H2))</f>
        <v>1</v>
      </c>
      <c r="J2" t="s">
        <v>54</v>
      </c>
    </row>
    <row r="3" spans="1:10" ht="32.25" thickBot="1" x14ac:dyDescent="0.3">
      <c r="A3" s="43">
        <f>IF(ISBLANK(B3),"",COUNTA($B$2:B3))</f>
        <v>2</v>
      </c>
      <c r="B3" s="48" t="s">
        <v>57</v>
      </c>
      <c r="C3" s="20">
        <f>Таблица24[[#Totals],[За]]</f>
        <v>18</v>
      </c>
      <c r="D3" s="20">
        <f>Таблица24[[#Totals],[Проти]]</f>
        <v>1</v>
      </c>
      <c r="E3" s="20">
        <f>Таблица24[[#Totals],[Утрим]]</f>
        <v>0</v>
      </c>
      <c r="F3" s="44">
        <f>Таблица24[[#Totals],[не голосували]]</f>
        <v>0</v>
      </c>
      <c r="G3" s="34" t="str">
        <f>'2'!$B$31</f>
        <v>Рішення прийнято</v>
      </c>
      <c r="H3">
        <f>IF(G3="Рішення прийнято",1,"")</f>
        <v>1</v>
      </c>
      <c r="J3" t="s">
        <v>54</v>
      </c>
    </row>
    <row r="4" spans="1:10" ht="16.5" hidden="1" thickBot="1" x14ac:dyDescent="0.3">
      <c r="A4" s="43" t="str">
        <f>IF(ISBLANK(B4),"",COUNTA($B$2:B4))</f>
        <v/>
      </c>
      <c r="B4" s="47"/>
      <c r="C4" s="20">
        <f>Таблица245[[#Totals],[За]]</f>
        <v>0</v>
      </c>
      <c r="D4" s="20">
        <f>Таблица245[[#Totals],[Проти]]</f>
        <v>0</v>
      </c>
      <c r="E4" s="20">
        <f>Таблица245[[#Totals],[Утрим]]</f>
        <v>0</v>
      </c>
      <c r="F4" s="44">
        <f>Таблица245[[#Totals],[не голосували]]</f>
        <v>0</v>
      </c>
      <c r="G4" s="34" t="str">
        <f>'3'!$B$31</f>
        <v>Рішення не прийнято</v>
      </c>
      <c r="H4" t="str">
        <f t="shared" ref="H4:H41" si="0">IF(G4="Рішення прийнято",1,"")</f>
        <v/>
      </c>
      <c r="J4" t="s">
        <v>54</v>
      </c>
    </row>
    <row r="5" spans="1:10" ht="16.5" hidden="1" thickBot="1" x14ac:dyDescent="0.3">
      <c r="A5" s="43" t="str">
        <f>IF(ISBLANK(B5),"",COUNTA($B$2:B5))</f>
        <v/>
      </c>
      <c r="B5" s="48"/>
      <c r="C5" s="20">
        <f>Таблица2456[[#Totals],[За]]</f>
        <v>0</v>
      </c>
      <c r="D5" s="20">
        <f>Таблица2456[[#Totals],[Проти]]</f>
        <v>0</v>
      </c>
      <c r="E5" s="20">
        <f>Таблица2456[[#Totals],[Утрим]]</f>
        <v>0</v>
      </c>
      <c r="F5" s="44">
        <f>Таблица2456[[#Totals],[не голосували]]</f>
        <v>0</v>
      </c>
      <c r="G5" s="34" t="str">
        <f>'4'!$B$31</f>
        <v>Рішення не прийнято</v>
      </c>
      <c r="H5" t="str">
        <f t="shared" si="0"/>
        <v/>
      </c>
      <c r="J5" t="s">
        <v>54</v>
      </c>
    </row>
    <row r="6" spans="1:10" ht="16.5" hidden="1" thickBot="1" x14ac:dyDescent="0.3">
      <c r="A6" s="43" t="str">
        <f>IF(ISBLANK(B6),"",COUNTA($B$2:B6))</f>
        <v/>
      </c>
      <c r="B6" s="47"/>
      <c r="C6" s="20">
        <f>Таблица24567[[#Totals],[За]]</f>
        <v>0</v>
      </c>
      <c r="D6" s="20">
        <f>Таблица24567[[#Totals],[Проти]]</f>
        <v>0</v>
      </c>
      <c r="E6" s="20">
        <f>Таблица24567[[#Totals],[Утрим]]</f>
        <v>0</v>
      </c>
      <c r="F6" s="44">
        <f>Таблица24567[[#Totals],[не голосували]]</f>
        <v>0</v>
      </c>
      <c r="G6" s="34" t="str">
        <f>'5'!$B$31</f>
        <v>Рішення не прийнято</v>
      </c>
      <c r="H6" t="str">
        <f t="shared" si="0"/>
        <v/>
      </c>
      <c r="J6" t="s">
        <v>54</v>
      </c>
    </row>
    <row r="7" spans="1:10" ht="16.5" hidden="1" thickBot="1" x14ac:dyDescent="0.3">
      <c r="A7" s="43" t="str">
        <f>IF(ISBLANK(B7),"",COUNTA($B$2:B7))</f>
        <v/>
      </c>
      <c r="B7" s="48"/>
      <c r="C7" s="20">
        <f>Таблица245678[[#Totals],[За]]</f>
        <v>0</v>
      </c>
      <c r="D7" s="20">
        <f>Таблица245678[[#Totals],[Проти]]</f>
        <v>0</v>
      </c>
      <c r="E7" s="20">
        <f>Таблица245678[[#Totals],[Утрим]]</f>
        <v>0</v>
      </c>
      <c r="F7" s="44">
        <f>Таблица245678[[#Totals],[не голосували]]</f>
        <v>0</v>
      </c>
      <c r="G7" s="34" t="str">
        <f>'6'!$B$31</f>
        <v>Рішення не прийнято</v>
      </c>
      <c r="H7" t="str">
        <f t="shared" si="0"/>
        <v/>
      </c>
      <c r="J7" t="s">
        <v>54</v>
      </c>
    </row>
    <row r="8" spans="1:10" ht="16.5" hidden="1" thickBot="1" x14ac:dyDescent="0.3">
      <c r="A8" s="43" t="str">
        <f>IF(ISBLANK(B8),"",COUNTA($B$2:B8))</f>
        <v/>
      </c>
      <c r="B8" s="47"/>
      <c r="C8" s="20">
        <f>Таблица2456789[[#Totals],[За]]</f>
        <v>0</v>
      </c>
      <c r="D8" s="20">
        <f>Таблица2456789[[#Totals],[Проти]]</f>
        <v>0</v>
      </c>
      <c r="E8" s="20">
        <f>Таблица2456789[[#Totals],[Утрим]]</f>
        <v>0</v>
      </c>
      <c r="F8" s="44">
        <f>Таблица2456789[[#Totals],[не голосували]]</f>
        <v>0</v>
      </c>
      <c r="G8" s="34" t="str">
        <f>'7'!$B$31</f>
        <v>Рішення не прийнято</v>
      </c>
      <c r="H8" t="str">
        <f t="shared" si="0"/>
        <v/>
      </c>
      <c r="J8" t="s">
        <v>54</v>
      </c>
    </row>
    <row r="9" spans="1:10" ht="16.5" hidden="1" thickBot="1" x14ac:dyDescent="0.3">
      <c r="A9" s="43" t="str">
        <f>IF(ISBLANK(B9),"",COUNTA($B$2:B9))</f>
        <v/>
      </c>
      <c r="B9" s="48"/>
      <c r="C9" s="20">
        <f>Таблица245678910[[#Totals],[За]]</f>
        <v>0</v>
      </c>
      <c r="D9" s="20">
        <f>Таблица245678910[[#Totals],[Проти]]</f>
        <v>0</v>
      </c>
      <c r="E9" s="20">
        <f>Таблица245678910[[#Totals],[Утрим]]</f>
        <v>0</v>
      </c>
      <c r="F9" s="44">
        <f>Таблица245678910[[#Totals],[не голосували]]</f>
        <v>0</v>
      </c>
      <c r="G9" s="34" t="str">
        <f>'8'!$B$31</f>
        <v>Рішення не прийнято</v>
      </c>
      <c r="H9" t="str">
        <f t="shared" si="0"/>
        <v/>
      </c>
      <c r="J9" t="s">
        <v>54</v>
      </c>
    </row>
    <row r="10" spans="1:10" ht="16.5" hidden="1" thickBot="1" x14ac:dyDescent="0.3">
      <c r="A10" s="43" t="str">
        <f>IF(ISBLANK(B10),"",COUNTA($B$2:B10))</f>
        <v/>
      </c>
      <c r="B10" s="47"/>
      <c r="C10" s="20">
        <f>Таблица24567891011[[#Totals],[За]]</f>
        <v>0</v>
      </c>
      <c r="D10" s="20">
        <f>Таблица24567891011[[#Totals],[Проти]]</f>
        <v>0</v>
      </c>
      <c r="E10" s="20">
        <f>Таблица24567891011[[#Totals],[Утрим]]</f>
        <v>0</v>
      </c>
      <c r="F10" s="44">
        <f>Таблица24567891011[[#Totals],[не голосували]]</f>
        <v>0</v>
      </c>
      <c r="G10" s="34" t="str">
        <f>'9'!$B$31</f>
        <v>Рішення не прийнято</v>
      </c>
      <c r="H10" t="str">
        <f t="shared" si="0"/>
        <v/>
      </c>
      <c r="J10" t="s">
        <v>54</v>
      </c>
    </row>
    <row r="11" spans="1:10" ht="16.5" hidden="1" thickBot="1" x14ac:dyDescent="0.3">
      <c r="A11" s="43" t="str">
        <f>IF(ISBLANK(B11),"",COUNTA($B$2:B11))</f>
        <v/>
      </c>
      <c r="B11" s="48"/>
      <c r="C11" s="20">
        <f>Таблица2456789101117[[#Totals],[За]]</f>
        <v>0</v>
      </c>
      <c r="D11" s="20">
        <f>Таблица2456789101117[[#Totals],[Проти]]</f>
        <v>0</v>
      </c>
      <c r="E11" s="20">
        <f>Таблица2456789101117[[#Totals],[Утрим]]</f>
        <v>0</v>
      </c>
      <c r="F11" s="44">
        <f>Таблица2456789101117[[#Totals],[не голосували]]</f>
        <v>0</v>
      </c>
      <c r="G11" s="34" t="str">
        <f>'10'!$B$31</f>
        <v>Рішення не прийнято</v>
      </c>
      <c r="H11" t="str">
        <f t="shared" si="0"/>
        <v/>
      </c>
      <c r="J11" t="s">
        <v>54</v>
      </c>
    </row>
    <row r="12" spans="1:10" ht="16.5" hidden="1" thickBot="1" x14ac:dyDescent="0.3">
      <c r="A12" s="43" t="str">
        <f>IF(ISBLANK(B12),"",COUNTA($B$2:B12))</f>
        <v/>
      </c>
      <c r="B12" s="47"/>
      <c r="C12" s="20">
        <f>Таблица245678910111718[[#Totals],[За]]</f>
        <v>0</v>
      </c>
      <c r="D12" s="20">
        <f>Таблица245678910111718[[#Totals],[Проти]]</f>
        <v>0</v>
      </c>
      <c r="E12" s="20">
        <f>Таблица245678910111718[[#Totals],[Утрим]]</f>
        <v>0</v>
      </c>
      <c r="F12" s="44">
        <f>Таблица245678910111718[[#Totals],[не голосували]]</f>
        <v>0</v>
      </c>
      <c r="G12" s="34" t="str">
        <f>'11'!$B$31</f>
        <v>Рішення не прийнято</v>
      </c>
      <c r="H12" t="str">
        <f t="shared" si="0"/>
        <v/>
      </c>
      <c r="J12" t="s">
        <v>54</v>
      </c>
    </row>
    <row r="13" spans="1:10" ht="16.5" hidden="1" thickBot="1" x14ac:dyDescent="0.3">
      <c r="A13" s="43" t="str">
        <f>IF(ISBLANK(B13),"",COUNTA($B$2:B13))</f>
        <v/>
      </c>
      <c r="B13" s="48"/>
      <c r="C13" s="20">
        <f>Таблица24567891011171819[[#Totals],[За]]</f>
        <v>0</v>
      </c>
      <c r="D13" s="20">
        <f>Таблица24567891011171819[[#Totals],[Проти]]</f>
        <v>0</v>
      </c>
      <c r="E13" s="20">
        <f>Таблица24567891011171819[[#Totals],[Утрим]]</f>
        <v>0</v>
      </c>
      <c r="F13" s="44">
        <f>Таблица24567891011171819[[#Totals],[не голосували]]</f>
        <v>0</v>
      </c>
      <c r="G13" s="34" t="str">
        <f>'12'!$B$31</f>
        <v>Рішення не прийнято</v>
      </c>
      <c r="H13" t="str">
        <f t="shared" si="0"/>
        <v/>
      </c>
      <c r="J13" t="s">
        <v>54</v>
      </c>
    </row>
    <row r="14" spans="1:10" ht="16.5" hidden="1" thickBot="1" x14ac:dyDescent="0.3">
      <c r="A14" s="43" t="str">
        <f>IF(ISBLANK(B14),"",COUNTA($B$2:B14))</f>
        <v/>
      </c>
      <c r="B14" s="47"/>
      <c r="C14" s="20">
        <f>Таблица2456789101117181920[[#Totals],[За]]</f>
        <v>0</v>
      </c>
      <c r="D14" s="20">
        <f>Таблица2456789101117181920[[#Totals],[Проти]]</f>
        <v>0</v>
      </c>
      <c r="E14" s="20">
        <f>Таблица2456789101117181920[[#Totals],[Утрим]]</f>
        <v>0</v>
      </c>
      <c r="F14" s="44">
        <f>Таблица2456789101117181920[[#Totals],[не голосували]]</f>
        <v>0</v>
      </c>
      <c r="G14" s="34" t="str">
        <f>'13'!$B$31</f>
        <v>Рішення не прийнято</v>
      </c>
      <c r="H14" t="str">
        <f t="shared" si="0"/>
        <v/>
      </c>
      <c r="J14" t="s">
        <v>54</v>
      </c>
    </row>
    <row r="15" spans="1:10" ht="16.5" hidden="1" thickBot="1" x14ac:dyDescent="0.3">
      <c r="A15" s="43" t="str">
        <f>IF(ISBLANK(B15),"",COUNTA($B$2:B15))</f>
        <v/>
      </c>
      <c r="B15" s="48"/>
      <c r="C15" s="20">
        <f>Таблица245678910111718192021[[#Totals],[За]]</f>
        <v>0</v>
      </c>
      <c r="D15" s="20">
        <f>Таблица245678910111718192021[[#Totals],[Проти]]</f>
        <v>0</v>
      </c>
      <c r="E15" s="20">
        <f>Таблица245678910111718192021[[#Totals],[Утрим]]</f>
        <v>0</v>
      </c>
      <c r="F15" s="44">
        <f>Таблица245678910111718192021[[#Totals],[не голосували]]</f>
        <v>0</v>
      </c>
      <c r="G15" s="34" t="str">
        <f>'14'!$B$31</f>
        <v>Рішення не прийнято</v>
      </c>
      <c r="H15" t="str">
        <f t="shared" si="0"/>
        <v/>
      </c>
      <c r="J15" t="s">
        <v>54</v>
      </c>
    </row>
    <row r="16" spans="1:10" ht="16.5" hidden="1" thickBot="1" x14ac:dyDescent="0.3">
      <c r="A16" s="43" t="str">
        <f>IF(ISBLANK(B16),"",COUNTA($B$2:B16))</f>
        <v/>
      </c>
      <c r="B16" s="47"/>
      <c r="C16" s="20">
        <f>Таблица24567891011171819202122[[#Totals],[За]]</f>
        <v>0</v>
      </c>
      <c r="D16" s="20">
        <f>Таблица24567891011171819202122[[#Totals],[Проти]]</f>
        <v>0</v>
      </c>
      <c r="E16" s="20">
        <f>Таблица24567891011171819202122[[#Totals],[Утрим]]</f>
        <v>0</v>
      </c>
      <c r="F16" s="44">
        <f>Таблица24567891011171819202122[[#Totals],[не голосували]]</f>
        <v>0</v>
      </c>
      <c r="G16" s="34" t="str">
        <f>'15'!$B$31</f>
        <v>Рішення не прийнято</v>
      </c>
      <c r="H16" t="str">
        <f t="shared" si="0"/>
        <v/>
      </c>
      <c r="J16" t="s">
        <v>54</v>
      </c>
    </row>
    <row r="17" spans="1:10" ht="16.5" hidden="1" thickBot="1" x14ac:dyDescent="0.3">
      <c r="A17" s="43" t="str">
        <f>IF(ISBLANK(B17),"",COUNTA($B$2:B17))</f>
        <v/>
      </c>
      <c r="B17" s="48"/>
      <c r="C17" s="20">
        <f>Таблица2456789101117181920212223[[#Totals],[За]]</f>
        <v>0</v>
      </c>
      <c r="D17" s="20">
        <f>Таблица2456789101117181920212223[[#Totals],[Проти]]</f>
        <v>0</v>
      </c>
      <c r="E17" s="20">
        <f>Таблица2456789101117181920212223[[#Totals],[Утрим]]</f>
        <v>0</v>
      </c>
      <c r="F17" s="44">
        <f>Таблица2456789101117181920212223[[#Totals],[не голосували]]</f>
        <v>0</v>
      </c>
      <c r="G17" s="34" t="str">
        <f>'16'!$B$31</f>
        <v>Рішення не прийнято</v>
      </c>
      <c r="H17" t="str">
        <f t="shared" si="0"/>
        <v/>
      </c>
      <c r="J17" t="s">
        <v>54</v>
      </c>
    </row>
    <row r="18" spans="1:10" ht="16.5" hidden="1" thickBot="1" x14ac:dyDescent="0.3">
      <c r="A18" s="43" t="str">
        <f>IF(ISBLANK(B18),"",COUNTA($B$2:B18))</f>
        <v/>
      </c>
      <c r="B18" s="47"/>
      <c r="C18" s="20">
        <f>Таблица245678910111718192021222324[[#Totals],[За]]</f>
        <v>0</v>
      </c>
      <c r="D18" s="20">
        <f>Таблица245678910111718192021222324[[#Totals],[Проти]]</f>
        <v>0</v>
      </c>
      <c r="E18" s="20">
        <f>Таблица245678910111718192021222324[[#Totals],[Утрим]]</f>
        <v>0</v>
      </c>
      <c r="F18" s="44">
        <f>Таблица245678910111718192021222324[[#Totals],[не голосували]]</f>
        <v>0</v>
      </c>
      <c r="G18" s="34" t="str">
        <f>'17'!$B$31</f>
        <v>Рішення не прийнято</v>
      </c>
      <c r="H18" t="str">
        <f t="shared" si="0"/>
        <v/>
      </c>
      <c r="J18" t="s">
        <v>54</v>
      </c>
    </row>
    <row r="19" spans="1:10" ht="16.5" hidden="1" thickBot="1" x14ac:dyDescent="0.3">
      <c r="A19" s="43" t="str">
        <f>IF(ISBLANK(B19),"",COUNTA($B$2:B19))</f>
        <v/>
      </c>
      <c r="B19" s="48"/>
      <c r="C19" s="20">
        <f>Таблица24567891011171819202122232425[[#Totals],[За]]</f>
        <v>0</v>
      </c>
      <c r="D19" s="20">
        <f>Таблица24567891011171819202122232425[[#Totals],[Проти]]</f>
        <v>0</v>
      </c>
      <c r="E19" s="20">
        <f>Таблица24567891011171819202122232425[[#Totals],[Утрим]]</f>
        <v>0</v>
      </c>
      <c r="F19" s="44">
        <f>Таблица24567891011171819202122232425[[#Totals],[не голосували]]</f>
        <v>0</v>
      </c>
      <c r="G19" s="34" t="str">
        <f>'18'!$B$31</f>
        <v>Рішення не прийнято</v>
      </c>
      <c r="H19" t="str">
        <f t="shared" si="0"/>
        <v/>
      </c>
      <c r="J19" t="s">
        <v>54</v>
      </c>
    </row>
    <row r="20" spans="1:10" ht="16.5" hidden="1" thickBot="1" x14ac:dyDescent="0.3">
      <c r="A20" s="43" t="str">
        <f>IF(ISBLANK(B20),"",COUNTA($B$2:B20))</f>
        <v/>
      </c>
      <c r="B20" s="47"/>
      <c r="C20" s="20">
        <f>Таблица2456789101117181920212223242526[[#Totals],[За]]</f>
        <v>0</v>
      </c>
      <c r="D20" s="20">
        <f>Таблица2456789101117181920212223242526[[#Totals],[Проти]]</f>
        <v>0</v>
      </c>
      <c r="E20" s="20">
        <f>Таблица2456789101117181920212223242526[[#Totals],[Утрим]]</f>
        <v>0</v>
      </c>
      <c r="F20" s="44">
        <f>Таблица2456789101117181920212223242526[[#Totals],[не голосували]]</f>
        <v>0</v>
      </c>
      <c r="G20" s="34" t="str">
        <f>'19'!$B$31</f>
        <v>Рішення не прийнято</v>
      </c>
      <c r="H20" t="str">
        <f t="shared" si="0"/>
        <v/>
      </c>
      <c r="J20" t="s">
        <v>54</v>
      </c>
    </row>
    <row r="21" spans="1:10" ht="16.5" hidden="1" thickBot="1" x14ac:dyDescent="0.3">
      <c r="A21" s="43" t="str">
        <f>IF(ISBLANK(B21),"",COUNTA($B$2:B21))</f>
        <v/>
      </c>
      <c r="B21" s="48"/>
      <c r="C21" s="20">
        <f>Таблица245678910111718192021222324252627[[#Totals],[За]]</f>
        <v>0</v>
      </c>
      <c r="D21" s="20">
        <f>Таблица245678910111718192021222324252627[[#Totals],[Проти]]</f>
        <v>0</v>
      </c>
      <c r="E21" s="20">
        <f>Таблица245678910111718192021222324252627[[#Totals],[Утрим]]</f>
        <v>0</v>
      </c>
      <c r="F21" s="44">
        <f>Таблица245678910111718192021222324252627[[#Totals],[не голосували]]</f>
        <v>0</v>
      </c>
      <c r="G21" s="34" t="str">
        <f>'20'!$B$31</f>
        <v>Рішення не прийнято</v>
      </c>
      <c r="H21" t="str">
        <f t="shared" si="0"/>
        <v/>
      </c>
      <c r="J21" t="s">
        <v>54</v>
      </c>
    </row>
    <row r="22" spans="1:10" ht="16.5" hidden="1" thickBot="1" x14ac:dyDescent="0.3">
      <c r="A22" s="43" t="str">
        <f>IF(ISBLANK(B22),"",COUNTA($B$2:B22))</f>
        <v/>
      </c>
      <c r="B22" s="47"/>
      <c r="C22" s="20">
        <f>Таблица24567891011171819202122232425262728[[#Totals],[За]]</f>
        <v>0</v>
      </c>
      <c r="D22" s="20">
        <f>Таблица24567891011171819202122232425262728[[#Totals],[Проти]]</f>
        <v>0</v>
      </c>
      <c r="E22" s="20">
        <f>Таблица24567891011171819202122232425262728[[#Totals],[Утрим]]</f>
        <v>0</v>
      </c>
      <c r="F22" s="44">
        <f>Таблица24567891011171819202122232425262728[[#Totals],[не голосували]]</f>
        <v>0</v>
      </c>
      <c r="G22" s="34" t="str">
        <f>'21'!$B$31</f>
        <v>Рішення не прийнято</v>
      </c>
      <c r="H22" t="str">
        <f t="shared" si="0"/>
        <v/>
      </c>
      <c r="J22" t="s">
        <v>54</v>
      </c>
    </row>
    <row r="23" spans="1:10" ht="16.5" hidden="1" thickBot="1" x14ac:dyDescent="0.3">
      <c r="A23" s="43" t="str">
        <f>IF(ISBLANK(B23),"",COUNTA($B$2:B23))</f>
        <v/>
      </c>
      <c r="B23" s="48"/>
      <c r="C23" s="20">
        <f>Таблица2456789101117181920212223242526272829[[#Totals],[За]]</f>
        <v>0</v>
      </c>
      <c r="D23" s="20">
        <f>Таблица2456789101117181920212223242526272829[[#Totals],[Проти]]</f>
        <v>0</v>
      </c>
      <c r="E23" s="20">
        <f>Таблица2456789101117181920212223242526272829[[#Totals],[Утрим]]</f>
        <v>0</v>
      </c>
      <c r="F23" s="44">
        <f>Таблица2456789101117181920212223242526272829[[#Totals],[не голосували]]</f>
        <v>0</v>
      </c>
      <c r="G23" s="34" t="str">
        <f>'22'!$B$31</f>
        <v>Рішення не прийнято</v>
      </c>
      <c r="H23" t="str">
        <f t="shared" si="0"/>
        <v/>
      </c>
      <c r="J23" t="s">
        <v>54</v>
      </c>
    </row>
    <row r="24" spans="1:10" ht="16.5" hidden="1" thickBot="1" x14ac:dyDescent="0.3">
      <c r="A24" s="43" t="str">
        <f>IF(ISBLANK(B24),"",COUNTA($B$2:B24))</f>
        <v/>
      </c>
      <c r="B24" s="47"/>
      <c r="C24" s="20">
        <f>Таблица245678910111718192021222324252627282930[[#Totals],[За]]</f>
        <v>0</v>
      </c>
      <c r="D24" s="20">
        <f>Таблица245678910111718192021222324252627282930[[#Totals],[Проти]]</f>
        <v>0</v>
      </c>
      <c r="E24" s="20">
        <f>Таблица245678910111718192021222324252627282930[[#Totals],[Утрим]]</f>
        <v>0</v>
      </c>
      <c r="F24" s="44">
        <f>Таблица245678910111718192021222324252627282930[[#Totals],[не голосували]]</f>
        <v>0</v>
      </c>
      <c r="G24" s="34" t="str">
        <f>'23'!$B$31</f>
        <v>Рішення не прийнято</v>
      </c>
      <c r="H24" t="str">
        <f t="shared" si="0"/>
        <v/>
      </c>
      <c r="J24" t="s">
        <v>54</v>
      </c>
    </row>
    <row r="25" spans="1:10" ht="16.5" hidden="1" thickBot="1" x14ac:dyDescent="0.3">
      <c r="A25" s="43" t="str">
        <f>IF(ISBLANK(B25),"",COUNTA($B$2:B25))</f>
        <v/>
      </c>
      <c r="B25" s="48"/>
      <c r="C25" s="20">
        <f>Таблица24567891011171819202122232425262728293031[[#Totals],[За]]</f>
        <v>0</v>
      </c>
      <c r="D25" s="20">
        <f>Таблица24567891011171819202122232425262728293031[[#Totals],[Проти]]</f>
        <v>0</v>
      </c>
      <c r="E25" s="20">
        <f>Таблица24567891011171819202122232425262728293031[[#Totals],[Утрим]]</f>
        <v>0</v>
      </c>
      <c r="F25" s="44">
        <f>Таблица24567891011171819202122232425262728293031[[#Totals],[не голосували]]</f>
        <v>0</v>
      </c>
      <c r="G25" s="34" t="str">
        <f>'24'!$B$31</f>
        <v>Рішення не прийнято</v>
      </c>
      <c r="H25" t="str">
        <f t="shared" si="0"/>
        <v/>
      </c>
      <c r="J25" t="s">
        <v>54</v>
      </c>
    </row>
    <row r="26" spans="1:10" ht="16.5" hidden="1" thickBot="1" x14ac:dyDescent="0.3">
      <c r="A26" s="43" t="str">
        <f>IF(ISBLANK(B26),"",COUNTA($B$2:B26))</f>
        <v/>
      </c>
      <c r="B26" s="47"/>
      <c r="C26" s="20">
        <f>Таблица2456789101117181920212223242526272829303132[[#Totals],[За]]</f>
        <v>0</v>
      </c>
      <c r="D26" s="20">
        <f>Таблица2456789101117181920212223242526272829303132[[#Totals],[Проти]]</f>
        <v>0</v>
      </c>
      <c r="E26" s="20">
        <f>Таблица2456789101117181920212223242526272829303132[[#Totals],[Утрим]]</f>
        <v>0</v>
      </c>
      <c r="F26" s="44">
        <f>Таблица2456789101117181920212223242526272829303132[[#Totals],[не голосували]]</f>
        <v>0</v>
      </c>
      <c r="G26" s="34" t="str">
        <f>'25'!$B$31</f>
        <v>Рішення не прийнято</v>
      </c>
      <c r="H26" t="str">
        <f t="shared" si="0"/>
        <v/>
      </c>
      <c r="J26" t="s">
        <v>54</v>
      </c>
    </row>
    <row r="27" spans="1:10" ht="16.5" hidden="1" thickBot="1" x14ac:dyDescent="0.3">
      <c r="A27" s="43" t="str">
        <f>IF(ISBLANK(B27),"",COUNTA($B$2:B27))</f>
        <v/>
      </c>
      <c r="B27" s="48"/>
      <c r="C27" s="20">
        <f>Таблица245678910111718192021222324252627282930313233[[#Totals],[За]]</f>
        <v>0</v>
      </c>
      <c r="D27" s="20">
        <f>Таблица245678910111718192021222324252627282930313233[[#Totals],[Проти]]</f>
        <v>0</v>
      </c>
      <c r="E27" s="20">
        <f>Таблица245678910111718192021222324252627282930313233[[#Totals],[Утрим]]</f>
        <v>0</v>
      </c>
      <c r="F27" s="44">
        <f>Таблица245678910111718192021222324252627282930313233[[#Totals],[не голосували]]</f>
        <v>0</v>
      </c>
      <c r="G27" s="34" t="str">
        <f>'26'!$B$31</f>
        <v>Рішення не прийнято</v>
      </c>
      <c r="H27" t="str">
        <f t="shared" si="0"/>
        <v/>
      </c>
      <c r="J27" t="s">
        <v>54</v>
      </c>
    </row>
    <row r="28" spans="1:10" ht="16.5" hidden="1" thickBot="1" x14ac:dyDescent="0.3">
      <c r="A28" s="43" t="str">
        <f>IF(ISBLANK(B28),"",COUNTA($B$2:B28))</f>
        <v/>
      </c>
      <c r="B28" s="47"/>
      <c r="C28" s="20">
        <f>Таблица24567891011171819202122232425262728293031323334[[#Totals],[За]]</f>
        <v>0</v>
      </c>
      <c r="D28" s="20">
        <f>Таблица24567891011171819202122232425262728293031323334[[#Totals],[Проти]]</f>
        <v>0</v>
      </c>
      <c r="E28" s="20">
        <f>Таблица24567891011171819202122232425262728293031323334[[#Totals],[Утрим]]</f>
        <v>0</v>
      </c>
      <c r="F28" s="44">
        <f>Таблица24567891011171819202122232425262728293031323334[[#Totals],[не голосували]]</f>
        <v>0</v>
      </c>
      <c r="G28" s="34" t="str">
        <f>'27'!$B$31</f>
        <v>Рішення не прийнято</v>
      </c>
      <c r="H28" t="str">
        <f t="shared" si="0"/>
        <v/>
      </c>
      <c r="J28" t="s">
        <v>54</v>
      </c>
    </row>
    <row r="29" spans="1:10" ht="16.5" hidden="1" thickBot="1" x14ac:dyDescent="0.3">
      <c r="A29" s="43" t="str">
        <f>IF(ISBLANK(B29),"",COUNTA($B$2:B29))</f>
        <v/>
      </c>
      <c r="B29" s="48"/>
      <c r="C29" s="20">
        <f>Таблица2456789101117181920212223242526272829303132333435[[#Totals],[За]]</f>
        <v>0</v>
      </c>
      <c r="D29" s="20">
        <f>Таблица2456789101117181920212223242526272829303132333435[[#Totals],[Проти]]</f>
        <v>0</v>
      </c>
      <c r="E29" s="20">
        <f>Таблица2456789101117181920212223242526272829303132333435[[#Totals],[Утрим]]</f>
        <v>0</v>
      </c>
      <c r="F29" s="44">
        <f>Таблица2456789101117181920212223242526272829303132333435[[#Totals],[не голосували]]</f>
        <v>0</v>
      </c>
      <c r="G29" s="34" t="str">
        <f>'28'!$B$31</f>
        <v>Рішення не прийнято</v>
      </c>
      <c r="H29" t="str">
        <f t="shared" si="0"/>
        <v/>
      </c>
      <c r="J29" t="s">
        <v>54</v>
      </c>
    </row>
    <row r="30" spans="1:10" ht="16.5" hidden="1" thickBot="1" x14ac:dyDescent="0.3">
      <c r="A30" s="43" t="str">
        <f>IF(ISBLANK(B30),"",COUNTA($B$2:B30))</f>
        <v/>
      </c>
      <c r="B30" s="47"/>
      <c r="C30" s="20">
        <f>Таблица245678910111718192021222324252627282930313233343536[[#Totals],[За]]</f>
        <v>0</v>
      </c>
      <c r="D30" s="20">
        <f>Таблица245678910111718192021222324252627282930313233343536[[#Totals],[Проти]]</f>
        <v>0</v>
      </c>
      <c r="E30" s="20">
        <f>Таблица245678910111718192021222324252627282930313233343536[[#Totals],[Утрим]]</f>
        <v>0</v>
      </c>
      <c r="F30" s="44">
        <f>Таблица245678910111718192021222324252627282930313233343536[[#Totals],[не голосували]]</f>
        <v>0</v>
      </c>
      <c r="G30" s="34" t="str">
        <f>'29'!$B$31</f>
        <v>Рішення не прийнято</v>
      </c>
      <c r="H30" t="str">
        <f t="shared" si="0"/>
        <v/>
      </c>
      <c r="J30" t="s">
        <v>54</v>
      </c>
    </row>
    <row r="31" spans="1:10" ht="16.5" hidden="1" thickBot="1" x14ac:dyDescent="0.3">
      <c r="A31" s="43" t="str">
        <f>IF(ISBLANK(B31),"",COUNTA($B$2:B31))</f>
        <v/>
      </c>
      <c r="B31" s="48"/>
      <c r="C31" s="20">
        <f>Таблица24567891011171819202122232425262728293031323334353637[[#Totals],[За]]</f>
        <v>0</v>
      </c>
      <c r="D31" s="20">
        <f>Таблица24567891011171819202122232425262728293031323334353637[[#Totals],[Проти]]</f>
        <v>0</v>
      </c>
      <c r="E31" s="20">
        <f>Таблица24567891011171819202122232425262728293031323334353637[[#Totals],[Утрим]]</f>
        <v>0</v>
      </c>
      <c r="F31" s="44">
        <f>Таблица24567891011171819202122232425262728293031323334353637[[#Totals],[не голосували]]</f>
        <v>0</v>
      </c>
      <c r="G31" s="34" t="str">
        <f>'30'!$B$31</f>
        <v>Рішення не прийнято</v>
      </c>
      <c r="H31" t="str">
        <f t="shared" si="0"/>
        <v/>
      </c>
      <c r="J31" t="s">
        <v>54</v>
      </c>
    </row>
    <row r="32" spans="1:10" ht="16.5" hidden="1" thickBot="1" x14ac:dyDescent="0.3">
      <c r="A32" s="43" t="str">
        <f>IF(ISBLANK(B32),"",COUNTA($B$2:B32))</f>
        <v/>
      </c>
      <c r="B32" s="47"/>
      <c r="C32" s="20">
        <f>Таблица2456789101117181920212223242526272829303132333435363738[[#Totals],[За]]</f>
        <v>0</v>
      </c>
      <c r="D32" s="20">
        <f>Таблица2456789101117181920212223242526272829303132333435363738[[#Totals],[Проти]]</f>
        <v>0</v>
      </c>
      <c r="E32" s="20">
        <f>Таблица2456789101117181920212223242526272829303132333435363738[[#Totals],[Утрим]]</f>
        <v>0</v>
      </c>
      <c r="F32" s="44">
        <f>Таблица2456789101117181920212223242526272829303132333435363738[[#Totals],[не голосували]]</f>
        <v>0</v>
      </c>
      <c r="G32" s="34" t="str">
        <f>'31'!$B$31</f>
        <v>Рішення не прийнято</v>
      </c>
      <c r="H32" t="str">
        <f t="shared" si="0"/>
        <v/>
      </c>
      <c r="J32" t="s">
        <v>54</v>
      </c>
    </row>
    <row r="33" spans="1:10" ht="16.5" hidden="1" thickBot="1" x14ac:dyDescent="0.3">
      <c r="A33" s="43" t="str">
        <f>IF(ISBLANK(B33),"",COUNTA($B$2:B33))</f>
        <v/>
      </c>
      <c r="B33" s="48"/>
      <c r="C33" s="20">
        <f>Таблица245678910111718192021222324252627282930313233343536373839[[#Totals],[За]]</f>
        <v>0</v>
      </c>
      <c r="D33" s="20">
        <f>Таблица245678910111718192021222324252627282930313233343536373839[[#Totals],[Проти]]</f>
        <v>0</v>
      </c>
      <c r="E33" s="20">
        <f>Таблица245678910111718192021222324252627282930313233343536373839[[#Totals],[Утрим]]</f>
        <v>0</v>
      </c>
      <c r="F33" s="44">
        <f>Таблица245678910111718192021222324252627282930313233343536373839[[#Totals],[не голосували]]</f>
        <v>0</v>
      </c>
      <c r="G33" s="34" t="str">
        <f>'32'!$B$31</f>
        <v>Рішення не прийнято</v>
      </c>
      <c r="H33" t="str">
        <f t="shared" si="0"/>
        <v/>
      </c>
      <c r="J33" t="s">
        <v>54</v>
      </c>
    </row>
    <row r="34" spans="1:10" ht="16.5" hidden="1" thickBot="1" x14ac:dyDescent="0.3">
      <c r="A34" s="43" t="str">
        <f>IF(ISBLANK(B34),"",COUNTA($B$2:B34))</f>
        <v/>
      </c>
      <c r="B34" s="47"/>
      <c r="C34" s="20">
        <f>Таблица24567891011171819202122232425262728293031323334353637383940[[#Totals],[За]]</f>
        <v>0</v>
      </c>
      <c r="D34" s="20">
        <f>Таблица24567891011171819202122232425262728293031323334353637383940[[#Totals],[Проти]]</f>
        <v>0</v>
      </c>
      <c r="E34" s="20">
        <f>Таблица24567891011171819202122232425262728293031323334353637383940[[#Totals],[Утрим]]</f>
        <v>0</v>
      </c>
      <c r="F34" s="44">
        <f>Таблица24567891011171819202122232425262728293031323334353637383940[[#Totals],[не голосували]]</f>
        <v>0</v>
      </c>
      <c r="G34" s="34" t="str">
        <f>'33'!$B$31</f>
        <v>Рішення не прийнято</v>
      </c>
      <c r="H34" t="str">
        <f t="shared" si="0"/>
        <v/>
      </c>
      <c r="J34" t="s">
        <v>54</v>
      </c>
    </row>
    <row r="35" spans="1:10" ht="16.5" hidden="1" thickBot="1" x14ac:dyDescent="0.3">
      <c r="A35" s="43" t="str">
        <f>IF(ISBLANK(B35),"",COUNTA($B$2:B35))</f>
        <v/>
      </c>
      <c r="B35" s="48"/>
      <c r="C35" s="20">
        <f>Таблица2456789101117181920212223242526272829303132333435363738394041[[#Totals],[За]]</f>
        <v>0</v>
      </c>
      <c r="D35" s="20">
        <f>Таблица2456789101117181920212223242526272829303132333435363738394041[[#Totals],[Проти]]</f>
        <v>0</v>
      </c>
      <c r="E35" s="20">
        <f>Таблица2456789101117181920212223242526272829303132333435363738394041[[#Totals],[Утрим]]</f>
        <v>0</v>
      </c>
      <c r="F35" s="44">
        <f>Таблица2456789101117181920212223242526272829303132333435363738394041[[#Totals],[не голосували]]</f>
        <v>0</v>
      </c>
      <c r="G35" s="34" t="str">
        <f>'34'!$B$31</f>
        <v>Рішення не прийнято</v>
      </c>
      <c r="H35" t="str">
        <f t="shared" si="0"/>
        <v/>
      </c>
      <c r="J35" t="s">
        <v>54</v>
      </c>
    </row>
    <row r="36" spans="1:10" ht="16.5" hidden="1" thickBot="1" x14ac:dyDescent="0.3">
      <c r="A36" s="43" t="str">
        <f>IF(ISBLANK(B36),"",COUNTA($B$2:B36))</f>
        <v/>
      </c>
      <c r="B36" s="47"/>
      <c r="C36" s="20">
        <f>Таблица245678910111718192021222324252627282930313233343536373839404142[[#Totals],[За]]</f>
        <v>0</v>
      </c>
      <c r="D36" s="20">
        <f>Таблица245678910111718192021222324252627282930313233343536373839404142[[#Totals],[Проти]]</f>
        <v>0</v>
      </c>
      <c r="E36" s="20">
        <f>Таблица245678910111718192021222324252627282930313233343536373839404142[[#Totals],[Утрим]]</f>
        <v>0</v>
      </c>
      <c r="F36" s="44">
        <f>Таблица245678910111718192021222324252627282930313233343536373839404142[[#Totals],[не голосували]]</f>
        <v>0</v>
      </c>
      <c r="G36" s="34" t="str">
        <f>'35'!$B$31</f>
        <v>Рішення не прийнято</v>
      </c>
      <c r="H36" t="str">
        <f t="shared" si="0"/>
        <v/>
      </c>
      <c r="J36" t="s">
        <v>54</v>
      </c>
    </row>
    <row r="37" spans="1:10" ht="16.5" hidden="1" thickBot="1" x14ac:dyDescent="0.3">
      <c r="A37" s="43" t="str">
        <f>IF(ISBLANK(B37),"",COUNTA($B$2:B37))</f>
        <v/>
      </c>
      <c r="B37" s="48"/>
      <c r="C37" s="20">
        <f>Таблица24567891011171819202122232425262728293031323334353637383940414243[[#Totals],[За]]</f>
        <v>0</v>
      </c>
      <c r="D37" s="20">
        <f>Таблица24567891011171819202122232425262728293031323334353637383940414243[[#Totals],[Проти]]</f>
        <v>0</v>
      </c>
      <c r="E37" s="20">
        <f>Таблица24567891011171819202122232425262728293031323334353637383940414243[[#Totals],[Утрим]]</f>
        <v>0</v>
      </c>
      <c r="F37" s="44">
        <f>Таблица24567891011171819202122232425262728293031323334353637383940414243[[#Totals],[не голосували]]</f>
        <v>0</v>
      </c>
      <c r="G37" s="34" t="str">
        <f>'36'!$B$31</f>
        <v>Рішення не прийнято</v>
      </c>
      <c r="H37" t="str">
        <f t="shared" si="0"/>
        <v/>
      </c>
      <c r="J37" t="s">
        <v>54</v>
      </c>
    </row>
    <row r="38" spans="1:10" ht="16.5" hidden="1" thickBot="1" x14ac:dyDescent="0.3">
      <c r="A38" s="43" t="str">
        <f>IF(ISBLANK(B38),"",COUNTA($B$2:B38))</f>
        <v/>
      </c>
      <c r="B38" s="47"/>
      <c r="C38" s="20">
        <f>Таблица2456789101117181920212223242526272829303132333435363738394041424344[[#Totals],[За]]</f>
        <v>0</v>
      </c>
      <c r="D38" s="20">
        <f>Таблица2456789101117181920212223242526272829303132333435363738394041424344[[#Totals],[Проти]]</f>
        <v>0</v>
      </c>
      <c r="E38" s="20">
        <f>Таблица2456789101117181920212223242526272829303132333435363738394041424344[[#Totals],[Утрим]]</f>
        <v>0</v>
      </c>
      <c r="F38" s="44">
        <f>Таблица2456789101117181920212223242526272829303132333435363738394041424344[[#Totals],[не голосували]]</f>
        <v>0</v>
      </c>
      <c r="G38" s="34" t="str">
        <f>'37'!$B$31</f>
        <v>Рішення не прийнято</v>
      </c>
      <c r="H38" t="str">
        <f t="shared" si="0"/>
        <v/>
      </c>
      <c r="J38" t="s">
        <v>54</v>
      </c>
    </row>
    <row r="39" spans="1:10" ht="16.5" hidden="1" thickBot="1" x14ac:dyDescent="0.3">
      <c r="A39" s="43" t="str">
        <f>IF(ISBLANK(B39),"",COUNTA($B$2:B39))</f>
        <v/>
      </c>
      <c r="B39" s="48"/>
      <c r="C39" s="20">
        <f>Таблица245678910111718192021222324252627282930313233343536373839404142434445[[#Totals],[За]]</f>
        <v>0</v>
      </c>
      <c r="D39" s="20">
        <f>Таблица245678910111718192021222324252627282930313233343536373839404142434445[[#Totals],[Проти]]</f>
        <v>0</v>
      </c>
      <c r="E39" s="20">
        <f>Таблица245678910111718192021222324252627282930313233343536373839404142434445[[#Totals],[Утрим]]</f>
        <v>0</v>
      </c>
      <c r="F39" s="44">
        <f>Таблица245678910111718192021222324252627282930313233343536373839404142434445[[#Totals],[не голосували]]</f>
        <v>0</v>
      </c>
      <c r="G39" s="34" t="str">
        <f>'38'!$B$31</f>
        <v>Рішення не прийнято</v>
      </c>
      <c r="H39" t="str">
        <f t="shared" si="0"/>
        <v/>
      </c>
      <c r="J39" t="s">
        <v>54</v>
      </c>
    </row>
    <row r="40" spans="1:10" ht="16.5" hidden="1" thickBot="1" x14ac:dyDescent="0.3">
      <c r="A40" s="43" t="str">
        <f>IF(ISBLANK(B40),"",COUNTA($B$2:B40))</f>
        <v/>
      </c>
      <c r="B40" s="47"/>
      <c r="C40" s="20">
        <f>Таблица24567891011171819202122232425262728293031323334353637383940414243444546[[#Totals],[За]]</f>
        <v>0</v>
      </c>
      <c r="D40" s="20">
        <f>Таблица24567891011171819202122232425262728293031323334353637383940414243444546[[#Totals],[Проти]]</f>
        <v>0</v>
      </c>
      <c r="E40" s="20">
        <f>Таблица24567891011171819202122232425262728293031323334353637383940414243444546[[#Totals],[Утрим]]</f>
        <v>0</v>
      </c>
      <c r="F40" s="44">
        <f>Таблица24567891011171819202122232425262728293031323334353637383940414243444546[[#Totals],[не голосували]]</f>
        <v>0</v>
      </c>
      <c r="G40" s="34" t="str">
        <f>'39'!$B$31</f>
        <v>Рішення не прийнято</v>
      </c>
      <c r="H40" t="str">
        <f t="shared" si="0"/>
        <v/>
      </c>
      <c r="J40" t="s">
        <v>54</v>
      </c>
    </row>
    <row r="41" spans="1:10" ht="16.5" hidden="1" thickBot="1" x14ac:dyDescent="0.3">
      <c r="A41" s="43" t="str">
        <f>IF(ISBLANK(B41),"",COUNTA($B$2:B41))</f>
        <v/>
      </c>
      <c r="B41" s="48"/>
      <c r="C41" s="20">
        <f>Таблица2456789101117181920212223242526272829303132333435363738394041424344454647[[#Totals],[За]]</f>
        <v>0</v>
      </c>
      <c r="D41" s="20">
        <f>Таблица2456789101117181920212223242526272829303132333435363738394041424344454647[[#Totals],[Проти]]</f>
        <v>0</v>
      </c>
      <c r="E41" s="20">
        <f>Таблица2456789101117181920212223242526272829303132333435363738394041424344454647[[#Totals],[Утрим]]</f>
        <v>0</v>
      </c>
      <c r="F41" s="44">
        <f>Таблица2456789101117181920212223242526272829303132333435363738394041424344454647[[#Totals],[не голосували]]</f>
        <v>0</v>
      </c>
      <c r="G41" s="34" t="str">
        <f>'40'!$B$31</f>
        <v>Рішення не прийнято</v>
      </c>
      <c r="H41" t="str">
        <f t="shared" si="0"/>
        <v/>
      </c>
      <c r="J41" t="s">
        <v>54</v>
      </c>
    </row>
    <row r="42" spans="1:10" ht="16.5" hidden="1" thickBot="1" x14ac:dyDescent="0.3">
      <c r="A42" s="43" t="str">
        <f>IF(ISBLANK(B42),"",COUNTA($B$2:B42))</f>
        <v/>
      </c>
      <c r="B42" s="47"/>
      <c r="C42" s="20">
        <f>Таблица245678910111718192021222324252627282930313233343536373839404142434445464748[[#Totals],[За]]</f>
        <v>0</v>
      </c>
      <c r="D42" s="20">
        <f>Таблица245678910111718192021222324252627282930313233343536373839404142434445464748[[#Totals],[Проти]]</f>
        <v>0</v>
      </c>
      <c r="E42" s="20">
        <f>Таблица245678910111718192021222324252627282930313233343536373839404142434445464748[[#Totals],[Утрим]]</f>
        <v>0</v>
      </c>
      <c r="F42" s="20">
        <f>Таблица245678910111718192021222324252627282930313233343536373839404142434445464748[[#Totals],[не голосували]]</f>
        <v>0</v>
      </c>
      <c r="G42" s="34" t="str">
        <f>'41'!B31</f>
        <v>Рішення не прийнято</v>
      </c>
      <c r="J42" t="s">
        <v>54</v>
      </c>
    </row>
    <row r="43" spans="1:10" ht="16.5" hidden="1" thickBot="1" x14ac:dyDescent="0.3">
      <c r="A43" s="43" t="str">
        <f>IF(ISBLANK(B43),"",COUNTA($B$2:B43))</f>
        <v/>
      </c>
      <c r="B43" s="48"/>
      <c r="C43" s="20">
        <f>Таблица24567891011171819202122232425262728293031323334353637383940414243444546474849[[#Totals],[За]]</f>
        <v>0</v>
      </c>
      <c r="D43" s="20">
        <f>Таблица24567891011171819202122232425262728293031323334353637383940414243444546474849[[#Totals],[Проти]]</f>
        <v>0</v>
      </c>
      <c r="E43" s="20">
        <f>Таблица24567891011171819202122232425262728293031323334353637383940414243444546474849[[#Totals],[Утрим]]</f>
        <v>0</v>
      </c>
      <c r="F43" s="20">
        <f>Таблица24567891011171819202122232425262728293031323334353637383940414243444546474849[[#Totals],[не голосували]]</f>
        <v>0</v>
      </c>
      <c r="G43" s="34" t="str">
        <f>'42'!B31</f>
        <v>Рішення не прийнято</v>
      </c>
      <c r="J43" t="s">
        <v>54</v>
      </c>
    </row>
    <row r="44" spans="1:10" ht="16.5" hidden="1" thickBot="1" x14ac:dyDescent="0.3">
      <c r="A44" s="43" t="str">
        <f>IF(ISBLANK(B44),"",COUNTA($B$2:B44))</f>
        <v/>
      </c>
      <c r="B44" s="47"/>
      <c r="C44" s="20">
        <f>Таблица2456789101117181920212223242526272829303132333435363738394041424344454647484950[[#Totals],[За]]</f>
        <v>0</v>
      </c>
      <c r="D44" s="20">
        <f>Таблица2456789101117181920212223242526272829303132333435363738394041424344454647484950[[#Totals],[Проти]]</f>
        <v>0</v>
      </c>
      <c r="E44" s="20">
        <f>Таблица2456789101117181920212223242526272829303132333435363738394041424344454647484950[[#Totals],[Утрим]]</f>
        <v>0</v>
      </c>
      <c r="F44" s="20">
        <f>Таблица2456789101117181920212223242526272829303132333435363738394041424344454647484950[[#Totals],[не голосували]]</f>
        <v>0</v>
      </c>
      <c r="G44" s="34" t="str">
        <f>'43'!B31</f>
        <v>Рішення не прийнято</v>
      </c>
      <c r="J44" t="s">
        <v>54</v>
      </c>
    </row>
    <row r="45" spans="1:10" ht="16.5" hidden="1" thickBot="1" x14ac:dyDescent="0.3">
      <c r="A45" s="43" t="str">
        <f>IF(ISBLANK(B45),"",COUNTA($B$2:B45))</f>
        <v/>
      </c>
      <c r="B45" s="48"/>
      <c r="C45" s="20">
        <f>Таблица245678910111718192021222324252627282930313233343536373839404142434445464748495051[[#Totals],[За]]</f>
        <v>0</v>
      </c>
      <c r="D45" s="20">
        <f>Таблица245678910111718192021222324252627282930313233343536373839404142434445464748495051[[#Totals],[Проти]]</f>
        <v>0</v>
      </c>
      <c r="E45" s="20">
        <f>Таблица245678910111718192021222324252627282930313233343536373839404142434445464748495051[[#Totals],[Утрим]]</f>
        <v>0</v>
      </c>
      <c r="F45" s="20">
        <f>Таблица245678910111718192021222324252627282930313233343536373839404142434445464748495051[[#Totals],[не голосували]]</f>
        <v>0</v>
      </c>
      <c r="G45" s="34" t="str">
        <f>'44'!B31</f>
        <v>Рішення не прийнято</v>
      </c>
      <c r="J45" t="s">
        <v>54</v>
      </c>
    </row>
    <row r="46" spans="1:10" ht="16.5" hidden="1" thickBot="1" x14ac:dyDescent="0.3">
      <c r="A46" s="43" t="str">
        <f>IF(ISBLANK(B46),"",COUNTA($B$2:B46))</f>
        <v/>
      </c>
      <c r="B46" s="47"/>
      <c r="C46" s="20">
        <f>Таблица24567891011171819202122232425262728293031323334353637383940414243444546474849505152[[#Totals],[За]]</f>
        <v>0</v>
      </c>
      <c r="D46" s="20">
        <f>Таблица24567891011171819202122232425262728293031323334353637383940414243444546474849505152[[#Totals],[Проти]]</f>
        <v>0</v>
      </c>
      <c r="E46" s="20">
        <f>Таблица24567891011171819202122232425262728293031323334353637383940414243444546474849505152[[#Totals],[Утрим]]</f>
        <v>0</v>
      </c>
      <c r="F46" s="20">
        <f>Таблица24567891011171819202122232425262728293031323334353637383940414243444546474849505152[[#Totals],[не голосували]]</f>
        <v>0</v>
      </c>
      <c r="G46" s="34" t="str">
        <f>'45'!B31</f>
        <v>Рішення не прийнято</v>
      </c>
      <c r="J46" t="s">
        <v>54</v>
      </c>
    </row>
    <row r="47" spans="1:10" ht="16.5" hidden="1" thickBot="1" x14ac:dyDescent="0.3">
      <c r="A47" s="43" t="str">
        <f>IF(ISBLANK(B47),"",COUNTA($B$2:B47))</f>
        <v/>
      </c>
      <c r="B47" s="48"/>
      <c r="C47" s="20">
        <f>Таблица2456789101117181920212223242526272829303132333435363738394041424344454647484950515253[[#Totals],[За]]</f>
        <v>0</v>
      </c>
      <c r="D47" s="20">
        <f>Таблица2456789101117181920212223242526272829303132333435363738394041424344454647484950515253[[#Totals],[Проти]]</f>
        <v>0</v>
      </c>
      <c r="E47" s="20">
        <f>Таблица2456789101117181920212223242526272829303132333435363738394041424344454647484950515253[[#Totals],[Утрим]]</f>
        <v>0</v>
      </c>
      <c r="F47" s="20">
        <f>Таблица2456789101117181920212223242526272829303132333435363738394041424344454647484950515253[[#Totals],[не голосували]]</f>
        <v>0</v>
      </c>
      <c r="G47" s="34" t="str">
        <f>'46'!B31</f>
        <v>Рішення не прийнято</v>
      </c>
      <c r="J47" t="s">
        <v>54</v>
      </c>
    </row>
    <row r="48" spans="1:10" ht="16.5" hidden="1" thickBot="1" x14ac:dyDescent="0.3">
      <c r="A48" s="43" t="str">
        <f>IF(ISBLANK(B48),"",COUNTA($B$2:B48))</f>
        <v/>
      </c>
      <c r="B48" s="47"/>
      <c r="C48" s="20">
        <f>Таблица245678910111718192021222324252627282930313233343536373839404142434445464748495051525354[[#Totals],[За]]</f>
        <v>0</v>
      </c>
      <c r="D48" s="20">
        <f>Таблица245678910111718192021222324252627282930313233343536373839404142434445464748495051525354[[#Totals],[Проти]]</f>
        <v>0</v>
      </c>
      <c r="E48" s="20">
        <f>Таблица245678910111718192021222324252627282930313233343536373839404142434445464748495051525354[[#Totals],[Утрим]]</f>
        <v>0</v>
      </c>
      <c r="F48" s="20">
        <f>Таблица245678910111718192021222324252627282930313233343536373839404142434445464748495051525354[[#Totals],[не голосували]]</f>
        <v>0</v>
      </c>
      <c r="G48" s="34" t="str">
        <f>'47'!B31</f>
        <v>Рішення не прийнято</v>
      </c>
      <c r="J48" t="s">
        <v>54</v>
      </c>
    </row>
    <row r="49" spans="1:10" ht="16.5" hidden="1" thickBot="1" x14ac:dyDescent="0.3">
      <c r="A49" s="43" t="str">
        <f>IF(ISBLANK(B49),"",COUNTA($B$2:B49))</f>
        <v/>
      </c>
      <c r="B49" s="48"/>
      <c r="C49" s="20">
        <f>Таблица24567891011171819202122232425262728293031323334353637383940414243444546474849505152535455[[#Totals],[За]]</f>
        <v>0</v>
      </c>
      <c r="D49" s="20">
        <f>Таблица24567891011171819202122232425262728293031323334353637383940414243444546474849505152535455[[#Totals],[Проти]]</f>
        <v>0</v>
      </c>
      <c r="E49" s="20">
        <f>Таблица24567891011171819202122232425262728293031323334353637383940414243444546474849505152535455[[#Totals],[Утрим]]</f>
        <v>0</v>
      </c>
      <c r="F49" s="20">
        <f>Таблица24567891011171819202122232425262728293031323334353637383940414243444546474849505152535455[[#Totals],[не голосували]]</f>
        <v>0</v>
      </c>
      <c r="G49" s="34" t="str">
        <f>'48'!B31</f>
        <v>Рішення не прийнято</v>
      </c>
      <c r="J49" t="s">
        <v>54</v>
      </c>
    </row>
    <row r="50" spans="1:10" ht="16.5" hidden="1" thickBot="1" x14ac:dyDescent="0.3">
      <c r="A50" s="43" t="str">
        <f>IF(ISBLANK(B50),"",COUNTA($B$2:B50))</f>
        <v/>
      </c>
      <c r="B50" s="47"/>
      <c r="C50" s="20">
        <f>Таблица2456789101117181920212223242526272829303132333435363738394041424344454647484950515253545556[[#Totals],[За]]</f>
        <v>0</v>
      </c>
      <c r="D50" s="20">
        <f>Таблица2456789101117181920212223242526272829303132333435363738394041424344454647484950515253545556[[#Totals],[Проти]]</f>
        <v>0</v>
      </c>
      <c r="E50" s="20">
        <f>Таблица2456789101117181920212223242526272829303132333435363738394041424344454647484950515253545556[[#Totals],[Утрим]]</f>
        <v>0</v>
      </c>
      <c r="F50" s="20">
        <f>Таблица2456789101117181920212223242526272829303132333435363738394041424344454647484950515253545556[[#Totals],[не голосували]]</f>
        <v>0</v>
      </c>
      <c r="G50" s="34" t="str">
        <f>'49'!B31</f>
        <v>Рішення не прийнято</v>
      </c>
      <c r="J50" t="s">
        <v>54</v>
      </c>
    </row>
    <row r="51" spans="1:10" ht="16.5" hidden="1" thickBot="1" x14ac:dyDescent="0.3">
      <c r="A51" s="43" t="str">
        <f>IF(ISBLANK(B51),"",COUNTA($B$2:B51))</f>
        <v/>
      </c>
      <c r="B51" s="48"/>
      <c r="C51" s="20">
        <f>Таблица245678910111718192021222324252627282930313233343536373839404142434445464748495051525354555657[[#Totals],[За]]</f>
        <v>0</v>
      </c>
      <c r="D51" s="20">
        <f>Таблица245678910111718192021222324252627282930313233343536373839404142434445464748495051525354555657[[#Totals],[Проти]]</f>
        <v>0</v>
      </c>
      <c r="E51" s="20">
        <f>Таблица245678910111718192021222324252627282930313233343536373839404142434445464748495051525354555657[[#Totals],[Утрим]]</f>
        <v>0</v>
      </c>
      <c r="F51" s="20">
        <f>Таблица245678910111718192021222324252627282930313233343536373839404142434445464748495051525354555657[[#Totals],[не голосували]]</f>
        <v>0</v>
      </c>
      <c r="G51" s="34" t="str">
        <f>'50'!B31</f>
        <v>Рішення не прийнято</v>
      </c>
      <c r="J51" t="s">
        <v>54</v>
      </c>
    </row>
    <row r="52" spans="1:10" ht="16.5" hidden="1" thickBot="1" x14ac:dyDescent="0.3">
      <c r="A52" s="43" t="str">
        <f>IF(ISBLANK(B52),"",COUNTA($B$2:B52))</f>
        <v/>
      </c>
      <c r="B52" s="47"/>
      <c r="C52" s="20">
        <f>Таблица24567891011171819202122232425262728293031323334353637383940414243444546474849505152535455565758[[#Totals],[За]]</f>
        <v>0</v>
      </c>
      <c r="D52" s="20">
        <f>Таблица24567891011171819202122232425262728293031323334353637383940414243444546474849505152535455565758[[#Totals],[Проти]]</f>
        <v>0</v>
      </c>
      <c r="E52" s="20">
        <f>Таблица24567891011171819202122232425262728293031323334353637383940414243444546474849505152535455565758[[#Totals],[Утрим]]</f>
        <v>0</v>
      </c>
      <c r="F52" s="20">
        <f>Таблица24567891011171819202122232425262728293031323334353637383940414243444546474849505152535455565758[[#Totals],[не голосували]]</f>
        <v>0</v>
      </c>
      <c r="G52" s="34" t="str">
        <f>'51'!B31</f>
        <v>Рішення не прийнято</v>
      </c>
      <c r="J52" t="s">
        <v>54</v>
      </c>
    </row>
    <row r="53" spans="1:10" ht="16.5" hidden="1" thickBot="1" x14ac:dyDescent="0.3">
      <c r="A53" s="43" t="str">
        <f>IF(ISBLANK(B53),"",COUNTA($B$2:B53))</f>
        <v/>
      </c>
      <c r="B53" s="48"/>
      <c r="C53" s="20">
        <f>Таблица2456789101117181920212223242526272829303132333435363738394041424344454647484950515253545556575859[[#Totals],[За]]</f>
        <v>0</v>
      </c>
      <c r="D53" s="20">
        <f>Таблица2456789101117181920212223242526272829303132333435363738394041424344454647484950515253545556575859[[#Totals],[Проти]]</f>
        <v>0</v>
      </c>
      <c r="E53" s="20">
        <f>Таблица2456789101117181920212223242526272829303132333435363738394041424344454647484950515253545556575859[[#Totals],[Утрим]]</f>
        <v>0</v>
      </c>
      <c r="F53" s="20">
        <f>Таблица2456789101117181920212223242526272829303132333435363738394041424344454647484950515253545556575859[[#Totals],[не голосували]]</f>
        <v>0</v>
      </c>
      <c r="G53" s="34" t="str">
        <f>'52'!B31</f>
        <v>Рішення не прийнято</v>
      </c>
      <c r="J53" t="s">
        <v>54</v>
      </c>
    </row>
    <row r="54" spans="1:10" ht="16.5" hidden="1" thickBot="1" x14ac:dyDescent="0.3">
      <c r="A54" s="43" t="str">
        <f>IF(ISBLANK(B54),"",COUNTA($B$2:B54))</f>
        <v/>
      </c>
      <c r="B54" s="47"/>
      <c r="C54" s="20">
        <f>Таблица245678910111718192021222324252627282930313233343536373839404142434445464748495051525354555657585960[[#Totals],[За]]</f>
        <v>0</v>
      </c>
      <c r="D54" s="20">
        <f>Таблица245678910111718192021222324252627282930313233343536373839404142434445464748495051525354555657585960[[#Totals],[Проти]]</f>
        <v>0</v>
      </c>
      <c r="E54" s="20">
        <f>Таблица245678910111718192021222324252627282930313233343536373839404142434445464748495051525354555657585960[[#Totals],[Утрим]]</f>
        <v>0</v>
      </c>
      <c r="F54" s="20">
        <f>Таблица245678910111718192021222324252627282930313233343536373839404142434445464748495051525354555657585960[[#Totals],[не голосували]]</f>
        <v>0</v>
      </c>
      <c r="G54" s="34" t="str">
        <f>'53'!B31</f>
        <v>Рішення не прийнято</v>
      </c>
      <c r="J54" t="s">
        <v>54</v>
      </c>
    </row>
    <row r="55" spans="1:10" ht="16.5" hidden="1" thickBot="1" x14ac:dyDescent="0.3">
      <c r="A55" s="43" t="str">
        <f>IF(ISBLANK(B55),"",COUNTA($B$2:B55))</f>
        <v/>
      </c>
      <c r="B55" s="48"/>
      <c r="C55" s="20">
        <f>Таблица24567891011171819202122232425262728293031323334353637383940414243444546474849505152535455565758596061[[#Totals],[За]]</f>
        <v>0</v>
      </c>
      <c r="D55" s="20">
        <f>Таблица24567891011171819202122232425262728293031323334353637383940414243444546474849505152535455565758596061[[#Totals],[Проти]]</f>
        <v>0</v>
      </c>
      <c r="E55" s="20">
        <f>Таблица24567891011171819202122232425262728293031323334353637383940414243444546474849505152535455565758596061[[#Totals],[Утрим]]</f>
        <v>0</v>
      </c>
      <c r="F55" s="20">
        <f>Таблица24567891011171819202122232425262728293031323334353637383940414243444546474849505152535455565758596061[[#Totals],[не голосували]]</f>
        <v>0</v>
      </c>
      <c r="G55" s="34" t="str">
        <f>'54'!B31</f>
        <v>Рішення не прийнято</v>
      </c>
      <c r="J55" t="s">
        <v>54</v>
      </c>
    </row>
    <row r="56" spans="1:10" ht="16.5" hidden="1" thickBot="1" x14ac:dyDescent="0.3">
      <c r="A56" s="45" t="str">
        <f>IF(ISBLANK(B56),"",COUNTA($B$2:B56))</f>
        <v/>
      </c>
      <c r="B56" s="47"/>
      <c r="C56" s="20">
        <f>Таблица2456789101117181920212223242526272829303132333435363738394041424344454647484950515253545556575859606162[[#Totals],[За]]</f>
        <v>0</v>
      </c>
      <c r="D56" s="20">
        <f>Таблица2456789101117181920212223242526272829303132333435363738394041424344454647484950515253545556575859606162[[#Totals],[Проти]]</f>
        <v>0</v>
      </c>
      <c r="E56" s="20">
        <f>Таблица2456789101117181920212223242526272829303132333435363738394041424344454647484950515253545556575859606162[[#Totals],[Утрим]]</f>
        <v>0</v>
      </c>
      <c r="F56" s="20">
        <f>Таблица2456789101117181920212223242526272829303132333435363738394041424344454647484950515253545556575859606162[[#Totals],[не голосували]]</f>
        <v>0</v>
      </c>
      <c r="G56" s="34" t="str">
        <f>'55'!B31</f>
        <v>Рішення не прийнято</v>
      </c>
      <c r="J56" t="s">
        <v>54</v>
      </c>
    </row>
    <row r="57" spans="1:10" ht="16.5" hidden="1" thickBot="1" x14ac:dyDescent="0.3">
      <c r="A57" s="45" t="str">
        <f>IF(ISBLANK(B57),"",COUNTA($B$2:B57))</f>
        <v/>
      </c>
      <c r="B57" s="48"/>
      <c r="C57" s="20">
        <f>Таблица245678910111718192021222324252627282930313233343536373839404142434445464748495051525354555657585960616263[[#Totals],[За]]</f>
        <v>0</v>
      </c>
      <c r="D57" s="20">
        <f>Таблица245678910111718192021222324252627282930313233343536373839404142434445464748495051525354555657585960616263[[#Totals],[Проти]]</f>
        <v>0</v>
      </c>
      <c r="E57" s="20">
        <f>Таблица245678910111718192021222324252627282930313233343536373839404142434445464748495051525354555657585960616263[[#Totals],[Утрим]]</f>
        <v>0</v>
      </c>
      <c r="F57" s="20">
        <f>Таблица245678910111718192021222324252627282930313233343536373839404142434445464748495051525354555657585960616263[[#Totals],[не голосували]]</f>
        <v>0</v>
      </c>
      <c r="G57" s="34" t="str">
        <f>'56'!B31</f>
        <v>Рішення не прийнято</v>
      </c>
      <c r="J57" t="s">
        <v>54</v>
      </c>
    </row>
    <row r="58" spans="1:10" ht="16.5" hidden="1" thickBot="1" x14ac:dyDescent="0.3">
      <c r="A58" s="45" t="str">
        <f>IF(ISBLANK(B58),"",COUNTA($B$2:B58))</f>
        <v/>
      </c>
      <c r="B58" s="47"/>
      <c r="C58" s="20">
        <f>Таблица2456789101117181920212223242526272829303132333435363738394041424344454647484950515253545556575859606162636465[[#Totals],[За]]</f>
        <v>0</v>
      </c>
      <c r="D58" s="20">
        <f>Таблица2456789101117181920212223242526272829303132333435363738394041424344454647484950515253545556575859606162636465[[#Totals],[Проти]]</f>
        <v>0</v>
      </c>
      <c r="E58" s="20">
        <f>Таблица2456789101117181920212223242526272829303132333435363738394041424344454647484950515253545556575859606162636465[[#Totals],[Утрим]]</f>
        <v>0</v>
      </c>
      <c r="F58" s="20">
        <f>Таблица2456789101117181920212223242526272829303132333435363738394041424344454647484950515253545556575859606162636465[[#Totals],[не голосували]]</f>
        <v>0</v>
      </c>
      <c r="G58" s="34" t="str">
        <f>'57'!B31</f>
        <v>Рішення не прийнято</v>
      </c>
      <c r="J58" t="s">
        <v>54</v>
      </c>
    </row>
    <row r="59" spans="1:10" ht="16.5" hidden="1" thickBot="1" x14ac:dyDescent="0.3">
      <c r="A59" s="45" t="str">
        <f>IF(ISBLANK(B59),"",COUNTA($B$2:B59))</f>
        <v/>
      </c>
      <c r="B59" s="48"/>
      <c r="C59" s="20">
        <f>Таблица24567891011171819202122232425262728293031323334353637383940414243444546474849505152535455565758596061626364[[#Totals],[За]]</f>
        <v>0</v>
      </c>
      <c r="D59" s="20">
        <f>Таблица24567891011171819202122232425262728293031323334353637383940414243444546474849505152535455565758596061626364[[#Totals],[Проти]]</f>
        <v>0</v>
      </c>
      <c r="E59" s="20">
        <f>Таблица24567891011171819202122232425262728293031323334353637383940414243444546474849505152535455565758596061626364[[#Totals],[Утрим]]</f>
        <v>0</v>
      </c>
      <c r="F59" s="20">
        <f>Таблица24567891011171819202122232425262728293031323334353637383940414243444546474849505152535455565758596061626364[[#Totals],[не голосували]]</f>
        <v>0</v>
      </c>
      <c r="G59" s="34" t="str">
        <f>'58'!B31</f>
        <v>Рішення не прийнято</v>
      </c>
      <c r="J59" t="s">
        <v>54</v>
      </c>
    </row>
    <row r="60" spans="1:10" ht="16.5" hidden="1" thickBot="1" x14ac:dyDescent="0.3">
      <c r="A60" s="45" t="str">
        <f>IF(ISBLANK(B60),"",COUNTA($B$2:B60))</f>
        <v/>
      </c>
      <c r="B60" s="47"/>
      <c r="C60" s="20">
        <f>Таблица2456789101117181920212223242526272829303132333435363738394041424344454647484950515253545556575859606162636466[[#Totals],[За]]</f>
        <v>0</v>
      </c>
      <c r="D60" s="20">
        <f>Таблица2456789101117181920212223242526272829303132333435363738394041424344454647484950515253545556575859606162636466[[#Totals],[Проти]]</f>
        <v>0</v>
      </c>
      <c r="E60" s="20">
        <f>Таблица2456789101117181920212223242526272829303132333435363738394041424344454647484950515253545556575859606162636466[[#Totals],[Утрим]]</f>
        <v>0</v>
      </c>
      <c r="F60" s="20">
        <f>Таблица2456789101117181920212223242526272829303132333435363738394041424344454647484950515253545556575859606162636466[[#Totals],[не голосували]]</f>
        <v>0</v>
      </c>
      <c r="G60" s="34" t="str">
        <f>'59'!B31</f>
        <v>Рішення не прийнято</v>
      </c>
      <c r="J60" t="s">
        <v>54</v>
      </c>
    </row>
    <row r="61" spans="1:10" ht="16.5" hidden="1" thickBot="1" x14ac:dyDescent="0.3">
      <c r="A61" s="45" t="str">
        <f>IF(ISBLANK(B61),"",COUNTA($B$2:B61))</f>
        <v/>
      </c>
      <c r="B61" s="48"/>
      <c r="C61" s="20">
        <f>Таблица245678910111718192021222324252627282930313233343536373839404142434445464748495051525354555657585960616263646667[[#Totals],[За]]</f>
        <v>0</v>
      </c>
      <c r="D61" s="20">
        <f>Таблица245678910111718192021222324252627282930313233343536373839404142434445464748495051525354555657585960616263646667[[#Totals],[Проти]]</f>
        <v>0</v>
      </c>
      <c r="E61" s="20">
        <f>Таблица245678910111718192021222324252627282930313233343536373839404142434445464748495051525354555657585960616263646667[[#Totals],[Утрим]]</f>
        <v>0</v>
      </c>
      <c r="F61" s="20">
        <f>Таблица245678910111718192021222324252627282930313233343536373839404142434445464748495051525354555657585960616263646667[[#Totals],[не голосували]]</f>
        <v>0</v>
      </c>
      <c r="G61" s="34" t="str">
        <f>'60'!B31</f>
        <v>Рішення не прийнято</v>
      </c>
      <c r="J61" t="s">
        <v>54</v>
      </c>
    </row>
    <row r="62" spans="1:10" ht="16.5" hidden="1" thickBot="1" x14ac:dyDescent="0.3">
      <c r="A62" s="45" t="str">
        <f>IF(ISBLANK(B62),"",COUNTA($B$2:B62))</f>
        <v/>
      </c>
      <c r="B62" s="47"/>
      <c r="C62" s="20">
        <f>Таблица24567891011171819202122232425262728293031323334353637383940414243444546474849505152535455565758596061626364666768[[#Totals],[За]]</f>
        <v>0</v>
      </c>
      <c r="D62" s="20">
        <f>Таблица24567891011171819202122232425262728293031323334353637383940414243444546474849505152535455565758596061626364666768[[#Totals],[Проти]]</f>
        <v>0</v>
      </c>
      <c r="E62" s="20">
        <f>Таблица24567891011171819202122232425262728293031323334353637383940414243444546474849505152535455565758596061626364666768[[#Totals],[Утрим]]</f>
        <v>0</v>
      </c>
      <c r="F62" s="20">
        <f>Таблица24567891011171819202122232425262728293031323334353637383940414243444546474849505152535455565758596061626364666768[[#Totals],[не голосували]]</f>
        <v>0</v>
      </c>
      <c r="G62" s="34" t="str">
        <f>'60'!B31</f>
        <v>Рішення не прийнято</v>
      </c>
      <c r="J62" t="s">
        <v>54</v>
      </c>
    </row>
    <row r="63" spans="1:10" ht="16.5" hidden="1" thickBot="1" x14ac:dyDescent="0.3">
      <c r="A63" s="45" t="str">
        <f>IF(ISBLANK(B63),"",COUNTA($B$2:B63))</f>
        <v/>
      </c>
      <c r="B63" s="48"/>
      <c r="C63" s="20">
        <f>Таблица2456789101117181920212223242526272829303132333435363738394041424344454647484950515253545556575859606162636466676869[[#Totals],[За]]</f>
        <v>0</v>
      </c>
      <c r="D63" s="20">
        <f>Таблица2456789101117181920212223242526272829303132333435363738394041424344454647484950515253545556575859606162636466676869[[#Totals],[Проти]]</f>
        <v>0</v>
      </c>
      <c r="E63" s="20">
        <f>Таблица2456789101117181920212223242526272829303132333435363738394041424344454647484950515253545556575859606162636466676869[[#Totals],[Утрим]]</f>
        <v>0</v>
      </c>
      <c r="F63" s="20">
        <f>Таблица2456789101117181920212223242526272829303132333435363738394041424344454647484950515253545556575859606162636466676869[[#Totals],[не голосували]]</f>
        <v>0</v>
      </c>
      <c r="G63" s="34" t="str">
        <f>'62'!B31</f>
        <v>Рішення не прийнято</v>
      </c>
      <c r="J63" t="s">
        <v>54</v>
      </c>
    </row>
    <row r="64" spans="1:10" ht="16.5" hidden="1" thickBot="1" x14ac:dyDescent="0.3">
      <c r="A64" s="45" t="str">
        <f>IF(ISBLANK(B64),"",COUNTA($B$2:B64))</f>
        <v/>
      </c>
      <c r="B64" s="47"/>
      <c r="C64" s="20">
        <f>Таблица245678910111718192021222324252627282930313233343536373839404142434445464748495051525354555657585960616263646667686970[[#Totals],[За]]</f>
        <v>0</v>
      </c>
      <c r="D64" s="20">
        <f>Таблица245678910111718192021222324252627282930313233343536373839404142434445464748495051525354555657585960616263646667686970[[#Totals],[Проти]]</f>
        <v>0</v>
      </c>
      <c r="E64" s="20">
        <f>Таблица245678910111718192021222324252627282930313233343536373839404142434445464748495051525354555657585960616263646667686970[[#Totals],[Утрим]]</f>
        <v>0</v>
      </c>
      <c r="F64" s="20">
        <f>Таблица245678910111718192021222324252627282930313233343536373839404142434445464748495051525354555657585960616263646667686970[[#Totals],[не голосували]]</f>
        <v>0</v>
      </c>
      <c r="G64" s="34" t="str">
        <f>'63'!B31</f>
        <v>Рішення не прийнято</v>
      </c>
      <c r="J64" t="s">
        <v>54</v>
      </c>
    </row>
    <row r="65" spans="1:10" ht="16.5" hidden="1" thickBot="1" x14ac:dyDescent="0.3">
      <c r="A65" s="45" t="str">
        <f>IF(ISBLANK(B65),"",COUNTA($B$2:B65))</f>
        <v/>
      </c>
      <c r="B65" s="48"/>
      <c r="C65" s="20">
        <f>Таблица24567891011171819202122232425262728293031323334353637383940414243444546474849505152535455565758596061626364666768697071[[#Totals],[За]]</f>
        <v>0</v>
      </c>
      <c r="D65" s="20">
        <f>Таблица24567891011171819202122232425262728293031323334353637383940414243444546474849505152535455565758596061626364666768697071[[#Totals],[Проти]]</f>
        <v>0</v>
      </c>
      <c r="E65" s="20">
        <f>Таблица24567891011171819202122232425262728293031323334353637383940414243444546474849505152535455565758596061626364666768697071[[#Totals],[Утрим]]</f>
        <v>0</v>
      </c>
      <c r="F65" s="20">
        <f>Таблица24567891011171819202122232425262728293031323334353637383940414243444546474849505152535455565758596061626364666768697071[[#Totals],[не голосували]]</f>
        <v>0</v>
      </c>
      <c r="G65" s="34" t="str">
        <f>'64'!B31</f>
        <v>Рішення не прийнято</v>
      </c>
      <c r="J65" t="s">
        <v>54</v>
      </c>
    </row>
    <row r="66" spans="1:10" ht="16.5" hidden="1" thickBot="1" x14ac:dyDescent="0.3">
      <c r="A66" s="45" t="str">
        <f>IF(ISBLANK(B66),"",COUNTA($B$2:B66))</f>
        <v/>
      </c>
      <c r="B66" s="47"/>
      <c r="C66" s="20">
        <f>Таблица2456789101117181920212223242526272829303132333435363738394041424344454647484950515253545556575859606162636466676869707173[[#Totals],[За]]</f>
        <v>0</v>
      </c>
      <c r="D66" s="20">
        <f>Таблица2456789101117181920212223242526272829303132333435363738394041424344454647484950515253545556575859606162636466676869707173[[#Totals],[Проти]]</f>
        <v>0</v>
      </c>
      <c r="E66" s="20">
        <f>Таблица2456789101117181920212223242526272829303132333435363738394041424344454647484950515253545556575859606162636466676869707173[[#Totals],[Утрим]]</f>
        <v>0</v>
      </c>
      <c r="F66" s="20">
        <f>Таблица2456789101117181920212223242526272829303132333435363738394041424344454647484950515253545556575859606162636466676869707173[[#Totals],[не голосували]]</f>
        <v>0</v>
      </c>
      <c r="G66" s="34" t="str">
        <f>'65'!B31</f>
        <v>Рішення не прийнято</v>
      </c>
      <c r="J66" t="s">
        <v>54</v>
      </c>
    </row>
    <row r="67" spans="1:10" ht="16.5" hidden="1" thickBot="1" x14ac:dyDescent="0.3">
      <c r="A67" s="45" t="str">
        <f>IF(ISBLANK(B67),"",COUNTA($B$2:B67))</f>
        <v/>
      </c>
      <c r="B67" s="48"/>
      <c r="C67" s="20">
        <f>Таблица245678910111718192021222324252627282930313233343536373839404142434445464748495051525354555657585960616263646667686970717374[[#Totals],[За]]</f>
        <v>0</v>
      </c>
      <c r="D67" s="20">
        <f>Таблица245678910111718192021222324252627282930313233343536373839404142434445464748495051525354555657585960616263646667686970717374[[#Totals],[Проти]]</f>
        <v>0</v>
      </c>
      <c r="E67" s="20">
        <f>Таблица245678910111718192021222324252627282930313233343536373839404142434445464748495051525354555657585960616263646667686970717374[[#Totals],[Утрим]]</f>
        <v>0</v>
      </c>
      <c r="F67" s="20">
        <f>Таблица245678910111718192021222324252627282930313233343536373839404142434445464748495051525354555657585960616263646667686970717374[[#Totals],[не голосували]]</f>
        <v>0</v>
      </c>
      <c r="G67" s="34" t="str">
        <f>'66'!B31</f>
        <v>Рішення не прийнято</v>
      </c>
      <c r="J67" t="s">
        <v>54</v>
      </c>
    </row>
    <row r="68" spans="1:10" ht="16.5" hidden="1" thickBot="1" x14ac:dyDescent="0.3">
      <c r="A68" s="45" t="str">
        <f>IF(ISBLANK(B68),"",COUNTA($B$2:B68))</f>
        <v/>
      </c>
      <c r="B68" s="48"/>
      <c r="C68" s="20">
        <f>Таблица24567891011171819202122232425262728293031323334353637383940414243444546474849505152535455565758596061626364666768697071737472[[#Totals],[За]]</f>
        <v>0</v>
      </c>
      <c r="D68" s="20">
        <f>Таблица24567891011171819202122232425262728293031323334353637383940414243444546474849505152535455565758596061626364666768697071737472[[#Totals],[Проти]]</f>
        <v>0</v>
      </c>
      <c r="E68" s="20">
        <f>Таблица24567891011171819202122232425262728293031323334353637383940414243444546474849505152535455565758596061626364666768697071737472[[#Totals],[Утрим]]</f>
        <v>0</v>
      </c>
      <c r="F68" s="20">
        <f>Таблица24567891011171819202122232425262728293031323334353637383940414243444546474849505152535455565758596061626364666768697071737472[[#Totals],[не голосували]]</f>
        <v>0</v>
      </c>
      <c r="G68" s="34" t="str">
        <f>'67'!B31</f>
        <v>Рішення не прийнято</v>
      </c>
      <c r="J68" t="s">
        <v>54</v>
      </c>
    </row>
    <row r="69" spans="1:10" ht="16.5" hidden="1" thickBot="1" x14ac:dyDescent="0.3">
      <c r="A69" s="45" t="str">
        <f>IF(ISBLANK(B69),"",COUNTA($B$2:B69))</f>
        <v/>
      </c>
      <c r="B69" s="48"/>
      <c r="C69" s="20">
        <f>Таблица2456789101117181920212223242526272829303132333435363738394041424344454647484950515253545556575859606162636466676869707173747275[[#Totals],[За]]</f>
        <v>0</v>
      </c>
      <c r="D69" s="20">
        <f>Таблица2456789101117181920212223242526272829303132333435363738394041424344454647484950515253545556575859606162636466676869707173747275[[#Totals],[Проти]]</f>
        <v>0</v>
      </c>
      <c r="E69" s="20">
        <f>Таблица2456789101117181920212223242526272829303132333435363738394041424344454647484950515253545556575859606162636466676869707173747275[[#Totals],[Утрим]]</f>
        <v>0</v>
      </c>
      <c r="F69" s="20">
        <f>Таблица2456789101117181920212223242526272829303132333435363738394041424344454647484950515253545556575859606162636466676869707173747275[[#Totals],[не голосували]]</f>
        <v>0</v>
      </c>
      <c r="G69" s="34" t="str">
        <f>'68'!B31</f>
        <v>Рішення не прийнято</v>
      </c>
      <c r="J69" t="s">
        <v>54</v>
      </c>
    </row>
    <row r="70" spans="1:10" ht="16.5" hidden="1" thickBot="1" x14ac:dyDescent="0.3">
      <c r="A70" s="45" t="str">
        <f>IF(ISBLANK(B70),"",COUNTA($B$2:B70))</f>
        <v/>
      </c>
      <c r="B70" s="48"/>
      <c r="C70" s="20">
        <f>Таблица245678910111718192021222324252627282930313233343536373839404142434445464748495051525354555657585960616263646667686970717374727576[[#Totals],[За]]</f>
        <v>0</v>
      </c>
      <c r="D70" s="20">
        <f>Таблица245678910111718192021222324252627282930313233343536373839404142434445464748495051525354555657585960616263646667686970717374727576[[#Totals],[Проти]]</f>
        <v>0</v>
      </c>
      <c r="E70" s="20">
        <f>Таблица245678910111718192021222324252627282930313233343536373839404142434445464748495051525354555657585960616263646667686970717374727576[[#Totals],[Утрим]]</f>
        <v>0</v>
      </c>
      <c r="F70" s="20">
        <f>Таблица245678910111718192021222324252627282930313233343536373839404142434445464748495051525354555657585960616263646667686970717374727576[[#Totals],[не голосували]]</f>
        <v>0</v>
      </c>
      <c r="G70" s="34" t="str">
        <f>'69'!B31</f>
        <v>Рішення не прийнято</v>
      </c>
      <c r="J70" t="s">
        <v>54</v>
      </c>
    </row>
    <row r="71" spans="1:10" ht="16.5" hidden="1" thickBot="1" x14ac:dyDescent="0.3">
      <c r="A71" s="45" t="str">
        <f>IF(ISBLANK(B71),"",COUNTA($B$2:B71))</f>
        <v/>
      </c>
      <c r="B71" s="48"/>
      <c r="C71" s="20">
        <f>Таблица24567891011171819202122232425262728293031323334353637383940414243444546474849505152535455565758596061626364666768697071737472757677[[#Totals],[За]]</f>
        <v>0</v>
      </c>
      <c r="D71" s="20">
        <f>Таблица24567891011171819202122232425262728293031323334353637383940414243444546474849505152535455565758596061626364666768697071737472757677[[#Totals],[Проти]]</f>
        <v>0</v>
      </c>
      <c r="E71" s="20">
        <f>Таблица24567891011171819202122232425262728293031323334353637383940414243444546474849505152535455565758596061626364666768697071737472757677[[#Totals],[Утрим]]</f>
        <v>0</v>
      </c>
      <c r="F71" s="20">
        <f>Таблица24567891011171819202122232425262728293031323334353637383940414243444546474849505152535455565758596061626364666768697071737472757677[[#Totals],[не голосували]]</f>
        <v>0</v>
      </c>
      <c r="G71" s="34" t="str">
        <f>'70'!B31</f>
        <v>Рішення не прийнято</v>
      </c>
      <c r="J71" t="s">
        <v>54</v>
      </c>
    </row>
    <row r="72" spans="1:10" hidden="1" x14ac:dyDescent="0.25"/>
  </sheetData>
  <mergeCells count="1">
    <mergeCell ref="I1:J1"/>
  </mergeCells>
  <hyperlinks>
    <hyperlink ref="A3:A55" location="'1'!A1" display="'1'!A1"/>
    <hyperlink ref="A4" location="'3'!A1" display="'3'!A1"/>
    <hyperlink ref="A3" location="'2'!A1" display="'2'!A1"/>
    <hyperlink ref="A5" location="'4'!A1" display="'4'!A1"/>
    <hyperlink ref="A6" location="'5'!A1" display="'5'!A1"/>
    <hyperlink ref="A7" location="'6'!A1" display="'6'!A1"/>
    <hyperlink ref="A8" location="'7'!A1" display="'7'!A1"/>
    <hyperlink ref="A9" location="'8'!A1" display="'8'!A1"/>
    <hyperlink ref="A10" location="'9'!A1" display="'9'!A1"/>
    <hyperlink ref="A11" location="'10'!A1" display="'10'!A1"/>
    <hyperlink ref="A12" location="'11'!A1" display="'11'!A1"/>
    <hyperlink ref="A13" location="'12'!A1" display="'12'!A1"/>
    <hyperlink ref="A14" location="'13'!A1" display="'13'!A1"/>
    <hyperlink ref="A15" location="'14'!A1" display="'14'!A1"/>
    <hyperlink ref="A16" location="'15'!A1" display="'15'!A1"/>
    <hyperlink ref="A17" location="'16'!A1" display="'16'!A1"/>
    <hyperlink ref="A18" location="'17'!A1" display="'17'!A1"/>
    <hyperlink ref="A19" location="'18'!A1" display="'18'!A1"/>
    <hyperlink ref="A20" location="'19'!A1" display="'19'!A1"/>
    <hyperlink ref="A21" location="'20'!A1" display="'20'!A1"/>
    <hyperlink ref="A22" location="'21'!A1" display="'21'!A1"/>
    <hyperlink ref="A23" location="'22'!A1" display="'22'!A1"/>
    <hyperlink ref="A24" location="'23'!A1" display="'23'!A1"/>
    <hyperlink ref="A25" location="'24'!A1" display="'24'!A1"/>
    <hyperlink ref="A26" location="'25'!A1" display="'25'!A1"/>
    <hyperlink ref="A27" location="'26'!A1" display="'26'!A1"/>
    <hyperlink ref="A28" location="'27'!A1" display="'27'!A1"/>
    <hyperlink ref="A29" location="'28'!A1" display="'28'!A1"/>
    <hyperlink ref="A30" location="'29'!A1" display="'29'!A1"/>
    <hyperlink ref="A31" location="'30'!A1" display="'30'!A1"/>
    <hyperlink ref="A32" location="'31'!A1" display="'31'!A1"/>
    <hyperlink ref="A33" location="'32'!A1" display="'32'!A1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1'!A1" display="'41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54" location="'53'!A1" display="'53'!A1"/>
    <hyperlink ref="A55" location="'54'!A1" display="'54'!A1"/>
    <hyperlink ref="A56" location="'55'!Область_печати" display="'55'!Область_печати"/>
    <hyperlink ref="A57" location="'56'!Область_печати" display="'56'!Область_печати"/>
    <hyperlink ref="A58" location="'57'!Область_печати" display="'57'!Область_печати"/>
    <hyperlink ref="A59" location="'58'!Область_печати" display="'58'!Область_печати"/>
    <hyperlink ref="A60" location="'59'!Область_печати" display="'59'!Область_печати"/>
    <hyperlink ref="A61" location="'60'!Область_печати" display="'60'!Область_печати"/>
    <hyperlink ref="A62" location="'61'!Область_печати" display="'61'!Область_печати"/>
    <hyperlink ref="A63" location="'62'!Область_печати" display="'62'!Область_печати"/>
    <hyperlink ref="A64" location="'63'!Область_печати" display="'63'!Область_печати"/>
    <hyperlink ref="A65" location="'64'!Область_печати" display="'64'!Область_печати"/>
    <hyperlink ref="A66" location="'65'!Область_печати" display="'65'!Область_печати"/>
    <hyperlink ref="A67" location="'66'!Область_печати" display="'66'!Область_печати"/>
    <hyperlink ref="A68:A71" location="'66'!Область_печати" display="'66'!Область_печати"/>
    <hyperlink ref="A67:A71" location="'67'!Область_печати" display="'67'!Область_печати"/>
    <hyperlink ref="A2" location="'1'!A1" display="'1'!A1"/>
  </hyperlinks>
  <pageMargins left="0.7" right="0.7" top="0.75" bottom="0.75" header="0.3" footer="0.3"/>
  <pageSetup paperSize="9" scale="4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3">
        <f>'Порядок денний '!B19</f>
        <v>0</v>
      </c>
      <c r="C1" s="53"/>
      <c r="D1" s="53"/>
      <c r="E1" s="53"/>
      <c r="F1" s="53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SUBTOTAL(109,Таблица24567891011171819202122232425[За])</f>
        <v>0</v>
      </c>
      <c r="D30" s="29">
        <f>SUBTOTAL(109,Таблица24567891011171819202122232425[Проти])</f>
        <v>0</v>
      </c>
      <c r="E30" s="29">
        <f>SUBTOTAL(109,Таблица24567891011171819202122232425[Утрим])</f>
        <v>0</v>
      </c>
      <c r="F30" s="29">
        <f>SUBTOTAL(109,Таблица24567891011171819202122232425[не голосували])</f>
        <v>0</v>
      </c>
    </row>
    <row r="31" spans="1:7" x14ac:dyDescent="0.25">
      <c r="B31" t="str">
        <f>IF(Таблица24567891011171819202122232425[[#Totals],[За]]&gt;13,"Рішення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SUBTOTAL(109,Таблица2456789101117181920212223242526[За])</f>
        <v>0</v>
      </c>
      <c r="D30" s="29">
        <f>SUBTOTAL(109,Таблица2456789101117181920212223242526[Проти])</f>
        <v>0</v>
      </c>
      <c r="E30" s="29">
        <f>SUBTOTAL(109,Таблица2456789101117181920212223242526[Утрим])</f>
        <v>0</v>
      </c>
      <c r="F30" s="29">
        <f>SUBTOTAL(109,Таблица2456789101117181920212223242526[не голосували])</f>
        <v>0</v>
      </c>
    </row>
    <row r="31" spans="1:7" x14ac:dyDescent="0.25">
      <c r="B31" t="str">
        <f>IF(Таблица2456789101117181920212223242526[[#Totals],[За]]&gt;13,"Рішення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'!B21</f>
        <v>0</v>
      </c>
      <c r="C1" s="52"/>
      <c r="D1" s="52"/>
      <c r="E1" s="52"/>
      <c r="F1" s="5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SUBTOTAL(109,Таблица245678910111718192021222324252627[За])</f>
        <v>0</v>
      </c>
      <c r="D30" s="29">
        <f>SUBTOTAL(109,Таблица245678910111718192021222324252627[Проти])</f>
        <v>0</v>
      </c>
      <c r="E30" s="29">
        <f>SUBTOTAL(109,Таблица245678910111718192021222324252627[Утрим])</f>
        <v>0</v>
      </c>
      <c r="F30" s="29">
        <f>SUBTOTAL(109,Таблица245678910111718192021222324252627[не голосували])</f>
        <v>0</v>
      </c>
    </row>
    <row r="31" spans="1:7" x14ac:dyDescent="0.25">
      <c r="B31" t="str">
        <f>IF(Таблица245678910111718192021222324252627[[#Totals],[За]]&gt;13,"Рішення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'!B22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SUBTOTAL(109,Таблица24567891011171819202122232425262728[За])</f>
        <v>0</v>
      </c>
      <c r="D30" s="29">
        <f>SUBTOTAL(109,Таблица24567891011171819202122232425262728[Проти])</f>
        <v>0</v>
      </c>
      <c r="E30" s="29">
        <f>SUBTOTAL(109,Таблица24567891011171819202122232425262728[Утрим])</f>
        <v>0</v>
      </c>
      <c r="F30" s="29">
        <f>SUBTOTAL(109,Таблица24567891011171819202122232425262728[не голосували])</f>
        <v>0</v>
      </c>
    </row>
    <row r="31" spans="1:7" x14ac:dyDescent="0.25">
      <c r="B31" t="str">
        <f>IF(Таблица24567891011171819202122232425262728[[#Totals],[За]]&gt;13,"Рішення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'!B23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SUBTOTAL(109,Таблица2456789101117181920212223242526272829[За])</f>
        <v>0</v>
      </c>
      <c r="D30" s="29">
        <f>SUBTOTAL(109,Таблица2456789101117181920212223242526272829[Проти])</f>
        <v>0</v>
      </c>
      <c r="E30" s="29">
        <f>SUBTOTAL(109,Таблица2456789101117181920212223242526272829[Утрим])</f>
        <v>0</v>
      </c>
      <c r="F30" s="29">
        <f>SUBTOTAL(109,Таблица2456789101117181920212223242526272829[не голосували])</f>
        <v>0</v>
      </c>
    </row>
    <row r="31" spans="1:7" x14ac:dyDescent="0.25">
      <c r="B31" t="str">
        <f>IF(Таблица2456789101117181920212223242526272829[[#Totals],[За]]&gt;13,"Рішення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SUBTOTAL(109,Таблица245678910111718192021222324252627282930[За])</f>
        <v>0</v>
      </c>
      <c r="D30" s="29">
        <f>SUBTOTAL(109,Таблица245678910111718192021222324252627282930[Проти])</f>
        <v>0</v>
      </c>
      <c r="E30" s="29">
        <f>SUBTOTAL(109,Таблица245678910111718192021222324252627282930[Утрим])</f>
        <v>0</v>
      </c>
      <c r="F30" s="29">
        <f>SUBTOTAL(109,Таблица245678910111718192021222324252627282930[не голосували])</f>
        <v>0</v>
      </c>
    </row>
    <row r="31" spans="1:7" x14ac:dyDescent="0.25">
      <c r="B31" t="str">
        <f>IF(Таблица245678910111718192021222324252627282930[[#Totals],[За]]&gt;13,"Рішення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SUBTOTAL(109,Таблица24567891011171819202122232425262728293031[За])</f>
        <v>0</v>
      </c>
      <c r="D30" s="29">
        <f>SUBTOTAL(109,Таблица24567891011171819202122232425262728293031[Проти])</f>
        <v>0</v>
      </c>
      <c r="E30" s="29">
        <f>SUBTOTAL(109,Таблица24567891011171819202122232425262728293031[Утрим])</f>
        <v>0</v>
      </c>
      <c r="F30" s="29">
        <f>SUBTOTAL(109,Таблица24567891011171819202122232425262728293031[не голосували])</f>
        <v>0</v>
      </c>
    </row>
    <row r="31" spans="1:7" x14ac:dyDescent="0.25">
      <c r="B31" t="str">
        <f>IF(Таблица24567891011171819202122232425262728293031[[#Totals],[За]]&gt;13,"Рішення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SUBTOTAL(109,Таблица2456789101117181920212223242526272829303132[За])</f>
        <v>0</v>
      </c>
      <c r="D30" s="29">
        <f>SUBTOTAL(109,Таблица2456789101117181920212223242526272829303132[Проти])</f>
        <v>0</v>
      </c>
      <c r="E30" s="29">
        <f>SUBTOTAL(109,Таблица2456789101117181920212223242526272829303132[Утрим])</f>
        <v>0</v>
      </c>
      <c r="F30" s="29">
        <f>SUBTOTAL(109,Таблица2456789101117181920212223242526272829303132[не голосували])</f>
        <v>0</v>
      </c>
    </row>
    <row r="31" spans="1:7" x14ac:dyDescent="0.25">
      <c r="B31" t="str">
        <f>IF(Таблица2456789101117181920212223242526272829303132[[#Totals],[За]]&gt;13,"Рішення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SUBTOTAL(109,Таблица245678910111718192021222324252627282930313233[За])</f>
        <v>0</v>
      </c>
      <c r="D30" s="29">
        <f>SUBTOTAL(109,Таблица245678910111718192021222324252627282930313233[Проти])</f>
        <v>0</v>
      </c>
      <c r="E30" s="29">
        <f>SUBTOTAL(109,Таблица245678910111718192021222324252627282930313233[Утрим])</f>
        <v>0</v>
      </c>
      <c r="F30" s="29">
        <f>SUBTOTAL(109,Таблица245678910111718192021222324252627282930313233[не голосували])</f>
        <v>0</v>
      </c>
    </row>
    <row r="31" spans="1:7" x14ac:dyDescent="0.25">
      <c r="B31" t="str">
        <f>IF(Таблица245678910111718192021222324252627282930313233[[#Totals],[За]]&gt;13,"Рішення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'!B28</f>
        <v>0</v>
      </c>
      <c r="C1" s="52"/>
      <c r="D1" s="52"/>
      <c r="E1" s="52"/>
      <c r="F1" s="5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SUBTOTAL(109,Таблица24567891011171819202122232425262728293031323334[За])</f>
        <v>0</v>
      </c>
      <c r="D30" s="29">
        <f>SUBTOTAL(109,Таблица24567891011171819202122232425262728293031323334[Проти])</f>
        <v>0</v>
      </c>
      <c r="E30" s="29">
        <f>SUBTOTAL(109,Таблица24567891011171819202122232425262728293031323334[Утрим])</f>
        <v>0</v>
      </c>
      <c r="F30" s="29">
        <f>SUBTOTAL(109,Таблица24567891011171819202122232425262728293031323334[не голосували])</f>
        <v>0</v>
      </c>
    </row>
    <row r="31" spans="1:7" x14ac:dyDescent="0.25">
      <c r="B31" t="str">
        <f>IF(Таблица24567891011171819202122232425262728293031323334[[#Totals],[За]]&gt;13,"Рішення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A32" sqref="A32:XFD3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2.25" customHeight="1" x14ac:dyDescent="0.25">
      <c r="B1" s="50" t="str">
        <f>'Порядок денний '!B2</f>
        <v>Про відмову в наданні дозволів на розроблення проектів землеустрою щодо відведення земельних ділянок у власність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54">
        <v>1</v>
      </c>
      <c r="D3" s="54"/>
      <c r="E3" s="54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54">
        <v>1</v>
      </c>
      <c r="D4" s="54"/>
      <c r="E4" s="54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54">
        <v>1</v>
      </c>
      <c r="D5" s="54"/>
      <c r="E5" s="54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54">
        <v>1</v>
      </c>
      <c r="D6" s="54"/>
      <c r="E6" s="54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54">
        <v>1</v>
      </c>
      <c r="D7" s="54"/>
      <c r="E7" s="54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54">
        <v>1</v>
      </c>
      <c r="D8" s="54"/>
      <c r="E8" s="54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54">
        <v>1</v>
      </c>
      <c r="D9" s="54"/>
      <c r="E9" s="54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54">
        <v>1</v>
      </c>
      <c r="D10" s="54"/>
      <c r="E10" s="54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54">
        <v>1</v>
      </c>
      <c r="D11" s="54"/>
      <c r="E11" s="54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54">
        <v>1</v>
      </c>
      <c r="D12" s="54"/>
      <c r="E12" s="54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54">
        <v>1</v>
      </c>
      <c r="D13" s="54"/>
      <c r="E13" s="54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54">
        <v>1</v>
      </c>
      <c r="D14" s="54"/>
      <c r="E14" s="54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54">
        <v>1</v>
      </c>
      <c r="D15" s="54"/>
      <c r="E15" s="54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54"/>
      <c r="D16" s="54"/>
      <c r="E16" s="54">
        <v>1</v>
      </c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54">
        <v>1</v>
      </c>
      <c r="D17" s="54"/>
      <c r="E17" s="54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54">
        <v>1</v>
      </c>
      <c r="D18" s="54"/>
      <c r="E18" s="54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54">
        <v>1</v>
      </c>
      <c r="D19" s="54"/>
      <c r="E19" s="54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54">
        <v>1</v>
      </c>
      <c r="D20" s="54"/>
      <c r="E20" s="54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54">
        <v>1</v>
      </c>
      <c r="D21" s="54"/>
      <c r="E21" s="54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SUBTOTAL(109,Таблица2[За])</f>
        <v>18</v>
      </c>
      <c r="D30" s="32">
        <f>SUBTOTAL(109,Таблица2[Проти])</f>
        <v>0</v>
      </c>
      <c r="E30" s="32">
        <f>SUBTOTAL(109,Таблица2[Утрим])</f>
        <v>1</v>
      </c>
      <c r="F30" s="32">
        <f>SUBTOTAL(109,Таблица2[не голосували])</f>
        <v>0</v>
      </c>
    </row>
    <row r="31" spans="1:7" x14ac:dyDescent="0.25">
      <c r="B31" t="str">
        <f>IF(Таблица2[[#Totals],[За]]&gt;13,"Рішення прийнято","Рішення не прийнято")</f>
        <v>Рішення прийнято</v>
      </c>
    </row>
    <row r="32" spans="1:7" hidden="1" x14ac:dyDescent="0.25"/>
    <row r="33" spans="1:2" hidden="1" x14ac:dyDescent="0.25">
      <c r="B33" s="42" t="str">
        <f>'лічильна комісія'!B33</f>
        <v>Лічильна комісія:</v>
      </c>
    </row>
    <row r="34" spans="1:2" ht="18.75" hidden="1" x14ac:dyDescent="0.3">
      <c r="A34" s="41">
        <f>'лічильна комісія'!A34</f>
        <v>1</v>
      </c>
      <c r="B34" s="41" t="str">
        <f>'лічильна комісія'!B34</f>
        <v>Коваленко М.П.</v>
      </c>
    </row>
    <row r="35" spans="1:2" ht="18.75" hidden="1" x14ac:dyDescent="0.3">
      <c r="A35" s="41" t="str">
        <f>'лічильна комісія'!A35</f>
        <v/>
      </c>
      <c r="B35" s="41"/>
    </row>
    <row r="36" spans="1:2" ht="18.75" hidden="1" x14ac:dyDescent="0.3">
      <c r="A36" s="41">
        <f>'лічильна комісія'!A36</f>
        <v>2</v>
      </c>
      <c r="B36" s="41" t="str">
        <f>'лічильна комісія'!B36</f>
        <v>Матухно І.Г.</v>
      </c>
    </row>
    <row r="37" spans="1:2" ht="18.75" hidden="1" x14ac:dyDescent="0.3">
      <c r="A37" s="41" t="str">
        <f>'лічильна комісія'!A37</f>
        <v/>
      </c>
      <c r="B37" s="41"/>
    </row>
    <row r="38" spans="1:2" ht="18.75" hidden="1" x14ac:dyDescent="0.3">
      <c r="A38" s="41">
        <f>'лічильна комісія'!A38</f>
        <v>3</v>
      </c>
      <c r="B38" s="41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'!B29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SUBTOTAL(109,Таблица2456789101117181920212223242526272829303132333435[За])</f>
        <v>0</v>
      </c>
      <c r="D30" s="29">
        <f>SUBTOTAL(109,Таблица2456789101117181920212223242526272829303132333435[Проти])</f>
        <v>0</v>
      </c>
      <c r="E30" s="29">
        <f>SUBTOTAL(109,Таблица2456789101117181920212223242526272829303132333435[Утрим])</f>
        <v>0</v>
      </c>
      <c r="F30" s="29">
        <f>SUBTOTAL(109,Таблица2456789101117181920212223242526272829303132333435[не голосували])</f>
        <v>0</v>
      </c>
    </row>
    <row r="31" spans="1:7" x14ac:dyDescent="0.25">
      <c r="B31" t="str">
        <f>IF(Таблица2456789101117181920212223242526272829303132333435[[#Totals],[За]]&gt;13,"Рішення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SUBTOTAL(109,Таблица245678910111718192021222324252627282930313233343536[За])</f>
        <v>0</v>
      </c>
      <c r="D30" s="29">
        <f>SUBTOTAL(109,Таблица245678910111718192021222324252627282930313233343536[Проти])</f>
        <v>0</v>
      </c>
      <c r="E30" s="29">
        <f>SUBTOTAL(109,Таблица245678910111718192021222324252627282930313233343536[Утрим])</f>
        <v>0</v>
      </c>
      <c r="F30" s="29">
        <f>SUBTOTAL(109,Таблица245678910111718192021222324252627282930313233343536[не голосували])</f>
        <v>0</v>
      </c>
    </row>
    <row r="31" spans="1:7" x14ac:dyDescent="0.25">
      <c r="B31" t="str">
        <f>IF(Таблица245678910111718192021222324252627282930313233343536[[#Totals],[За]]&gt;13,"Рішення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SUBTOTAL(109,Таблица24567891011171819202122232425262728293031323334353637[За])</f>
        <v>0</v>
      </c>
      <c r="D30" s="29">
        <f>SUBTOTAL(109,Таблица24567891011171819202122232425262728293031323334353637[Проти])</f>
        <v>0</v>
      </c>
      <c r="E30" s="29">
        <f>SUBTOTAL(109,Таблица24567891011171819202122232425262728293031323334353637[Утрим])</f>
        <v>0</v>
      </c>
      <c r="F30" s="29">
        <f>SUBTOTAL(109,Таблица24567891011171819202122232425262728293031323334353637[не голосували])</f>
        <v>0</v>
      </c>
    </row>
    <row r="31" spans="1:7" x14ac:dyDescent="0.25">
      <c r="B31" t="str">
        <f>IF(Таблица24567891011171819202122232425262728293031323334353637[[#Totals],[За]]&gt;13,"Рішення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'!B32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SUBTOTAL(109,Таблица2456789101117181920212223242526272829303132333435363738[За])</f>
        <v>0</v>
      </c>
      <c r="D30" s="29">
        <f>SUBTOTAL(109,Таблица2456789101117181920212223242526272829303132333435363738[Проти])</f>
        <v>0</v>
      </c>
      <c r="E30" s="29">
        <f>SUBTOTAL(109,Таблица2456789101117181920212223242526272829303132333435363738[Утрим])</f>
        <v>0</v>
      </c>
      <c r="F30" s="29">
        <f>SUBTOTAL(109,Таблица2456789101117181920212223242526272829303132333435363738[не голосували])</f>
        <v>0</v>
      </c>
    </row>
    <row r="31" spans="1:7" x14ac:dyDescent="0.25">
      <c r="B31" t="str">
        <f>IF(Таблица2456789101117181920212223242526272829303132333435363738[[#Totals],[За]]&gt;13,"Рішення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'!B33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SUBTOTAL(109,Таблица245678910111718192021222324252627282930313233343536373839[За])</f>
        <v>0</v>
      </c>
      <c r="D30" s="29">
        <f>SUBTOTAL(109,Таблица245678910111718192021222324252627282930313233343536373839[Проти])</f>
        <v>0</v>
      </c>
      <c r="E30" s="29">
        <f>SUBTOTAL(109,Таблица245678910111718192021222324252627282930313233343536373839[Утрим])</f>
        <v>0</v>
      </c>
      <c r="F30" s="29">
        <f>SUBTOTAL(109,Таблица245678910111718192021222324252627282930313233343536373839[не голосували])</f>
        <v>0</v>
      </c>
    </row>
    <row r="31" spans="1:7" x14ac:dyDescent="0.25">
      <c r="B31" t="str">
        <f>IF(Таблица245678910111718192021222324252627282930313233343536373839[[#Totals],[За]]&gt;13,"Рішення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SUBTOTAL(109,Таблица24567891011171819202122232425262728293031323334353637383940[За])</f>
        <v>0</v>
      </c>
      <c r="D30" s="29">
        <f>SUBTOTAL(109,Таблица24567891011171819202122232425262728293031323334353637383940[Проти])</f>
        <v>0</v>
      </c>
      <c r="E30" s="29">
        <f>SUBTOTAL(109,Таблица24567891011171819202122232425262728293031323334353637383940[Утрим])</f>
        <v>0</v>
      </c>
      <c r="F30" s="29">
        <f>SUBTOTAL(109,Таблица24567891011171819202122232425262728293031323334353637383940[не голосували])</f>
        <v>0</v>
      </c>
    </row>
    <row r="31" spans="1:7" x14ac:dyDescent="0.25">
      <c r="B31" t="str">
        <f>IF(Таблица24567891011171819202122232425262728293031323334353637383940[[#Totals],[За]]&gt;13,"Рішення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SUBTOTAL(109,Таблица2456789101117181920212223242526272829303132333435363738394041[За])</f>
        <v>0</v>
      </c>
      <c r="D30" s="29">
        <f>SUBTOTAL(109,Таблица2456789101117181920212223242526272829303132333435363738394041[Проти])</f>
        <v>0</v>
      </c>
      <c r="E30" s="29">
        <f>SUBTOTAL(109,Таблица2456789101117181920212223242526272829303132333435363738394041[Утрим])</f>
        <v>0</v>
      </c>
      <c r="F30" s="29">
        <f>SUBTOTAL(109,Таблица2456789101117181920212223242526272829303132333435363738394041[не голосували])</f>
        <v>0</v>
      </c>
    </row>
    <row r="31" spans="1:7" x14ac:dyDescent="0.25">
      <c r="B31" t="str">
        <f>IF(Таблица2456789101117181920212223242526272829303132333435363738394041[[#Totals],[За]]&gt;13,"Рішення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SUBTOTAL(109,Таблица245678910111718192021222324252627282930313233343536373839404142[За])</f>
        <v>0</v>
      </c>
      <c r="D30" s="29">
        <f>SUBTOTAL(109,Таблица245678910111718192021222324252627282930313233343536373839404142[Проти])</f>
        <v>0</v>
      </c>
      <c r="E30" s="29">
        <f>SUBTOTAL(109,Таблица245678910111718192021222324252627282930313233343536373839404142[Утрим])</f>
        <v>0</v>
      </c>
      <c r="F30" s="29">
        <f>SUBTOTAL(109,Таблица245678910111718192021222324252627282930313233343536373839404142[не голосували])</f>
        <v>0</v>
      </c>
    </row>
    <row r="31" spans="1:7" x14ac:dyDescent="0.25">
      <c r="B31" t="str">
        <f>IF(Таблица245678910111718192021222324252627282930313233343536373839404142[[#Totals],[За]]&gt;13,"Рішення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SUBTOTAL(109,Таблица24567891011171819202122232425262728293031323334353637383940414243[За])</f>
        <v>0</v>
      </c>
      <c r="D30" s="29">
        <f>SUBTOTAL(109,Таблица24567891011171819202122232425262728293031323334353637383940414243[Проти])</f>
        <v>0</v>
      </c>
      <c r="E30" s="29">
        <f>SUBTOTAL(109,Таблица24567891011171819202122232425262728293031323334353637383940414243[Утрим])</f>
        <v>0</v>
      </c>
      <c r="F30" s="29">
        <f>SUBTOTAL(109,Таблица24567891011171819202122232425262728293031323334353637383940414243[не голосували])</f>
        <v>0</v>
      </c>
    </row>
    <row r="31" spans="1:7" x14ac:dyDescent="0.25">
      <c r="B31" t="str">
        <f>IF(Таблица24567891011171819202122232425262728293031323334353637383940414243[[#Totals],[За]]&gt;13,"Рішення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SUBTOTAL(109,Таблица2456789101117181920212223242526272829303132333435363738394041424344[За])</f>
        <v>0</v>
      </c>
      <c r="D30" s="29">
        <f>SUBTOTAL(109,Таблица2456789101117181920212223242526272829303132333435363738394041424344[Проти])</f>
        <v>0</v>
      </c>
      <c r="E30" s="29">
        <f>SUBTOTAL(109,Таблица2456789101117181920212223242526272829303132333435363738394041424344[Утрим])</f>
        <v>0</v>
      </c>
      <c r="F30" s="29">
        <f>SUBTOTAL(109,Таблица2456789101117181920212223242526272829303132333435363738394041424344[не голосували])</f>
        <v>0</v>
      </c>
    </row>
    <row r="31" spans="1:7" x14ac:dyDescent="0.25">
      <c r="B31" t="str">
        <f>IF(Таблица2456789101117181920212223242526272829303132333435363738394041424344[[#Totals],[За]]&gt;13,"Рішення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topLeftCell="A17" zoomScaleNormal="100" zoomScaleSheetLayoutView="100" workbookViewId="0">
      <selection activeCell="A32" sqref="A32:XFD3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5.25" customHeight="1" x14ac:dyDescent="0.25">
      <c r="B1" s="51" t="str">
        <f>'Порядок денний '!B3</f>
        <v>Про затвердження в новій редакції Програми з благоустрою території  Варвинської селищної ради на 2019 рік</v>
      </c>
      <c r="C1" s="51"/>
      <c r="D1" s="51"/>
      <c r="E1" s="51"/>
      <c r="F1" s="51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>
        <v>1</v>
      </c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SUBTOTAL(109,Таблица24[За])</f>
        <v>18</v>
      </c>
      <c r="D30" s="32">
        <f>SUBTOTAL(109,Таблица24[Проти])</f>
        <v>1</v>
      </c>
      <c r="E30" s="32">
        <f>SUBTOTAL(109,Таблица24[Утрим])</f>
        <v>0</v>
      </c>
      <c r="F30" s="32">
        <f>SUBTOTAL(109,Таблица24[не голосували])</f>
        <v>0</v>
      </c>
    </row>
    <row r="31" spans="1:7" x14ac:dyDescent="0.25">
      <c r="B31" t="str">
        <f>IF(Таблица24[[#Totals],[За]]&gt;13,"Рішення прийнято","Рішення не прийнято")</f>
        <v>Рішення прийнято</v>
      </c>
    </row>
    <row r="32" spans="1:7" hidden="1" x14ac:dyDescent="0.25"/>
    <row r="33" spans="1:2" hidden="1" x14ac:dyDescent="0.25">
      <c r="B33" t="str">
        <f>'лічильна комісія'!B33</f>
        <v>Лічильна комісія:</v>
      </c>
    </row>
    <row r="34" spans="1:2" hidden="1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hidden="1" x14ac:dyDescent="0.25">
      <c r="A35" t="str">
        <f>'лічильна комісія'!A35</f>
        <v/>
      </c>
    </row>
    <row r="36" spans="1:2" hidden="1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hidden="1" x14ac:dyDescent="0.25">
      <c r="A37" t="str">
        <f>'лічильна комісія'!A37</f>
        <v/>
      </c>
    </row>
    <row r="38" spans="1:2" hidden="1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'!B39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SUBTOTAL(109,Таблица245678910111718192021222324252627282930313233343536373839404142434445[За])</f>
        <v>0</v>
      </c>
      <c r="D30" s="29">
        <f>SUBTOTAL(109,Таблица245678910111718192021222324252627282930313233343536373839404142434445[Проти])</f>
        <v>0</v>
      </c>
      <c r="E30" s="29">
        <f>SUBTOTAL(109,Таблица245678910111718192021222324252627282930313233343536373839404142434445[Утрим])</f>
        <v>0</v>
      </c>
      <c r="F30" s="29">
        <f>SUBTOTAL(109,Таблица245678910111718192021222324252627282930313233343536373839404142434445[не голосували])</f>
        <v>0</v>
      </c>
    </row>
    <row r="31" spans="1:7" x14ac:dyDescent="0.25">
      <c r="B31" t="str">
        <f>IF(Таблица245678910111718192021222324252627282930313233343536373839404142434445[[#Totals],[За]]&gt;13,"Рішення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SUBTOTAL(109,Таблица24567891011171819202122232425262728293031323334353637383940414243444546[За])</f>
        <v>0</v>
      </c>
      <c r="D30" s="29">
        <f>SUBTOTAL(109,Таблица24567891011171819202122232425262728293031323334353637383940414243444546[Проти])</f>
        <v>0</v>
      </c>
      <c r="E30" s="29">
        <f>SUBTOTAL(109,Таблица24567891011171819202122232425262728293031323334353637383940414243444546[Утрим])</f>
        <v>0</v>
      </c>
      <c r="F30" s="29">
        <f>SUBTOTAL(109,Таблица24567891011171819202122232425262728293031323334353637383940414243444546[не голосували])</f>
        <v>0</v>
      </c>
    </row>
    <row r="31" spans="1:7" x14ac:dyDescent="0.25">
      <c r="B31" t="str">
        <f>IF(Таблица24567891011171819202122232425262728293031323334353637383940414243444546[[#Totals],[За]]&gt;13,"Рішення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SUBTOTAL(109,Таблица2456789101117181920212223242526272829303132333435363738394041424344454647[За])</f>
        <v>0</v>
      </c>
      <c r="D30" s="29">
        <f>SUBTOTAL(109,Таблица2456789101117181920212223242526272829303132333435363738394041424344454647[Проти])</f>
        <v>0</v>
      </c>
      <c r="E30" s="29">
        <f>SUBTOTAL(109,Таблица2456789101117181920212223242526272829303132333435363738394041424344454647[Утрим])</f>
        <v>0</v>
      </c>
      <c r="F30" s="29">
        <f>SUBTOTAL(109,Таблица2456789101117181920212223242526272829303132333435363738394041424344454647[не голосували])</f>
        <v>0</v>
      </c>
    </row>
    <row r="31" spans="1:7" x14ac:dyDescent="0.25">
      <c r="B31" t="str">
        <f>IF(Таблица2456789101117181920212223242526272829303132333435363738394041424344454647[[#Totals],[За]]&gt;13,"Рішення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'!B42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SUBTOTAL(109,Таблица245678910111718192021222324252627282930313233343536373839404142434445464748[За])</f>
        <v>0</v>
      </c>
      <c r="D30" s="29">
        <f>SUBTOTAL(109,Таблица245678910111718192021222324252627282930313233343536373839404142434445464748[Проти])</f>
        <v>0</v>
      </c>
      <c r="E30" s="29">
        <f>SUBTOTAL(109,Таблица245678910111718192021222324252627282930313233343536373839404142434445464748[Утрим])</f>
        <v>0</v>
      </c>
      <c r="F30" s="29">
        <f>SUBTOTAL(109,Таблица245678910111718192021222324252627282930313233343536373839404142434445464748[не голосували])</f>
        <v>0</v>
      </c>
    </row>
    <row r="31" spans="1:7" x14ac:dyDescent="0.25">
      <c r="B31" t="str">
        <f>IF(Таблица245678910111718192021222324252627282930313233343536373839404142434445464748[[#Totals],[За]]&gt;13,"Рішення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'!B43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SUBTOTAL(109,Таблица24567891011171819202122232425262728293031323334353637383940414243444546474849[За])</f>
        <v>0</v>
      </c>
      <c r="D30" s="29">
        <f>SUBTOTAL(109,Таблица24567891011171819202122232425262728293031323334353637383940414243444546474849[Проти])</f>
        <v>0</v>
      </c>
      <c r="E30" s="29">
        <f>SUBTOTAL(109,Таблица24567891011171819202122232425262728293031323334353637383940414243444546474849[Утрим])</f>
        <v>0</v>
      </c>
      <c r="F30" s="29">
        <f>SUBTOTAL(109,Таблица24567891011171819202122232425262728293031323334353637383940414243444546474849[не голосували])</f>
        <v>0</v>
      </c>
    </row>
    <row r="31" spans="1:7" x14ac:dyDescent="0.25">
      <c r="B31" t="str">
        <f>IF(Таблица24567891011171819202122232425262728293031323334353637383940414243444546474849[[#Totals],[За]]&gt;13,"Рішення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SUBTOTAL(109,Таблица2456789101117181920212223242526272829303132333435363738394041424344454647484950[За])</f>
        <v>0</v>
      </c>
      <c r="D30" s="29">
        <f>SUBTOTAL(109,Таблица2456789101117181920212223242526272829303132333435363738394041424344454647484950[Проти])</f>
        <v>0</v>
      </c>
      <c r="E30" s="29">
        <f>SUBTOTAL(109,Таблица2456789101117181920212223242526272829303132333435363738394041424344454647484950[Утрим])</f>
        <v>0</v>
      </c>
      <c r="F30" s="29">
        <f>SUBTOTAL(109,Таблица2456789101117181920212223242526272829303132333435363738394041424344454647484950[не голосували])</f>
        <v>0</v>
      </c>
    </row>
    <row r="31" spans="1:7" x14ac:dyDescent="0.25">
      <c r="B31" t="str">
        <f>IF(Таблица2456789101117181920212223242526272829303132333435363738394041424344454647484950[[#Totals],[За]]&gt;13,"Рішення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SUBTOTAL(109,Таблица245678910111718192021222324252627282930313233343536373839404142434445464748495051[За])</f>
        <v>0</v>
      </c>
      <c r="D30" s="29">
        <f>SUBTOTAL(109,Таблица245678910111718192021222324252627282930313233343536373839404142434445464748495051[Проти])</f>
        <v>0</v>
      </c>
      <c r="E30" s="29">
        <f>SUBTOTAL(109,Таблица245678910111718192021222324252627282930313233343536373839404142434445464748495051[Утрим])</f>
        <v>0</v>
      </c>
      <c r="F30" s="29">
        <f>SUBTOTAL(109,Таблица245678910111718192021222324252627282930313233343536373839404142434445464748495051[не голосували])</f>
        <v>0</v>
      </c>
    </row>
    <row r="31" spans="1:7" x14ac:dyDescent="0.25">
      <c r="B31" t="str">
        <f>IF(Таблица245678910111718192021222324252627282930313233343536373839404142434445464748495051[[#Totals],[За]]&gt;13,"Рішення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SUBTOTAL(109,Таблица24567891011171819202122232425262728293031323334353637383940414243444546474849505152[За])</f>
        <v>0</v>
      </c>
      <c r="D30" s="29">
        <f>SUBTOTAL(109,Таблица24567891011171819202122232425262728293031323334353637383940414243444546474849505152[Проти])</f>
        <v>0</v>
      </c>
      <c r="E30" s="29">
        <f>SUBTOTAL(109,Таблица24567891011171819202122232425262728293031323334353637383940414243444546474849505152[Утрим])</f>
        <v>0</v>
      </c>
      <c r="F30" s="29">
        <f>SUBTOTAL(109,Таблица24567891011171819202122232425262728293031323334353637383940414243444546474849505152[не голосували])</f>
        <v>0</v>
      </c>
    </row>
    <row r="31" spans="1:7" x14ac:dyDescent="0.25">
      <c r="B31" t="str">
        <f>IF(Таблица24567891011171819202122232425262728293031323334353637383940414243444546474849505152[[#Totals],[За]]&gt;13,"Рішення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SUBTOTAL(109,Таблица2456789101117181920212223242526272829303132333435363738394041424344454647484950515253[За])</f>
        <v>0</v>
      </c>
      <c r="D30" s="29">
        <f>SUBTOTAL(109,Таблица2456789101117181920212223242526272829303132333435363738394041424344454647484950515253[Проти])</f>
        <v>0</v>
      </c>
      <c r="E30" s="29">
        <f>SUBTOTAL(109,Таблица2456789101117181920212223242526272829303132333435363738394041424344454647484950515253[Утрим])</f>
        <v>0</v>
      </c>
      <c r="F30" s="29">
        <f>SUBTOTAL(109,Таблица2456789101117181920212223242526272829303132333435363738394041424344454647484950515253[не голосували])</f>
        <v>0</v>
      </c>
    </row>
    <row r="31" spans="1:7" x14ac:dyDescent="0.25">
      <c r="B31" t="str">
        <f>IF(Таблица2456789101117181920212223242526272829303132333435363738394041424344454647484950515253[[#Totals],[За]]&gt;13,"Рішення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SUBTOTAL(109,Таблица245678910111718192021222324252627282930313233343536373839404142434445464748495051525354[За])</f>
        <v>0</v>
      </c>
      <c r="D30" s="29">
        <f>SUBTOTAL(109,Таблица245678910111718192021222324252627282930313233343536373839404142434445464748495051525354[Проти])</f>
        <v>0</v>
      </c>
      <c r="E30" s="29">
        <f>SUBTOTAL(109,Таблица245678910111718192021222324252627282930313233343536373839404142434445464748495051525354[Утрим])</f>
        <v>0</v>
      </c>
      <c r="F30" s="29">
        <f>SUBTOTAL(109,Таблица245678910111718192021222324252627282930313233343536373839404142434445464748495051525354[не голосували])</f>
        <v>0</v>
      </c>
    </row>
    <row r="31" spans="1:7" x14ac:dyDescent="0.25">
      <c r="B31" t="str">
        <f>IF(Таблица245678910111718192021222324252627282930313233343536373839404142434445464748495051525354[[#Totals],[За]]&gt;13,"Рішення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32" t="s">
        <v>11</v>
      </c>
      <c r="B30" s="32"/>
      <c r="C30" s="32">
        <f>SUBTOTAL(109,Таблица245[За])</f>
        <v>0</v>
      </c>
      <c r="D30" s="32">
        <f>SUBTOTAL(109,Таблица245[Проти])</f>
        <v>0</v>
      </c>
      <c r="E30" s="32">
        <f>SUBTOTAL(109,Таблица245[Утрим])</f>
        <v>0</v>
      </c>
      <c r="F30" s="32">
        <f>SUBTOTAL(109,Таблица245[не голосували])</f>
        <v>0</v>
      </c>
    </row>
    <row r="31" spans="1:7" x14ac:dyDescent="0.25">
      <c r="B31" t="str">
        <f>IF(Таблица245[[#Totals],[За]]&gt;13,"Рішення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'!B49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SUBTOTAL(109,Таблица24567891011171819202122232425262728293031323334353637383940414243444546474849505152535455[За])</f>
        <v>0</v>
      </c>
      <c r="D30" s="29">
        <f>SUBTOTAL(109,Таблица24567891011171819202122232425262728293031323334353637383940414243444546474849505152535455[Проти])</f>
        <v>0</v>
      </c>
      <c r="E30" s="29">
        <f>SUBTOTAL(109,Таблица24567891011171819202122232425262728293031323334353637383940414243444546474849505152535455[Утрим])</f>
        <v>0</v>
      </c>
      <c r="F30" s="29">
        <f>SUBTOTAL(109,Таблица24567891011171819202122232425262728293031323334353637383940414243444546474849505152535455[не голосували])</f>
        <v>0</v>
      </c>
    </row>
    <row r="31" spans="1:7" x14ac:dyDescent="0.25">
      <c r="B31" t="str">
        <f>IF(Таблица24567891011171819202122232425262728293031323334353637383940414243444546474849505152535455[[#Totals],[За]]&gt;13,"Рішення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SUBTOTAL(109,Таблица2456789101117181920212223242526272829303132333435363738394041424344454647484950515253545556[За])</f>
        <v>0</v>
      </c>
      <c r="D30" s="29">
        <f>SUBTOTAL(109,Таблица2456789101117181920212223242526272829303132333435363738394041424344454647484950515253545556[Проти])</f>
        <v>0</v>
      </c>
      <c r="E30" s="29">
        <f>SUBTOTAL(109,Таблица2456789101117181920212223242526272829303132333435363738394041424344454647484950515253545556[Утрим])</f>
        <v>0</v>
      </c>
      <c r="F30" s="29">
        <f>SUBTOTAL(109,Таблица2456789101117181920212223242526272829303132333435363738394041424344454647484950515253545556[не голосували])</f>
        <v>0</v>
      </c>
    </row>
    <row r="31" spans="1:7" x14ac:dyDescent="0.25">
      <c r="B31" t="str">
        <f>IF(Таблица2456789101117181920212223242526272829303132333435363738394041424344454647484950515253545556[[#Totals],[За]]&gt;13,"Рішення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SUBTOTAL(109,Таблица245678910111718192021222324252627282930313233343536373839404142434445464748495051525354555657[За])</f>
        <v>0</v>
      </c>
      <c r="D30" s="29">
        <f>SUBTOTAL(109,Таблица245678910111718192021222324252627282930313233343536373839404142434445464748495051525354555657[Проти])</f>
        <v>0</v>
      </c>
      <c r="E30" s="29">
        <f>SUBTOTAL(109,Таблица245678910111718192021222324252627282930313233343536373839404142434445464748495051525354555657[Утрим])</f>
        <v>0</v>
      </c>
      <c r="F30" s="29">
        <f>SUBTOTAL(109,Таблица245678910111718192021222324252627282930313233343536373839404142434445464748495051525354555657[не голосували])</f>
        <v>0</v>
      </c>
    </row>
    <row r="31" spans="1:7" x14ac:dyDescent="0.25">
      <c r="B31" t="str">
        <f>IF(Таблица245678910111718192021222324252627282930313233343536373839404142434445464748495051525354555657[[#Totals],[За]]&gt;13,"Рішення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'!B52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SUBTOTAL(109,Таблица24567891011171819202122232425262728293031323334353637383940414243444546474849505152535455565758[За])</f>
        <v>0</v>
      </c>
      <c r="D30" s="29">
        <f>SUBTOTAL(109,Таблица24567891011171819202122232425262728293031323334353637383940414243444546474849505152535455565758[Проти])</f>
        <v>0</v>
      </c>
      <c r="E30" s="29">
        <f>SUBTOTAL(109,Таблица24567891011171819202122232425262728293031323334353637383940414243444546474849505152535455565758[Утрим])</f>
        <v>0</v>
      </c>
      <c r="F30" s="29">
        <f>SUBTOTAL(109,Таблица24567891011171819202122232425262728293031323334353637383940414243444546474849505152535455565758[не голосували])</f>
        <v>0</v>
      </c>
    </row>
    <row r="31" spans="1:7" x14ac:dyDescent="0.25">
      <c r="B31" t="str">
        <f>IF(Таблица24567891011171819202122232425262728293031323334353637383940414243444546474849505152535455565758[[#Totals],[За]]&gt;13,"Рішення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'!B53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SUBTOTAL(109,Таблица2456789101117181920212223242526272829303132333435363738394041424344454647484950515253545556575859[За])</f>
        <v>0</v>
      </c>
      <c r="D30" s="29">
        <f>SUBTOTAL(109,Таблица2456789101117181920212223242526272829303132333435363738394041424344454647484950515253545556575859[Проти])</f>
        <v>0</v>
      </c>
      <c r="E30" s="29">
        <f>SUBTOTAL(109,Таблица2456789101117181920212223242526272829303132333435363738394041424344454647484950515253545556575859[Утрим])</f>
        <v>0</v>
      </c>
      <c r="F30" s="29">
        <f>SUBTOTAL(109,Таблица2456789101117181920212223242526272829303132333435363738394041424344454647484950515253545556575859[не голосували])</f>
        <v>0</v>
      </c>
    </row>
    <row r="31" spans="1:7" x14ac:dyDescent="0.25">
      <c r="B31" t="str">
        <f>IF(Таблица2456789101117181920212223242526272829303132333435363738394041424344454647484950515253545556575859[[#Totals],[За]]&gt;13,"Рішення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SUBTOTAL(109,Таблица245678910111718192021222324252627282930313233343536373839404142434445464748495051525354555657585960[За])</f>
        <v>0</v>
      </c>
      <c r="D30" s="29">
        <f>SUBTOTAL(109,Таблица245678910111718192021222324252627282930313233343536373839404142434445464748495051525354555657585960[Проти])</f>
        <v>0</v>
      </c>
      <c r="E30" s="29">
        <f>SUBTOTAL(109,Таблица245678910111718192021222324252627282930313233343536373839404142434445464748495051525354555657585960[Утрим])</f>
        <v>0</v>
      </c>
      <c r="F30" s="29">
        <f>SUBTOTAL(109,Таблица245678910111718192021222324252627282930313233343536373839404142434445464748495051525354555657585960[не голосували])</f>
        <v>0</v>
      </c>
    </row>
    <row r="31" spans="1:7" x14ac:dyDescent="0.25">
      <c r="B31" t="str">
        <f>IF(Таблица245678910111718192021222324252627282930313233343536373839404142434445464748495051525354555657585960[[#Totals],[За]]&gt;13,"Рішення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SUBTOTAL(109,Таблица24567891011171819202122232425262728293031323334353637383940414243444546474849505152535455565758596061[За])</f>
        <v>0</v>
      </c>
      <c r="D30" s="29">
        <f>SUBTOTAL(109,Таблица24567891011171819202122232425262728293031323334353637383940414243444546474849505152535455565758596061[Проти])</f>
        <v>0</v>
      </c>
      <c r="E30" s="29">
        <f>SUBTOTAL(109,Таблица24567891011171819202122232425262728293031323334353637383940414243444546474849505152535455565758596061[Утрим])</f>
        <v>0</v>
      </c>
      <c r="F30" s="29">
        <f>SUBTOTAL(109,Таблица24567891011171819202122232425262728293031323334353637383940414243444546474849505152535455565758596061[не голосували])</f>
        <v>0</v>
      </c>
    </row>
    <row r="31" spans="1:7" x14ac:dyDescent="0.25">
      <c r="B31" t="str">
        <f>IF(Таблица24567891011171819202122232425262728293031323334353637383940414243444546474849505152535455565758596061[[#Totals],[За]]&gt;13,"Рішення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SUBTOTAL(109,Таблица2456789101117181920212223242526272829303132333435363738394041424344454647484950515253545556575859606162[За])</f>
        <v>0</v>
      </c>
      <c r="D30" s="29">
        <f>SUBTOTAL(109,Таблица2456789101117181920212223242526272829303132333435363738394041424344454647484950515253545556575859606162[Проти])</f>
        <v>0</v>
      </c>
      <c r="E30" s="29">
        <f>SUBTOTAL(109,Таблица2456789101117181920212223242526272829303132333435363738394041424344454647484950515253545556575859606162[Утрим])</f>
        <v>0</v>
      </c>
      <c r="F30" s="29">
        <f>SUBTOTAL(109,Таблица2456789101117181920212223242526272829303132333435363738394041424344454647484950515253545556575859606162[не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SUBTOTAL(109,Таблица245678910111718192021222324252627282930313233343536373839404142434445464748495051525354555657585960616263[За])</f>
        <v>0</v>
      </c>
      <c r="D30" s="29">
        <f>SUBTOTAL(109,Таблица245678910111718192021222324252627282930313233343536373839404142434445464748495051525354555657585960616263[Проти])</f>
        <v>0</v>
      </c>
      <c r="E30" s="29">
        <f>SUBTOTAL(109,Таблица245678910111718192021222324252627282930313233343536373839404142434445464748495051525354555657585960616263[Утрим])</f>
        <v>0</v>
      </c>
      <c r="F30" s="29">
        <f>SUBTOTAL(109,Таблица245678910111718192021222324252627282930313233343536373839404142434445464748495051525354555657585960616263[не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SUBTOTAL(109,Таблица2456789101117181920212223242526272829303132333435363738394041424344454647484950515253545556575859606162636465[За])</f>
        <v>0</v>
      </c>
      <c r="D30" s="29">
        <f>SUBTOTAL(109,Таблица2456789101117181920212223242526272829303132333435363738394041424344454647484950515253545556575859606162636465[Проти])</f>
        <v>0</v>
      </c>
      <c r="E30" s="29">
        <f>SUBTOTAL(109,Таблица2456789101117181920212223242526272829303132333435363738394041424344454647484950515253545556575859606162636465[Утрим])</f>
        <v>0</v>
      </c>
      <c r="F30" s="29">
        <f>SUBTOTAL(109,Таблица2456789101117181920212223242526272829303132333435363738394041424344454647484950515253545556575859606162636465[не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8" t="s">
        <v>11</v>
      </c>
      <c r="B30" s="28"/>
      <c r="C30" s="28">
        <f>SUBTOTAL(109,Таблица2456[За])</f>
        <v>0</v>
      </c>
      <c r="D30" s="28">
        <f>SUBTOTAL(109,Таблица2456[Проти])</f>
        <v>0</v>
      </c>
      <c r="E30" s="28">
        <f>SUBTOTAL(109,Таблица2456[Утрим])</f>
        <v>0</v>
      </c>
      <c r="F30" s="28">
        <f>SUBTOTAL(109,Таблица2456[не голосували])</f>
        <v>0</v>
      </c>
    </row>
    <row r="31" spans="1:7" x14ac:dyDescent="0.25">
      <c r="B31" t="str">
        <f>IF(Таблица2456[[#Totals],[За]]&gt;13,"Рішення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'!B59</f>
        <v>0</v>
      </c>
      <c r="C1" s="52"/>
      <c r="D1" s="52"/>
      <c r="E1" s="52"/>
      <c r="F1" s="52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46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SUBTOTAL(109,Таблица24567891011171819202122232425262728293031323334353637383940414243444546474849505152535455565758596061626364[За])</f>
        <v>0</v>
      </c>
      <c r="D30" s="29">
        <f>SUBTOTAL(109,Таблица24567891011171819202122232425262728293031323334353637383940414243444546474849505152535455565758596061626364[Проти])</f>
        <v>0</v>
      </c>
      <c r="E30" s="29">
        <f>SUBTOTAL(109,Таблица24567891011171819202122232425262728293031323334353637383940414243444546474849505152535455565758596061626364[Утрим])</f>
        <v>0</v>
      </c>
      <c r="F30" s="29">
        <f>SUBTOTAL(109,Таблица24567891011171819202122232425262728293031323334353637383940414243444546474849505152535455565758596061626364[не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'!B60</f>
        <v>0</v>
      </c>
      <c r="C1" s="52"/>
      <c r="D1" s="52"/>
      <c r="E1" s="52"/>
      <c r="F1" s="52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46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SUBTOTAL(109,Таблица2456789101117181920212223242526272829303132333435363738394041424344454647484950515253545556575859606162636466[За])</f>
        <v>0</v>
      </c>
      <c r="D30" s="29">
        <f>SUBTOTAL(109,Таблица2456789101117181920212223242526272829303132333435363738394041424344454647484950515253545556575859606162636466[Проти])</f>
        <v>0</v>
      </c>
      <c r="E30" s="29">
        <f>SUBTOTAL(109,Таблица2456789101117181920212223242526272829303132333435363738394041424344454647484950515253545556575859606162636466[Утрим])</f>
        <v>0</v>
      </c>
      <c r="F30" s="29">
        <f>SUBTOTAL(109,Таблица2456789101117181920212223242526272829303132333435363738394041424344454647484950515253545556575859606162636466[не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SUBTOTAL(109,Таблица245678910111718192021222324252627282930313233343536373839404142434445464748495051525354555657585960616263646667[За])</f>
        <v>0</v>
      </c>
      <c r="D30" s="29">
        <f>SUBTOTAL(109,Таблица245678910111718192021222324252627282930313233343536373839404142434445464748495051525354555657585960616263646667[Проти])</f>
        <v>0</v>
      </c>
      <c r="E30" s="29">
        <f>SUBTOTAL(109,Таблица245678910111718192021222324252627282930313233343536373839404142434445464748495051525354555657585960616263646667[Утрим])</f>
        <v>0</v>
      </c>
      <c r="F30" s="29">
        <f>SUBTOTAL(109,Таблица245678910111718192021222324252627282930313233343536373839404142434445464748495051525354555657585960616263646667[не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'!B62</f>
        <v>0</v>
      </c>
      <c r="C1" s="52"/>
      <c r="D1" s="52"/>
      <c r="E1" s="52"/>
      <c r="F1" s="52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46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SUBTOTAL(109,Таблица24567891011171819202122232425262728293031323334353637383940414243444546474849505152535455565758596061626364666768[За])</f>
        <v>0</v>
      </c>
      <c r="D30" s="29">
        <f>SUBTOTAL(109,Таблица24567891011171819202122232425262728293031323334353637383940414243444546474849505152535455565758596061626364666768[Проти])</f>
        <v>0</v>
      </c>
      <c r="E30" s="29">
        <f>SUBTOTAL(109,Таблица24567891011171819202122232425262728293031323334353637383940414243444546474849505152535455565758596061626364666768[Утрим])</f>
        <v>0</v>
      </c>
      <c r="F30" s="29">
        <f>SUBTOTAL(109,Таблица24567891011171819202122232425262728293031323334353637383940414243444546474849505152535455565758596061626364666768[не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2">
        <f>'Порядок денний '!B63</f>
        <v>0</v>
      </c>
      <c r="C1" s="52"/>
      <c r="D1" s="52"/>
      <c r="E1" s="52"/>
      <c r="F1" s="52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46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SUBTOTAL(109,Таблица2456789101117181920212223242526272829303132333435363738394041424344454647484950515253545556575859606162636466676869[За])</f>
        <v>0</v>
      </c>
      <c r="D30" s="29">
        <f>SUBTOTAL(109,Таблица2456789101117181920212223242526272829303132333435363738394041424344454647484950515253545556575859606162636466676869[Проти])</f>
        <v>0</v>
      </c>
      <c r="E30" s="29">
        <f>SUBTOTAL(109,Таблица2456789101117181920212223242526272829303132333435363738394041424344454647484950515253545556575859606162636466676869[Утрим])</f>
        <v>0</v>
      </c>
      <c r="F30" s="29">
        <f>SUBTOTAL(109,Таблица2456789101117181920212223242526272829303132333435363738394041424344454647484950515253545556575859606162636466676869[не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'!B64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SUBTOTAL(109,Таблица245678910111718192021222324252627282930313233343536373839404142434445464748495051525354555657585960616263646667686970[За])</f>
        <v>0</v>
      </c>
      <c r="D30" s="29">
        <f>SUBTOTAL(109,Таблица245678910111718192021222324252627282930313233343536373839404142434445464748495051525354555657585960616263646667686970[Проти])</f>
        <v>0</v>
      </c>
      <c r="E30" s="29">
        <f>SUBTOTAL(109,Таблица245678910111718192021222324252627282930313233343536373839404142434445464748495051525354555657585960616263646667686970[Утрим])</f>
        <v>0</v>
      </c>
      <c r="F30" s="29">
        <f>SUBTOTAL(109,Таблица245678910111718192021222324252627282930313233343536373839404142434445464748495051525354555657585960616263646667686970[не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'!B65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SUBTOTAL(109,Таблица24567891011171819202122232425262728293031323334353637383940414243444546474849505152535455565758596061626364666768697071[За])</f>
        <v>0</v>
      </c>
      <c r="D30" s="29">
        <f>SUBTOTAL(109,Таблица24567891011171819202122232425262728293031323334353637383940414243444546474849505152535455565758596061626364666768697071[Проти])</f>
        <v>0</v>
      </c>
      <c r="E30" s="29">
        <f>SUBTOTAL(109,Таблица24567891011171819202122232425262728293031323334353637383940414243444546474849505152535455565758596061626364666768697071[Утрим])</f>
        <v>0</v>
      </c>
      <c r="F30" s="29">
        <f>SUBTOTAL(109,Таблица24567891011171819202122232425262728293031323334353637383940414243444546474849505152535455565758596061626364666768697071[не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SUBTOTAL(109,Таблица2456789101117181920212223242526272829303132333435363738394041424344454647484950515253545556575859606162636466676869707173[За])</f>
        <v>0</v>
      </c>
      <c r="D30" s="29">
        <f>SUBTOTAL(109,Таблица2456789101117181920212223242526272829303132333435363738394041424344454647484950515253545556575859606162636466676869707173[Проти])</f>
        <v>0</v>
      </c>
      <c r="E30" s="29">
        <f>SUBTOTAL(109,Таблица2456789101117181920212223242526272829303132333435363738394041424344454647484950515253545556575859606162636466676869707173[Утрим])</f>
        <v>0</v>
      </c>
      <c r="F30" s="29">
        <f>SUBTOTAL(109,Таблица2456789101117181920212223242526272829303132333435363738394041424344454647484950515253545556575859606162636466676869707173[не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SUBTOTAL(109,Таблица245678910111718192021222324252627282930313233343536373839404142434445464748495051525354555657585960616263646667686970717374[За])</f>
        <v>0</v>
      </c>
      <c r="D30" s="29">
        <f>SUBTOTAL(109,Таблица245678910111718192021222324252627282930313233343536373839404142434445464748495051525354555657585960616263646667686970717374[Проти])</f>
        <v>0</v>
      </c>
      <c r="E30" s="29">
        <f>SUBTOTAL(109,Таблица245678910111718192021222324252627282930313233343536373839404142434445464748495051525354555657585960616263646667686970717374[Утрим])</f>
        <v>0</v>
      </c>
      <c r="F30" s="29">
        <f>SUBTOTAL(109,Таблица245678910111718192021222324252627282930313233343536373839404142434445464748495051525354555657585960616263646667686970717374[не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Normal="100" zoomScaleSheetLayoutView="100" workbookViewId="0">
      <selection activeCell="J9" sqref="J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SUBTOTAL(109,Таблица24567891011171819202122232425262728293031323334353637383940414243444546474849505152535455565758596061626364666768697071737472[За])</f>
        <v>0</v>
      </c>
      <c r="D30" s="29">
        <f>SUBTOTAL(109,Таблица24567891011171819202122232425262728293031323334353637383940414243444546474849505152535455565758596061626364666768697071737472[Проти])</f>
        <v>0</v>
      </c>
      <c r="E30" s="29">
        <f>SUBTOTAL(109,Таблица24567891011171819202122232425262728293031323334353637383940414243444546474849505152535455565758596061626364666768697071737472[Утрим])</f>
        <v>0</v>
      </c>
      <c r="F30" s="29">
        <f>SUBTOTAL(109,Таблица24567891011171819202122232425262728293031323334353637383940414243444546474849505152535455565758596061626364666768697071737472[не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8" t="s">
        <v>11</v>
      </c>
      <c r="B30" s="28"/>
      <c r="C30" s="28">
        <f>SUBTOTAL(109,Таблица24567[За])</f>
        <v>0</v>
      </c>
      <c r="D30" s="28">
        <f>SUBTOTAL(109,Таблица24567[Проти])</f>
        <v>0</v>
      </c>
      <c r="E30" s="28">
        <f>SUBTOTAL(109,Таблица24567[Утрим])</f>
        <v>0</v>
      </c>
      <c r="F30" s="28">
        <f>SUBTOTAL(109,Таблица24567[не голосували])</f>
        <v>0</v>
      </c>
    </row>
    <row r="31" spans="1:7" x14ac:dyDescent="0.25">
      <c r="B31" t="str">
        <f>IF(Таблица24567[[#Totals],[За]]&gt;13,"Рішення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0" zoomScaleNormal="100" zoomScaleSheetLayoutView="100" workbookViewId="0">
      <selection activeCell="B2" sqref="B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'!B69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SUBTOTAL(109,Таблица2456789101117181920212223242526272829303132333435363738394041424344454647484950515253545556575859606162636466676869707173747275[За])</f>
        <v>0</v>
      </c>
      <c r="D30" s="29">
        <f>SUBTOTAL(109,Таблица2456789101117181920212223242526272829303132333435363738394041424344454647484950515253545556575859606162636466676869707173747275[Проти])</f>
        <v>0</v>
      </c>
      <c r="E30" s="29">
        <f>SUBTOTAL(109,Таблица2456789101117181920212223242526272829303132333435363738394041424344454647484950515253545556575859606162636466676869707173747275[Утрим])</f>
        <v>0</v>
      </c>
      <c r="F30" s="29">
        <f>SUBTOTAL(109,Таблица2456789101117181920212223242526272829303132333435363738394041424344454647484950515253545556575859606162636466676869707173747275[не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7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'!B70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SUBTOTAL(109,Таблица245678910111718192021222324252627282930313233343536373839404142434445464748495051525354555657585960616263646667686970717374727576[За])</f>
        <v>0</v>
      </c>
      <c r="D30" s="29">
        <f>SUBTOTAL(109,Таблица245678910111718192021222324252627282930313233343536373839404142434445464748495051525354555657585960616263646667686970717374727576[Проти])</f>
        <v>0</v>
      </c>
      <c r="E30" s="29">
        <f>SUBTOTAL(109,Таблица245678910111718192021222324252627282930313233343536373839404142434445464748495051525354555657585960616263646667686970717374727576[Утрим])</f>
        <v>0</v>
      </c>
      <c r="F30" s="29">
        <f>SUBTOTAL(109,Таблица245678910111718192021222324252627282930313233343536373839404142434445464748495051525354555657585960616263646667686970717374727576[не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IF(Таблица245678910111718192021222324252627282930313233343536373839404142434445464748495051525354555657585960616263646667686970717374727576[[#Totals],[За]]&gt;13,"Рішення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0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'!B71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SUBTOTAL(109,Таблица24567891011171819202122232425262728293031323334353637383940414243444546474849505152535455565758596061626364666768697071737472757677[За])</f>
        <v>0</v>
      </c>
      <c r="D30" s="29">
        <f>SUBTOTAL(109,Таблица24567891011171819202122232425262728293031323334353637383940414243444546474849505152535455565758596061626364666768697071737472757677[Проти])</f>
        <v>0</v>
      </c>
      <c r="E30" s="29">
        <f>SUBTOTAL(109,Таблица24567891011171819202122232425262728293031323334353637383940414243444546474849505152535455565758596061626364666768697071737472757677[Утрим])</f>
        <v>0</v>
      </c>
      <c r="F30" s="29">
        <f>SUBTOTAL(109,Таблица24567891011171819202122232425262728293031323334353637383940414243444546474849505152535455565758596061626364666768697071737472757677[не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IF(Таблица24567891011171819202122232425262728293031323334353637383940414243444546474849505152535455565758596061626364666768697071737472757677[[#Totals],[За]]&gt;13,"Рішення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6" width="16.42578125" style="15" bestFit="1" customWidth="1"/>
    <col min="7" max="7" width="11.85546875" style="15" customWidth="1"/>
  </cols>
  <sheetData>
    <row r="1" spans="1:7" x14ac:dyDescent="0.25">
      <c r="B1" t="s">
        <v>18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C30" s="29">
        <f>SUBTOTAL(109,Таблица256789101112[За])</f>
        <v>0</v>
      </c>
      <c r="D30" s="29">
        <f>SUBTOTAL(109,Таблица256789101112[Проти])</f>
        <v>0</v>
      </c>
      <c r="E30" s="29">
        <f>SUBTOTAL(109,Таблица256789101112[Утрим])</f>
        <v>0</v>
      </c>
      <c r="F30" s="29">
        <f>SUBTOTAL(109,Таблица256789101112[не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A33" sqref="A33:B34"/>
    </sheetView>
  </sheetViews>
  <sheetFormatPr defaultRowHeight="15" x14ac:dyDescent="0.25"/>
  <cols>
    <col min="2" max="2" width="39.7109375" bestFit="1" customWidth="1"/>
    <col min="3" max="5" width="10.7109375" customWidth="1"/>
    <col min="6" max="7" width="11.85546875" style="15" customWidth="1"/>
  </cols>
  <sheetData>
    <row r="1" spans="1:7" x14ac:dyDescent="0.25">
      <c r="B1" t="s">
        <v>19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SUBTOTAL(109,Таблица256789101112131415[За])</f>
        <v>0</v>
      </c>
      <c r="D30" s="29">
        <f>SUBTOTAL(109,Таблица256789101112131415[Проти])</f>
        <v>0</v>
      </c>
      <c r="E30" s="29">
        <f>SUBTOTAL(109,Таблица256789101112131415[Утрим])</f>
        <v>0</v>
      </c>
      <c r="F30" s="29">
        <f>SUBTOTAL(109,Таблица256789101112131415[не голосували])</f>
        <v>0</v>
      </c>
    </row>
    <row r="33" spans="1:2" x14ac:dyDescent="0.25">
      <c r="B33" t="s">
        <v>50</v>
      </c>
    </row>
    <row r="34" spans="1:2" ht="18.75" x14ac:dyDescent="0.3">
      <c r="A34">
        <f>IF(ISBLANK(B34),"",COUNTA($B$34:B34))</f>
        <v>1</v>
      </c>
      <c r="B34" s="41" t="s">
        <v>51</v>
      </c>
    </row>
    <row r="35" spans="1:2" ht="18.75" x14ac:dyDescent="0.3">
      <c r="A35" t="str">
        <f>IF(ISBLANK(B35),"",COUNTA($B$34:B35))</f>
        <v/>
      </c>
      <c r="B35" s="41"/>
    </row>
    <row r="36" spans="1:2" ht="18.75" x14ac:dyDescent="0.3">
      <c r="A36">
        <f>IF(ISBLANK(B36),"",COUNTA($B$34:B36))</f>
        <v>2</v>
      </c>
      <c r="B36" s="41" t="s">
        <v>52</v>
      </c>
    </row>
    <row r="37" spans="1:2" ht="18.75" x14ac:dyDescent="0.3">
      <c r="A37" t="str">
        <f>IF(ISBLANK(B37),"",COUNTA($B$34:B37))</f>
        <v/>
      </c>
      <c r="B37" s="41"/>
    </row>
    <row r="38" spans="1:2" ht="18.75" x14ac:dyDescent="0.3">
      <c r="A38">
        <f>IF(ISBLANK(#REF!),"",COUNTA($B$34:B38))</f>
        <v>3</v>
      </c>
      <c r="B38" s="41" t="s">
        <v>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20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SUBTOTAL(109,Таблица2567891011121314[За])</f>
        <v>0</v>
      </c>
      <c r="D30" s="29">
        <f>SUBTOTAL(109,Таблица2567891011121314[Проти])</f>
        <v>0</v>
      </c>
      <c r="E30" s="29">
        <f>SUBTOTAL(109,Таблица2567891011121314[Утрим])</f>
        <v>0</v>
      </c>
      <c r="F30" s="29">
        <f>SUBTOTAL(109,Таблица2567891011121314[не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26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26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26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26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26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26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26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26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26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26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26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26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26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26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SUBTOTAL(109,Таблица2567891011121316[За])</f>
        <v>0</v>
      </c>
      <c r="D30" s="29">
        <f>SUBTOTAL(109,Таблица2567891011121316[Проти])</f>
        <v>0</v>
      </c>
      <c r="E30" s="29">
        <f>SUBTOTAL(109,Таблица2567891011121316[Утрим])</f>
        <v>0</v>
      </c>
      <c r="F30" s="29">
        <f>SUBTOTAL(109,Таблица2567891011121316[не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21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9" t="s">
        <v>11</v>
      </c>
      <c r="B30" s="29"/>
      <c r="C30" s="29">
        <f>SUBTOTAL(109,Таблица25678910111213[За])</f>
        <v>0</v>
      </c>
      <c r="D30" s="29">
        <f>SUBTOTAL(109,Таблица25678910111213[Проти])</f>
        <v>0</v>
      </c>
      <c r="E30" s="29">
        <f>SUBTOTAL(109,Таблица25678910111213[Утрим])</f>
        <v>0</v>
      </c>
      <c r="F30" s="29">
        <f>SUBTOTAL(109,Таблица25678910111213[не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3" sqref="L2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'!B7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8" t="s">
        <v>11</v>
      </c>
      <c r="B30" s="28"/>
      <c r="C30" s="28">
        <f>SUBTOTAL(109,Таблица245678[За])</f>
        <v>0</v>
      </c>
      <c r="D30" s="28">
        <f>SUBTOTAL(109,Таблица245678[Проти])</f>
        <v>0</v>
      </c>
      <c r="E30" s="28">
        <f>SUBTOTAL(109,Таблица245678[Утрим])</f>
        <v>0</v>
      </c>
      <c r="F30" s="28">
        <f>SUBTOTAL(109,Таблица245678[не голосували])</f>
        <v>0</v>
      </c>
    </row>
    <row r="31" spans="1:7" x14ac:dyDescent="0.25">
      <c r="B31" t="str">
        <f>IF(Таблица245678[[#Totals],[За]]&gt;13,"Рішення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50">
        <f>'Порядок денний '!B8</f>
        <v>0</v>
      </c>
      <c r="C1" s="50"/>
      <c r="D1" s="50"/>
      <c r="E1" s="50"/>
      <c r="F1" s="50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6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Чаленко Валерій Миколайович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7"/>
      <c r="G29" s="14"/>
    </row>
    <row r="30" spans="1:7" x14ac:dyDescent="0.25">
      <c r="A30" s="28" t="s">
        <v>11</v>
      </c>
      <c r="B30" s="28"/>
      <c r="C30" s="28">
        <f>SUBTOTAL(109,Таблица2456789[За])</f>
        <v>0</v>
      </c>
      <c r="D30" s="28">
        <f>SUBTOTAL(109,Таблица2456789[Проти])</f>
        <v>0</v>
      </c>
      <c r="E30" s="28">
        <f>SUBTOTAL(109,Таблица2456789[Утрим])</f>
        <v>0</v>
      </c>
      <c r="F30" s="28">
        <f>SUBTOTAL(109,Таблица2456789[не голосували])</f>
        <v>0</v>
      </c>
    </row>
    <row r="31" spans="1:7" x14ac:dyDescent="0.25">
      <c r="B31" t="str">
        <f>IF(Таблица2456789[[#Totals],[За]]&gt;13,"Рішення прийнято","Рішення не прийнято")</f>
        <v>Рішення не прийнято</v>
      </c>
    </row>
    <row r="33" spans="1:2" x14ac:dyDescent="0.25">
      <c r="B33" t="str">
        <f>'лічильна комісія'!B33</f>
        <v>Лічильна комісія:</v>
      </c>
    </row>
    <row r="34" spans="1:2" x14ac:dyDescent="0.25">
      <c r="A34">
        <f>'лічильна комісія'!A34</f>
        <v>1</v>
      </c>
      <c r="B34" t="str">
        <f>'лічильна комісія'!B34</f>
        <v>Коваленко М.П.</v>
      </c>
    </row>
    <row r="35" spans="1:2" x14ac:dyDescent="0.25">
      <c r="A35" t="str">
        <f>'лічильна комісія'!A35</f>
        <v/>
      </c>
    </row>
    <row r="36" spans="1:2" x14ac:dyDescent="0.25">
      <c r="A36">
        <f>'лічильна комісія'!A36</f>
        <v>2</v>
      </c>
      <c r="B36" t="str">
        <f>'лічильна комісія'!B36</f>
        <v>Матухно І.Г.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3</v>
      </c>
      <c r="B38" t="str">
        <f>'лічильна комісія'!B38</f>
        <v>Цопа М.М.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78</vt:i4>
      </vt:variant>
      <vt:variant>
        <vt:lpstr>Именованные диапазоны</vt:lpstr>
      </vt:variant>
      <vt:variant>
        <vt:i4>71</vt:i4>
      </vt:variant>
    </vt:vector>
  </HeadingPairs>
  <TitlesOfParts>
    <vt:vector size="149" baseType="lpstr">
      <vt:lpstr>явка</vt:lpstr>
      <vt:lpstr>Порядок денний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регламент</vt:lpstr>
      <vt:lpstr>лічильна комісія</vt:lpstr>
      <vt:lpstr>Секретар</vt:lpstr>
      <vt:lpstr>резерв</vt:lpstr>
      <vt:lpstr>За порядок денний</vt:lpstr>
      <vt:lpstr>дані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'36'!Область_печати</vt:lpstr>
      <vt:lpstr>'37'!Область_печати</vt:lpstr>
      <vt:lpstr>'38'!Область_печати</vt:lpstr>
      <vt:lpstr>'39'!Область_печати</vt:lpstr>
      <vt:lpstr>'4'!Область_печати</vt:lpstr>
      <vt:lpstr>'40'!Область_печати</vt:lpstr>
      <vt:lpstr>'41'!Область_печати</vt:lpstr>
      <vt:lpstr>'42'!Область_печати</vt:lpstr>
      <vt:lpstr>'43'!Область_печати</vt:lpstr>
      <vt:lpstr>'44'!Область_печати</vt:lpstr>
      <vt:lpstr>'45'!Область_печати</vt:lpstr>
      <vt:lpstr>'46'!Область_печати</vt:lpstr>
      <vt:lpstr>'47'!Область_печати</vt:lpstr>
      <vt:lpstr>'48'!Область_печати</vt:lpstr>
      <vt:lpstr>'49'!Область_печати</vt:lpstr>
      <vt:lpstr>'5'!Область_печати</vt:lpstr>
      <vt:lpstr>'50'!Область_печати</vt:lpstr>
      <vt:lpstr>'51'!Область_печати</vt:lpstr>
      <vt:lpstr>'52'!Область_печати</vt:lpstr>
      <vt:lpstr>'53'!Область_печати</vt:lpstr>
      <vt:lpstr>'54'!Область_печати</vt:lpstr>
      <vt:lpstr>'55'!Область_печати</vt:lpstr>
      <vt:lpstr>'56'!Область_печати</vt:lpstr>
      <vt:lpstr>'57'!Область_печати</vt:lpstr>
      <vt:lpstr>'58'!Область_печати</vt:lpstr>
      <vt:lpstr>'59'!Область_печати</vt:lpstr>
      <vt:lpstr>'6'!Область_печати</vt:lpstr>
      <vt:lpstr>'60'!Область_печати</vt:lpstr>
      <vt:lpstr>'61'!Область_печати</vt:lpstr>
      <vt:lpstr>'62'!Область_печати</vt:lpstr>
      <vt:lpstr>'63'!Область_печати</vt:lpstr>
      <vt:lpstr>'64'!Область_печати</vt:lpstr>
      <vt:lpstr>'65'!Область_печати</vt:lpstr>
      <vt:lpstr>'66'!Область_печати</vt:lpstr>
      <vt:lpstr>'67'!Область_печати</vt:lpstr>
      <vt:lpstr>'68'!Область_печати</vt:lpstr>
      <vt:lpstr>'69'!Область_печати</vt:lpstr>
      <vt:lpstr>'7'!Область_печати</vt:lpstr>
      <vt:lpstr>'70'!Область_печати</vt:lpstr>
      <vt:lpstr>'8'!Область_печати</vt:lpstr>
      <vt:lpstr>'9'!Область_печати</vt:lpstr>
      <vt:lpstr>'Порядок денний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2018-03-19T10:37:51Z</cp:lastPrinted>
  <dcterms:created xsi:type="dcterms:W3CDTF">2016-01-11T09:21:51Z</dcterms:created>
  <dcterms:modified xsi:type="dcterms:W3CDTF">2019-06-25T12:02:04Z</dcterms:modified>
</cp:coreProperties>
</file>