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6 сесія чергова 21 лютого 2019 року\"/>
    </mc:Choice>
  </mc:AlternateContent>
  <bookViews>
    <workbookView xWindow="0" yWindow="0" windowWidth="28740" windowHeight="12300" tabRatio="784" activeTab="1"/>
  </bookViews>
  <sheets>
    <sheet name="явка" sheetId="1" r:id="rId1"/>
    <sheet name="Порядок денний " sheetId="27" r:id="rId2"/>
    <sheet name="1" sheetId="3" r:id="rId3"/>
    <sheet name="2" sheetId="58" r:id="rId4"/>
    <sheet name="3" sheetId="59" r:id="rId5"/>
    <sheet name="4" sheetId="60" r:id="rId6"/>
    <sheet name="5" sheetId="61" r:id="rId7"/>
    <sheet name="6" sheetId="62" r:id="rId8"/>
    <sheet name="7" sheetId="63" r:id="rId9"/>
    <sheet name="8" sheetId="64" r:id="rId10"/>
    <sheet name="9" sheetId="65" r:id="rId11"/>
    <sheet name="10" sheetId="66" r:id="rId12"/>
    <sheet name="11" sheetId="67" r:id="rId13"/>
    <sheet name="12" sheetId="68" r:id="rId14"/>
    <sheet name="13" sheetId="69" r:id="rId15"/>
    <sheet name="14" sheetId="70" r:id="rId16"/>
    <sheet name="15" sheetId="71" r:id="rId17"/>
    <sheet name="16" sheetId="72" r:id="rId18"/>
    <sheet name="17" sheetId="73" r:id="rId19"/>
    <sheet name="18" sheetId="74" r:id="rId20"/>
    <sheet name="19" sheetId="75" r:id="rId21"/>
    <sheet name="20" sheetId="76" r:id="rId22"/>
    <sheet name="21" sheetId="78" r:id="rId23"/>
    <sheet name="22" sheetId="80" r:id="rId24"/>
    <sheet name="23" sheetId="81" r:id="rId25"/>
    <sheet name="24" sheetId="82" r:id="rId26"/>
    <sheet name="25" sheetId="83" r:id="rId27"/>
    <sheet name="26" sheetId="84" r:id="rId28"/>
    <sheet name="27" sheetId="85" r:id="rId29"/>
    <sheet name="28" sheetId="86" r:id="rId30"/>
    <sheet name="29" sheetId="87" r:id="rId31"/>
    <sheet name="30" sheetId="88" r:id="rId32"/>
    <sheet name="31" sheetId="89" r:id="rId33"/>
    <sheet name="32" sheetId="90" r:id="rId34"/>
    <sheet name="33" sheetId="91" r:id="rId35"/>
    <sheet name="34" sheetId="92" r:id="rId36"/>
    <sheet name="35" sheetId="93" r:id="rId37"/>
    <sheet name="36" sheetId="94" r:id="rId38"/>
    <sheet name="37" sheetId="95" r:id="rId39"/>
    <sheet name="38" sheetId="96" r:id="rId40"/>
    <sheet name="39" sheetId="97" r:id="rId41"/>
    <sheet name="40" sheetId="98" r:id="rId42"/>
    <sheet name="41" sheetId="99" r:id="rId43"/>
    <sheet name="42" sheetId="100" r:id="rId44"/>
    <sheet name="43" sheetId="101" r:id="rId45"/>
    <sheet name="44" sheetId="102" r:id="rId46"/>
    <sheet name="45" sheetId="103" r:id="rId47"/>
    <sheet name="46" sheetId="104" r:id="rId48"/>
    <sheet name="47" sheetId="105" r:id="rId49"/>
    <sheet name="48" sheetId="106" r:id="rId50"/>
    <sheet name="49" sheetId="107" r:id="rId51"/>
    <sheet name="50" sheetId="108" r:id="rId52"/>
    <sheet name="51" sheetId="109" r:id="rId53"/>
    <sheet name="52" sheetId="110" r:id="rId54"/>
    <sheet name="53" sheetId="111" r:id="rId55"/>
    <sheet name="54" sheetId="112" r:id="rId56"/>
    <sheet name="55" sheetId="113" r:id="rId57"/>
    <sheet name="56" sheetId="114" r:id="rId58"/>
    <sheet name="57" sheetId="116" r:id="rId59"/>
    <sheet name="58" sheetId="115" r:id="rId60"/>
    <sheet name="59" sheetId="117" r:id="rId61"/>
    <sheet name="60" sheetId="118" r:id="rId62"/>
    <sheet name="61" sheetId="119" r:id="rId63"/>
    <sheet name="62" sheetId="120" r:id="rId64"/>
    <sheet name="63" sheetId="121" r:id="rId65"/>
    <sheet name="64" sheetId="122" r:id="rId66"/>
    <sheet name="65" sheetId="124" r:id="rId67"/>
    <sheet name="66" sheetId="125" r:id="rId68"/>
    <sheet name="67" sheetId="126" r:id="rId69"/>
    <sheet name="68" sheetId="127" r:id="rId70"/>
    <sheet name="69" sheetId="128" r:id="rId71"/>
    <sheet name="70" sheetId="129" r:id="rId72"/>
    <sheet name="регламент" sheetId="14" r:id="rId73"/>
    <sheet name="лічильна комісія" sheetId="18" r:id="rId74"/>
    <sheet name="Секретар" sheetId="17" r:id="rId75"/>
    <sheet name="резерв" sheetId="19" r:id="rId76"/>
    <sheet name="За порядок денний" sheetId="16" r:id="rId77"/>
    <sheet name="дані" sheetId="2" r:id="rId78"/>
  </sheets>
  <externalReferences>
    <externalReference r:id="rId79"/>
  </externalReferences>
  <definedNames>
    <definedName name="_xlnm._FilterDatabase" localSheetId="1" hidden="1">'Порядок денний '!$A$1:$H$54</definedName>
    <definedName name="_xlnm.Print_Area" localSheetId="2">'1'!$A$1:$F$38</definedName>
    <definedName name="_xlnm.Print_Area" localSheetId="11">'10'!$A$1:$F$38</definedName>
    <definedName name="_xlnm.Print_Area" localSheetId="12">'11'!$A$1:$F$38</definedName>
    <definedName name="_xlnm.Print_Area" localSheetId="13">'12'!$A$1:$F$38</definedName>
    <definedName name="_xlnm.Print_Area" localSheetId="14">'13'!$A$1:$F$38</definedName>
    <definedName name="_xlnm.Print_Area" localSheetId="15">'14'!$A$1:$F$38</definedName>
    <definedName name="_xlnm.Print_Area" localSheetId="16">'15'!$A$1:$F$38</definedName>
    <definedName name="_xlnm.Print_Area" localSheetId="17">'16'!$A$1:$F$38</definedName>
    <definedName name="_xlnm.Print_Area" localSheetId="18">'17'!$A$1:$F$38</definedName>
    <definedName name="_xlnm.Print_Area" localSheetId="19">'18'!$A$1:$F$38</definedName>
    <definedName name="_xlnm.Print_Area" localSheetId="20">'19'!$A$1:$F$38</definedName>
    <definedName name="_xlnm.Print_Area" localSheetId="3">'2'!$A$1:$F$38</definedName>
    <definedName name="_xlnm.Print_Area" localSheetId="21">'20'!$A$1:$F$38</definedName>
    <definedName name="_xlnm.Print_Area" localSheetId="22">'21'!$A$1:$F$38</definedName>
    <definedName name="_xlnm.Print_Area" localSheetId="23">'22'!$A$1:$F$38</definedName>
    <definedName name="_xlnm.Print_Area" localSheetId="24">'23'!$A$1:$F$38</definedName>
    <definedName name="_xlnm.Print_Area" localSheetId="25">'24'!$A$1:$F$38</definedName>
    <definedName name="_xlnm.Print_Area" localSheetId="26">'25'!$A$1:$F$38</definedName>
    <definedName name="_xlnm.Print_Area" localSheetId="27">'26'!$A$1:$F$38</definedName>
    <definedName name="_xlnm.Print_Area" localSheetId="28">'27'!$A$1:$F$38</definedName>
    <definedName name="_xlnm.Print_Area" localSheetId="29">'28'!$A$1:$F$38</definedName>
    <definedName name="_xlnm.Print_Area" localSheetId="30">'29'!$A$1:$F$38</definedName>
    <definedName name="_xlnm.Print_Area" localSheetId="4">'3'!$A$1:$F$38</definedName>
    <definedName name="_xlnm.Print_Area" localSheetId="31">'30'!$A$1:$F$38</definedName>
    <definedName name="_xlnm.Print_Area" localSheetId="32">'31'!$A$1:$F$38</definedName>
    <definedName name="_xlnm.Print_Area" localSheetId="33">'32'!$A$1:$F$38</definedName>
    <definedName name="_xlnm.Print_Area" localSheetId="34">'33'!$A$1:$F$38</definedName>
    <definedName name="_xlnm.Print_Area" localSheetId="35">'34'!$A$1:$F$38</definedName>
    <definedName name="_xlnm.Print_Area" localSheetId="36">'35'!$A$1:$F$38</definedName>
    <definedName name="_xlnm.Print_Area" localSheetId="37">'36'!$A$1:$F$38</definedName>
    <definedName name="_xlnm.Print_Area" localSheetId="38">'37'!$A$1:$F$38</definedName>
    <definedName name="_xlnm.Print_Area" localSheetId="39">'38'!$A$1:$F$38</definedName>
    <definedName name="_xlnm.Print_Area" localSheetId="40">'39'!$A$1:$F$38</definedName>
    <definedName name="_xlnm.Print_Area" localSheetId="5">'4'!$A$1:$F$38</definedName>
    <definedName name="_xlnm.Print_Area" localSheetId="41">'40'!$A$1:$F$38</definedName>
    <definedName name="_xlnm.Print_Area" localSheetId="42">'41'!$A$1:$F$38</definedName>
    <definedName name="_xlnm.Print_Area" localSheetId="43">'42'!$A$1:$F$38</definedName>
    <definedName name="_xlnm.Print_Area" localSheetId="44">'43'!$A$1:$F$38</definedName>
    <definedName name="_xlnm.Print_Area" localSheetId="45">'44'!$A$1:$F$38</definedName>
    <definedName name="_xlnm.Print_Area" localSheetId="46">'45'!$A$1:$F$38</definedName>
    <definedName name="_xlnm.Print_Area" localSheetId="47">'46'!$A$1:$F$38</definedName>
    <definedName name="_xlnm.Print_Area" localSheetId="48">'47'!$A$1:$F$38</definedName>
    <definedName name="_xlnm.Print_Area" localSheetId="49">'48'!$A$1:$F$38</definedName>
    <definedName name="_xlnm.Print_Area" localSheetId="50">'49'!$A$1:$F$38</definedName>
    <definedName name="_xlnm.Print_Area" localSheetId="6">'5'!$A$1:$F$38</definedName>
    <definedName name="_xlnm.Print_Area" localSheetId="51">'50'!$A$1:$F$38</definedName>
    <definedName name="_xlnm.Print_Area" localSheetId="52">'51'!$A$1:$F$38</definedName>
    <definedName name="_xlnm.Print_Area" localSheetId="53">'52'!$A$1:$F$38</definedName>
    <definedName name="_xlnm.Print_Area" localSheetId="54">'53'!$A$1:$F$38</definedName>
    <definedName name="_xlnm.Print_Area" localSheetId="55">'54'!$A$1:$F$38</definedName>
    <definedName name="_xlnm.Print_Area" localSheetId="56">'55'!$A$1:$F$38</definedName>
    <definedName name="_xlnm.Print_Area" localSheetId="57">'56'!$A$1:$F$38</definedName>
    <definedName name="_xlnm.Print_Area" localSheetId="58">'57'!$A$1:$F$38</definedName>
    <definedName name="_xlnm.Print_Area" localSheetId="59">'58'!$A$1:$F$38</definedName>
    <definedName name="_xlnm.Print_Area" localSheetId="60">'59'!$A$1:$F$38</definedName>
    <definedName name="_xlnm.Print_Area" localSheetId="7">'6'!$A$1:$F$38</definedName>
    <definedName name="_xlnm.Print_Area" localSheetId="61">'60'!$A$1:$F$38</definedName>
    <definedName name="_xlnm.Print_Area" localSheetId="62">'61'!$A$1:$F$38</definedName>
    <definedName name="_xlnm.Print_Area" localSheetId="63">'62'!$A$1:$F$38</definedName>
    <definedName name="_xlnm.Print_Area" localSheetId="64">'63'!$A$1:$F$38</definedName>
    <definedName name="_xlnm.Print_Area" localSheetId="65">'64'!$A$1:$F$38</definedName>
    <definedName name="_xlnm.Print_Area" localSheetId="66">'65'!$A$1:$F$38</definedName>
    <definedName name="_xlnm.Print_Area" localSheetId="67">'66'!$A$1:$F$38</definedName>
    <definedName name="_xlnm.Print_Area" localSheetId="68">'67'!$A$1:$F$38</definedName>
    <definedName name="_xlnm.Print_Area" localSheetId="69">'68'!$A$1:$F$38</definedName>
    <definedName name="_xlnm.Print_Area" localSheetId="70">'69'!$A$1:$F$38</definedName>
    <definedName name="_xlnm.Print_Area" localSheetId="8">'7'!$A$1:$F$38</definedName>
    <definedName name="_xlnm.Print_Area" localSheetId="71">'70'!$A$1:$F$38</definedName>
    <definedName name="_xlnm.Print_Area" localSheetId="9">'8'!$A$1:$F$38</definedName>
    <definedName name="_xlnm.Print_Area" localSheetId="10">'9'!$A$1:$F$38</definedName>
    <definedName name="_xlnm.Print_Area" localSheetId="1">'Порядок денний '!$A$1:$H$54</definedName>
  </definedNames>
  <calcPr calcId="162913"/>
</workbook>
</file>

<file path=xl/calcChain.xml><?xml version="1.0" encoding="utf-8"?>
<calcChain xmlns="http://schemas.openxmlformats.org/spreadsheetml/2006/main">
  <c r="E30" i="1" l="1"/>
  <c r="E29" i="1"/>
  <c r="B29" i="3" s="1"/>
  <c r="E28" i="1"/>
  <c r="E27" i="1"/>
  <c r="E26" i="1"/>
  <c r="B26" i="3" s="1"/>
  <c r="E25" i="1"/>
  <c r="B25" i="3" s="1"/>
  <c r="E24" i="1"/>
  <c r="E23" i="1"/>
  <c r="E22" i="1"/>
  <c r="B22" i="3" s="1"/>
  <c r="E21" i="1"/>
  <c r="B21" i="3" s="1"/>
  <c r="E20" i="1"/>
  <c r="E19" i="1"/>
  <c r="E18" i="1"/>
  <c r="B18" i="3" s="1"/>
  <c r="E17" i="1"/>
  <c r="B17" i="3" s="1"/>
  <c r="E16" i="1"/>
  <c r="E15" i="1"/>
  <c r="E14" i="1"/>
  <c r="B14" i="3" s="1"/>
  <c r="E13" i="1"/>
  <c r="B13" i="3" s="1"/>
  <c r="E12" i="1"/>
  <c r="E11" i="1"/>
  <c r="E10" i="1"/>
  <c r="B10" i="3" s="1"/>
  <c r="E9" i="1"/>
  <c r="B9" i="3" s="1"/>
  <c r="E8" i="1"/>
  <c r="E7" i="1"/>
  <c r="E6" i="1"/>
  <c r="B6" i="3" s="1"/>
  <c r="E5" i="1"/>
  <c r="B5" i="3" s="1"/>
  <c r="E4" i="1"/>
  <c r="E3" i="1"/>
  <c r="B3" i="3"/>
  <c r="B4" i="3"/>
  <c r="B7" i="3"/>
  <c r="B8" i="3"/>
  <c r="B11" i="3"/>
  <c r="B12" i="3"/>
  <c r="B15" i="3"/>
  <c r="B16" i="3"/>
  <c r="B19" i="3"/>
  <c r="B20" i="3"/>
  <c r="B23" i="3"/>
  <c r="B24" i="3"/>
  <c r="B27" i="3"/>
  <c r="B28" i="3"/>
  <c r="C30" i="3"/>
  <c r="D30" i="3"/>
  <c r="A2" i="27" l="1"/>
  <c r="B1" i="129" l="1"/>
  <c r="B1" i="128"/>
  <c r="B1" i="127"/>
  <c r="B1" i="126"/>
  <c r="B38" i="129"/>
  <c r="B36" i="129"/>
  <c r="B34" i="129"/>
  <c r="B33" i="129"/>
  <c r="F30" i="129"/>
  <c r="E30" i="129"/>
  <c r="D30" i="129"/>
  <c r="C30" i="129"/>
  <c r="B31" i="129" s="1"/>
  <c r="B38" i="128"/>
  <c r="B36" i="128"/>
  <c r="B34" i="128"/>
  <c r="B33" i="128"/>
  <c r="F30" i="128"/>
  <c r="E30" i="128"/>
  <c r="D30" i="128"/>
  <c r="C30" i="128"/>
  <c r="B31" i="128" s="1"/>
  <c r="B38" i="127"/>
  <c r="B36" i="127"/>
  <c r="B34" i="127"/>
  <c r="B33" i="127"/>
  <c r="F30" i="127"/>
  <c r="E30" i="127"/>
  <c r="D30" i="127"/>
  <c r="C30" i="127"/>
  <c r="B31" i="127" s="1"/>
  <c r="B38" i="126"/>
  <c r="B36" i="126"/>
  <c r="B34" i="126"/>
  <c r="B33" i="126"/>
  <c r="F30" i="126"/>
  <c r="E30" i="126"/>
  <c r="D30" i="126"/>
  <c r="C30" i="126"/>
  <c r="B31" i="126" s="1"/>
  <c r="B1" i="125" l="1"/>
  <c r="B1" i="124"/>
  <c r="B1" i="122"/>
  <c r="B1" i="121"/>
  <c r="B1" i="120"/>
  <c r="B1" i="119"/>
  <c r="B1" i="118"/>
  <c r="B1" i="117"/>
  <c r="B1" i="115"/>
  <c r="B1" i="116"/>
  <c r="B1" i="114"/>
  <c r="B38" i="125"/>
  <c r="B36" i="125"/>
  <c r="B34" i="125"/>
  <c r="B33" i="125"/>
  <c r="F30" i="125"/>
  <c r="E30" i="125"/>
  <c r="D30" i="125"/>
  <c r="C30" i="125"/>
  <c r="B31" i="125" s="1"/>
  <c r="B38" i="124"/>
  <c r="B36" i="124"/>
  <c r="B34" i="124"/>
  <c r="B33" i="124"/>
  <c r="F30" i="124"/>
  <c r="E30" i="124"/>
  <c r="D30" i="124"/>
  <c r="C30" i="124"/>
  <c r="B31" i="124" s="1"/>
  <c r="B38" i="122"/>
  <c r="B36" i="122"/>
  <c r="B34" i="122"/>
  <c r="B33" i="122"/>
  <c r="F30" i="122"/>
  <c r="E30" i="122"/>
  <c r="D30" i="122"/>
  <c r="C30" i="122"/>
  <c r="B31" i="122" s="1"/>
  <c r="B38" i="121"/>
  <c r="B36" i="121"/>
  <c r="B34" i="121"/>
  <c r="B33" i="121"/>
  <c r="F30" i="121"/>
  <c r="E30" i="121"/>
  <c r="D30" i="121"/>
  <c r="C30" i="121"/>
  <c r="B31" i="121" s="1"/>
  <c r="B38" i="120"/>
  <c r="B36" i="120"/>
  <c r="B34" i="120"/>
  <c r="B33" i="120"/>
  <c r="F30" i="120"/>
  <c r="E30" i="120"/>
  <c r="D30" i="120"/>
  <c r="C30" i="120"/>
  <c r="B31" i="120" s="1"/>
  <c r="B38" i="119"/>
  <c r="B36" i="119"/>
  <c r="B34" i="119"/>
  <c r="B33" i="119"/>
  <c r="F30" i="119"/>
  <c r="E30" i="119"/>
  <c r="D30" i="119"/>
  <c r="C30" i="119"/>
  <c r="B31" i="119" s="1"/>
  <c r="B38" i="118"/>
  <c r="B36" i="118"/>
  <c r="B34" i="118"/>
  <c r="B33" i="118"/>
  <c r="F30" i="118"/>
  <c r="E30" i="118"/>
  <c r="D30" i="118"/>
  <c r="C30" i="118"/>
  <c r="B31" i="118" s="1"/>
  <c r="B38" i="117"/>
  <c r="B36" i="117"/>
  <c r="B34" i="117"/>
  <c r="B33" i="117"/>
  <c r="F30" i="117"/>
  <c r="E30" i="117"/>
  <c r="D30" i="117"/>
  <c r="C30" i="117"/>
  <c r="B31" i="117" s="1"/>
  <c r="B38" i="116"/>
  <c r="B36" i="116"/>
  <c r="B34" i="116"/>
  <c r="B33" i="116"/>
  <c r="F30" i="116"/>
  <c r="E30" i="116"/>
  <c r="D30" i="116"/>
  <c r="C30" i="116"/>
  <c r="B31" i="116" s="1"/>
  <c r="B38" i="115"/>
  <c r="B36" i="115"/>
  <c r="B34" i="115"/>
  <c r="B33" i="115"/>
  <c r="F30" i="115"/>
  <c r="E30" i="115"/>
  <c r="D30" i="115"/>
  <c r="C30" i="115"/>
  <c r="B31" i="115" s="1"/>
  <c r="B38" i="114"/>
  <c r="B36" i="114"/>
  <c r="B34" i="114"/>
  <c r="B33" i="114"/>
  <c r="F30" i="114"/>
  <c r="E30" i="114"/>
  <c r="D30" i="114"/>
  <c r="C30" i="114"/>
  <c r="B31" i="114" s="1"/>
  <c r="B1" i="107" l="1"/>
  <c r="B1" i="104"/>
  <c r="B1" i="105"/>
  <c r="E53" i="27"/>
  <c r="F52" i="27"/>
  <c r="E49" i="27"/>
  <c r="F48" i="27"/>
  <c r="D46" i="27"/>
  <c r="E45" i="27"/>
  <c r="F44" i="27"/>
  <c r="D42" i="27"/>
  <c r="A3" i="27"/>
  <c r="A4" i="27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B1" i="113"/>
  <c r="B1" i="112"/>
  <c r="B1" i="111"/>
  <c r="B1" i="110"/>
  <c r="B1" i="109"/>
  <c r="B1" i="108"/>
  <c r="B1" i="106"/>
  <c r="B1" i="103"/>
  <c r="B1" i="102"/>
  <c r="B1" i="101"/>
  <c r="B1" i="100"/>
  <c r="B1" i="99"/>
  <c r="B38" i="113"/>
  <c r="B36" i="113"/>
  <c r="B34" i="113"/>
  <c r="B33" i="113"/>
  <c r="F30" i="113"/>
  <c r="E30" i="113"/>
  <c r="D30" i="113"/>
  <c r="C30" i="113"/>
  <c r="B31" i="113" s="1"/>
  <c r="B38" i="112"/>
  <c r="A37" i="112"/>
  <c r="B36" i="112"/>
  <c r="B34" i="112"/>
  <c r="B33" i="112"/>
  <c r="F30" i="112"/>
  <c r="E30" i="112"/>
  <c r="D30" i="112"/>
  <c r="C30" i="112"/>
  <c r="B31" i="112" s="1"/>
  <c r="B38" i="111"/>
  <c r="B36" i="111"/>
  <c r="B34" i="111"/>
  <c r="B33" i="111"/>
  <c r="F30" i="111"/>
  <c r="E30" i="111"/>
  <c r="D30" i="111"/>
  <c r="C30" i="111"/>
  <c r="B31" i="111" s="1"/>
  <c r="B38" i="110"/>
  <c r="B36" i="110"/>
  <c r="B34" i="110"/>
  <c r="B33" i="110"/>
  <c r="F30" i="110"/>
  <c r="F53" i="27" s="1"/>
  <c r="E30" i="110"/>
  <c r="D30" i="110"/>
  <c r="D53" i="27" s="1"/>
  <c r="C30" i="110"/>
  <c r="B31" i="110" s="1"/>
  <c r="G53" i="27" s="1"/>
  <c r="B38" i="109"/>
  <c r="B36" i="109"/>
  <c r="B34" i="109"/>
  <c r="B33" i="109"/>
  <c r="F30" i="109"/>
  <c r="E30" i="109"/>
  <c r="E52" i="27" s="1"/>
  <c r="D30" i="109"/>
  <c r="D52" i="27" s="1"/>
  <c r="C30" i="109"/>
  <c r="G52" i="27" s="1"/>
  <c r="B38" i="108"/>
  <c r="B36" i="108"/>
  <c r="B34" i="108"/>
  <c r="B33" i="108"/>
  <c r="F30" i="108"/>
  <c r="F51" i="27" s="1"/>
  <c r="E30" i="108"/>
  <c r="E51" i="27" s="1"/>
  <c r="D30" i="108"/>
  <c r="D51" i="27" s="1"/>
  <c r="C30" i="108"/>
  <c r="B31" i="108" s="1"/>
  <c r="G51" i="27" s="1"/>
  <c r="B38" i="107"/>
  <c r="A38" i="107"/>
  <c r="B36" i="107"/>
  <c r="B34" i="107"/>
  <c r="B33" i="107"/>
  <c r="F30" i="107"/>
  <c r="F50" i="27" s="1"/>
  <c r="E30" i="107"/>
  <c r="E50" i="27" s="1"/>
  <c r="D30" i="107"/>
  <c r="D50" i="27" s="1"/>
  <c r="C30" i="107"/>
  <c r="B31" i="107" s="1"/>
  <c r="G50" i="27" s="1"/>
  <c r="B38" i="106"/>
  <c r="B36" i="106"/>
  <c r="B34" i="106"/>
  <c r="B33" i="106"/>
  <c r="F30" i="106"/>
  <c r="F49" i="27" s="1"/>
  <c r="E30" i="106"/>
  <c r="D30" i="106"/>
  <c r="D49" i="27" s="1"/>
  <c r="C30" i="106"/>
  <c r="B31" i="106" s="1"/>
  <c r="G49" i="27" s="1"/>
  <c r="B38" i="105"/>
  <c r="B36" i="105"/>
  <c r="B34" i="105"/>
  <c r="B33" i="105"/>
  <c r="F30" i="105"/>
  <c r="E30" i="105"/>
  <c r="E48" i="27" s="1"/>
  <c r="D30" i="105"/>
  <c r="D48" i="27" s="1"/>
  <c r="C30" i="105"/>
  <c r="B31" i="105" s="1"/>
  <c r="G48" i="27" s="1"/>
  <c r="B38" i="104"/>
  <c r="B36" i="104"/>
  <c r="B34" i="104"/>
  <c r="B33" i="104"/>
  <c r="F30" i="104"/>
  <c r="F47" i="27" s="1"/>
  <c r="E30" i="104"/>
  <c r="E47" i="27" s="1"/>
  <c r="D30" i="104"/>
  <c r="D47" i="27" s="1"/>
  <c r="C30" i="104"/>
  <c r="B31" i="104" s="1"/>
  <c r="G47" i="27" s="1"/>
  <c r="B38" i="103"/>
  <c r="B36" i="103"/>
  <c r="B34" i="103"/>
  <c r="B33" i="103"/>
  <c r="F30" i="103"/>
  <c r="F46" i="27" s="1"/>
  <c r="E30" i="103"/>
  <c r="E46" i="27" s="1"/>
  <c r="D30" i="103"/>
  <c r="C30" i="103"/>
  <c r="B31" i="103" s="1"/>
  <c r="G46" i="27" s="1"/>
  <c r="B38" i="102"/>
  <c r="B36" i="102"/>
  <c r="B34" i="102"/>
  <c r="B33" i="102"/>
  <c r="F30" i="102"/>
  <c r="F45" i="27" s="1"/>
  <c r="E30" i="102"/>
  <c r="D30" i="102"/>
  <c r="D45" i="27" s="1"/>
  <c r="C30" i="102"/>
  <c r="B31" i="102" s="1"/>
  <c r="G45" i="27" s="1"/>
  <c r="B38" i="101"/>
  <c r="B36" i="101"/>
  <c r="B34" i="101"/>
  <c r="B33" i="101"/>
  <c r="F30" i="101"/>
  <c r="E30" i="101"/>
  <c r="E44" i="27" s="1"/>
  <c r="D30" i="101"/>
  <c r="D44" i="27" s="1"/>
  <c r="C30" i="101"/>
  <c r="B31" i="101" s="1"/>
  <c r="G44" i="27" s="1"/>
  <c r="B38" i="100"/>
  <c r="B36" i="100"/>
  <c r="B34" i="100"/>
  <c r="B33" i="100"/>
  <c r="F30" i="100"/>
  <c r="F43" i="27" s="1"/>
  <c r="E30" i="100"/>
  <c r="E43" i="27" s="1"/>
  <c r="D30" i="100"/>
  <c r="D43" i="27" s="1"/>
  <c r="C30" i="100"/>
  <c r="B31" i="100" s="1"/>
  <c r="G43" i="27" s="1"/>
  <c r="B38" i="99"/>
  <c r="B36" i="99"/>
  <c r="B34" i="99"/>
  <c r="B33" i="99"/>
  <c r="F30" i="99"/>
  <c r="F42" i="27" s="1"/>
  <c r="E30" i="99"/>
  <c r="E42" i="27" s="1"/>
  <c r="D30" i="99"/>
  <c r="C30" i="99"/>
  <c r="B31" i="99" s="1"/>
  <c r="G42" i="27" s="1"/>
  <c r="B38" i="98"/>
  <c r="B36" i="98"/>
  <c r="A36" i="98"/>
  <c r="B34" i="98"/>
  <c r="B33" i="98"/>
  <c r="B38" i="97"/>
  <c r="B36" i="97"/>
  <c r="B34" i="97"/>
  <c r="B33" i="97"/>
  <c r="B38" i="96"/>
  <c r="A37" i="96"/>
  <c r="B36" i="96"/>
  <c r="B34" i="96"/>
  <c r="B33" i="96"/>
  <c r="B38" i="95"/>
  <c r="B36" i="95"/>
  <c r="B34" i="95"/>
  <c r="B33" i="95"/>
  <c r="B38" i="94"/>
  <c r="B36" i="94"/>
  <c r="B34" i="94"/>
  <c r="B33" i="94"/>
  <c r="B38" i="93"/>
  <c r="B36" i="93"/>
  <c r="B34" i="93"/>
  <c r="B33" i="93"/>
  <c r="B38" i="92"/>
  <c r="B36" i="92"/>
  <c r="B34" i="92"/>
  <c r="B33" i="92"/>
  <c r="B38" i="91"/>
  <c r="A38" i="91"/>
  <c r="B36" i="91"/>
  <c r="B34" i="91"/>
  <c r="B33" i="91"/>
  <c r="B38" i="90"/>
  <c r="B36" i="90"/>
  <c r="B34" i="90"/>
  <c r="B33" i="90"/>
  <c r="B38" i="89"/>
  <c r="B36" i="89"/>
  <c r="B34" i="89"/>
  <c r="B33" i="89"/>
  <c r="B38" i="88"/>
  <c r="B36" i="88"/>
  <c r="B34" i="88"/>
  <c r="B33" i="88"/>
  <c r="B38" i="87"/>
  <c r="A38" i="87"/>
  <c r="B36" i="87"/>
  <c r="B34" i="87"/>
  <c r="B33" i="87"/>
  <c r="B38" i="86"/>
  <c r="B36" i="86"/>
  <c r="B34" i="86"/>
  <c r="B33" i="86"/>
  <c r="B38" i="85"/>
  <c r="B36" i="85"/>
  <c r="B34" i="85"/>
  <c r="B33" i="85"/>
  <c r="B38" i="84"/>
  <c r="B36" i="84"/>
  <c r="B34" i="84"/>
  <c r="B33" i="84"/>
  <c r="B38" i="83"/>
  <c r="B36" i="83"/>
  <c r="B34" i="83"/>
  <c r="B33" i="83"/>
  <c r="B38" i="82"/>
  <c r="B36" i="82"/>
  <c r="B34" i="82"/>
  <c r="B33" i="82"/>
  <c r="B38" i="81"/>
  <c r="B36" i="81"/>
  <c r="B34" i="81"/>
  <c r="B33" i="81"/>
  <c r="B38" i="80"/>
  <c r="B36" i="80"/>
  <c r="B34" i="80"/>
  <c r="B33" i="80"/>
  <c r="B38" i="78"/>
  <c r="B36" i="78"/>
  <c r="B34" i="78"/>
  <c r="B33" i="78"/>
  <c r="B38" i="76"/>
  <c r="B36" i="76"/>
  <c r="B34" i="76"/>
  <c r="B33" i="76"/>
  <c r="B38" i="75"/>
  <c r="B36" i="75"/>
  <c r="B34" i="75"/>
  <c r="B33" i="75"/>
  <c r="B38" i="74"/>
  <c r="B36" i="74"/>
  <c r="B34" i="74"/>
  <c r="B33" i="74"/>
  <c r="B38" i="73"/>
  <c r="B36" i="73"/>
  <c r="B34" i="73"/>
  <c r="B33" i="73"/>
  <c r="B38" i="72"/>
  <c r="B36" i="72"/>
  <c r="A36" i="72"/>
  <c r="B34" i="72"/>
  <c r="B33" i="72"/>
  <c r="B38" i="71"/>
  <c r="B36" i="71"/>
  <c r="B34" i="71"/>
  <c r="B33" i="71"/>
  <c r="B38" i="70"/>
  <c r="B36" i="70"/>
  <c r="B34" i="70"/>
  <c r="B33" i="70"/>
  <c r="B38" i="69"/>
  <c r="B36" i="69"/>
  <c r="B34" i="69"/>
  <c r="B33" i="69"/>
  <c r="B38" i="68"/>
  <c r="B36" i="68"/>
  <c r="A36" i="68"/>
  <c r="B34" i="68"/>
  <c r="B33" i="68"/>
  <c r="B38" i="67"/>
  <c r="B36" i="67"/>
  <c r="B34" i="67"/>
  <c r="B33" i="67"/>
  <c r="B38" i="66"/>
  <c r="A37" i="66"/>
  <c r="B36" i="66"/>
  <c r="B34" i="66"/>
  <c r="B33" i="66"/>
  <c r="B38" i="65"/>
  <c r="B36" i="65"/>
  <c r="B34" i="65"/>
  <c r="B33" i="65"/>
  <c r="B38" i="64"/>
  <c r="B36" i="64"/>
  <c r="B34" i="64"/>
  <c r="B33" i="64"/>
  <c r="B38" i="63"/>
  <c r="B36" i="63"/>
  <c r="B34" i="63"/>
  <c r="B33" i="63"/>
  <c r="B38" i="62"/>
  <c r="B36" i="62"/>
  <c r="B34" i="62"/>
  <c r="B33" i="62"/>
  <c r="B38" i="61"/>
  <c r="A38" i="61"/>
  <c r="B36" i="61"/>
  <c r="B34" i="61"/>
  <c r="B33" i="61"/>
  <c r="B38" i="60"/>
  <c r="B36" i="60"/>
  <c r="B34" i="60"/>
  <c r="B33" i="60"/>
  <c r="B38" i="59"/>
  <c r="B36" i="59"/>
  <c r="B34" i="59"/>
  <c r="B33" i="59"/>
  <c r="B38" i="58"/>
  <c r="B36" i="58"/>
  <c r="B34" i="58"/>
  <c r="B33" i="58"/>
  <c r="B36" i="3"/>
  <c r="B38" i="3"/>
  <c r="B34" i="3"/>
  <c r="B33" i="3"/>
  <c r="A35" i="18"/>
  <c r="A35" i="83" s="1"/>
  <c r="A36" i="18"/>
  <c r="A36" i="112" s="1"/>
  <c r="A37" i="18"/>
  <c r="A37" i="113" s="1"/>
  <c r="A38" i="18"/>
  <c r="A38" i="111" s="1"/>
  <c r="A34" i="18"/>
  <c r="A34" i="81" s="1"/>
  <c r="A36" i="3" l="1"/>
  <c r="A37" i="58"/>
  <c r="A36" i="60"/>
  <c r="A37" i="62"/>
  <c r="A36" i="64"/>
  <c r="A38" i="83"/>
  <c r="A37" i="88"/>
  <c r="A37" i="92"/>
  <c r="A36" i="94"/>
  <c r="A38" i="103"/>
  <c r="A37" i="108"/>
  <c r="A36" i="110"/>
  <c r="A35" i="78"/>
  <c r="A35" i="61"/>
  <c r="A38" i="69"/>
  <c r="A34" i="71"/>
  <c r="A38" i="73"/>
  <c r="A38" i="78"/>
  <c r="A37" i="84"/>
  <c r="A36" i="86"/>
  <c r="A36" i="90"/>
  <c r="A38" i="99"/>
  <c r="A37" i="104"/>
  <c r="A36" i="106"/>
  <c r="A34" i="89"/>
  <c r="A38" i="65"/>
  <c r="A37" i="70"/>
  <c r="A37" i="74"/>
  <c r="A36" i="76"/>
  <c r="A37" i="80"/>
  <c r="A36" i="82"/>
  <c r="A38" i="95"/>
  <c r="A37" i="100"/>
  <c r="A36" i="102"/>
  <c r="A35" i="128"/>
  <c r="A35" i="127"/>
  <c r="A35" i="126"/>
  <c r="A35" i="129"/>
  <c r="A35" i="122"/>
  <c r="A35" i="118"/>
  <c r="A35" i="114"/>
  <c r="A35" i="124"/>
  <c r="A35" i="119"/>
  <c r="A35" i="121"/>
  <c r="A35" i="117"/>
  <c r="A35" i="125"/>
  <c r="A35" i="120"/>
  <c r="A35" i="116"/>
  <c r="A35" i="115"/>
  <c r="A35" i="110"/>
  <c r="A35" i="106"/>
  <c r="A35" i="102"/>
  <c r="A35" i="98"/>
  <c r="A35" i="94"/>
  <c r="A35" i="90"/>
  <c r="A35" i="86"/>
  <c r="A35" i="82"/>
  <c r="A35" i="76"/>
  <c r="A35" i="72"/>
  <c r="A35" i="68"/>
  <c r="A35" i="64"/>
  <c r="A35" i="60"/>
  <c r="A35" i="107"/>
  <c r="A35" i="103"/>
  <c r="A35" i="95"/>
  <c r="A35" i="113"/>
  <c r="A35" i="109"/>
  <c r="A35" i="105"/>
  <c r="A35" i="101"/>
  <c r="A35" i="97"/>
  <c r="A35" i="93"/>
  <c r="A35" i="89"/>
  <c r="A35" i="85"/>
  <c r="A35" i="81"/>
  <c r="A35" i="75"/>
  <c r="A35" i="71"/>
  <c r="A35" i="67"/>
  <c r="A35" i="63"/>
  <c r="A35" i="59"/>
  <c r="A35" i="111"/>
  <c r="A35" i="99"/>
  <c r="A35" i="112"/>
  <c r="A35" i="108"/>
  <c r="A35" i="104"/>
  <c r="A35" i="100"/>
  <c r="A35" i="96"/>
  <c r="A35" i="92"/>
  <c r="A35" i="88"/>
  <c r="A35" i="84"/>
  <c r="A35" i="80"/>
  <c r="A35" i="74"/>
  <c r="A35" i="70"/>
  <c r="A35" i="66"/>
  <c r="A35" i="62"/>
  <c r="A35" i="58"/>
  <c r="A35" i="3"/>
  <c r="A34" i="59"/>
  <c r="A35" i="65"/>
  <c r="A35" i="69"/>
  <c r="A35" i="87"/>
  <c r="A34" i="129"/>
  <c r="A34" i="128"/>
  <c r="A34" i="127"/>
  <c r="A34" i="126"/>
  <c r="A34" i="125"/>
  <c r="A34" i="120"/>
  <c r="A34" i="116"/>
  <c r="A34" i="117"/>
  <c r="A34" i="124"/>
  <c r="A34" i="119"/>
  <c r="A34" i="115"/>
  <c r="A34" i="122"/>
  <c r="A34" i="118"/>
  <c r="A34" i="114"/>
  <c r="A34" i="121"/>
  <c r="A34" i="112"/>
  <c r="A34" i="108"/>
  <c r="A34" i="104"/>
  <c r="A34" i="100"/>
  <c r="A34" i="96"/>
  <c r="A34" i="92"/>
  <c r="A34" i="88"/>
  <c r="A34" i="84"/>
  <c r="A34" i="80"/>
  <c r="A34" i="74"/>
  <c r="A34" i="70"/>
  <c r="A34" i="66"/>
  <c r="A34" i="62"/>
  <c r="A34" i="58"/>
  <c r="A34" i="3"/>
  <c r="A34" i="109"/>
  <c r="A34" i="101"/>
  <c r="A34" i="111"/>
  <c r="A34" i="107"/>
  <c r="A34" i="103"/>
  <c r="A34" i="99"/>
  <c r="A34" i="95"/>
  <c r="A34" i="91"/>
  <c r="A34" i="87"/>
  <c r="A34" i="83"/>
  <c r="A34" i="78"/>
  <c r="A34" i="73"/>
  <c r="A34" i="69"/>
  <c r="A34" i="65"/>
  <c r="A34" i="61"/>
  <c r="A34" i="110"/>
  <c r="A34" i="106"/>
  <c r="A34" i="102"/>
  <c r="A34" i="98"/>
  <c r="A34" i="94"/>
  <c r="A34" i="90"/>
  <c r="A34" i="86"/>
  <c r="A34" i="82"/>
  <c r="A34" i="76"/>
  <c r="A34" i="72"/>
  <c r="A34" i="68"/>
  <c r="A34" i="64"/>
  <c r="A34" i="60"/>
  <c r="A34" i="113"/>
  <c r="A34" i="105"/>
  <c r="A34" i="97"/>
  <c r="A34" i="93"/>
  <c r="A34" i="75"/>
  <c r="A34" i="63"/>
  <c r="A34" i="67"/>
  <c r="A35" i="73"/>
  <c r="A34" i="85"/>
  <c r="A35" i="91"/>
  <c r="A38" i="128"/>
  <c r="A38" i="127"/>
  <c r="A38" i="126"/>
  <c r="A38" i="129"/>
  <c r="A38" i="122"/>
  <c r="A38" i="118"/>
  <c r="A38" i="114"/>
  <c r="A38" i="124"/>
  <c r="A38" i="121"/>
  <c r="A38" i="117"/>
  <c r="A38" i="115"/>
  <c r="A38" i="125"/>
  <c r="A38" i="120"/>
  <c r="A38" i="116"/>
  <c r="A38" i="119"/>
  <c r="A38" i="3"/>
  <c r="A38" i="58"/>
  <c r="A37" i="59"/>
  <c r="A36" i="61"/>
  <c r="A38" i="62"/>
  <c r="A37" i="63"/>
  <c r="A36" i="65"/>
  <c r="A38" i="66"/>
  <c r="A37" i="67"/>
  <c r="A36" i="69"/>
  <c r="A38" i="70"/>
  <c r="A37" i="71"/>
  <c r="A36" i="73"/>
  <c r="A38" i="74"/>
  <c r="A37" i="75"/>
  <c r="A36" i="78"/>
  <c r="A38" i="80"/>
  <c r="A37" i="81"/>
  <c r="A36" i="83"/>
  <c r="A38" i="84"/>
  <c r="A37" i="85"/>
  <c r="A36" i="87"/>
  <c r="A38" i="88"/>
  <c r="A37" i="89"/>
  <c r="A36" i="91"/>
  <c r="A38" i="92"/>
  <c r="A37" i="93"/>
  <c r="A36" i="95"/>
  <c r="A38" i="96"/>
  <c r="A37" i="97"/>
  <c r="A36" i="99"/>
  <c r="A38" i="100"/>
  <c r="A37" i="101"/>
  <c r="A36" i="103"/>
  <c r="A38" i="104"/>
  <c r="A37" i="105"/>
  <c r="A36" i="107"/>
  <c r="A38" i="108"/>
  <c r="A37" i="109"/>
  <c r="A36" i="111"/>
  <c r="A38" i="112"/>
  <c r="A37" i="128"/>
  <c r="A37" i="127"/>
  <c r="A37" i="126"/>
  <c r="A37" i="129"/>
  <c r="A37" i="124"/>
  <c r="A37" i="119"/>
  <c r="A37" i="115"/>
  <c r="A37" i="125"/>
  <c r="A37" i="122"/>
  <c r="A37" i="118"/>
  <c r="A37" i="114"/>
  <c r="A37" i="120"/>
  <c r="A37" i="121"/>
  <c r="A37" i="117"/>
  <c r="A37" i="116"/>
  <c r="A37" i="3"/>
  <c r="A36" i="58"/>
  <c r="A38" i="59"/>
  <c r="A37" i="60"/>
  <c r="A36" i="62"/>
  <c r="A38" i="63"/>
  <c r="A37" i="64"/>
  <c r="A36" i="66"/>
  <c r="A38" i="67"/>
  <c r="A37" i="68"/>
  <c r="A36" i="70"/>
  <c r="A38" i="71"/>
  <c r="A37" i="72"/>
  <c r="A36" i="74"/>
  <c r="A38" i="75"/>
  <c r="A37" i="76"/>
  <c r="A36" i="80"/>
  <c r="A38" i="81"/>
  <c r="A37" i="82"/>
  <c r="A36" i="84"/>
  <c r="A38" i="85"/>
  <c r="A37" i="86"/>
  <c r="A36" i="88"/>
  <c r="A38" i="89"/>
  <c r="A37" i="90"/>
  <c r="A36" i="92"/>
  <c r="A38" i="93"/>
  <c r="A37" i="94"/>
  <c r="A36" i="96"/>
  <c r="A38" i="97"/>
  <c r="A37" i="98"/>
  <c r="A36" i="100"/>
  <c r="A38" i="101"/>
  <c r="A37" i="102"/>
  <c r="A36" i="104"/>
  <c r="A38" i="105"/>
  <c r="A37" i="106"/>
  <c r="A36" i="108"/>
  <c r="A38" i="109"/>
  <c r="A37" i="110"/>
  <c r="A38" i="113"/>
  <c r="A36" i="129"/>
  <c r="A36" i="127"/>
  <c r="A36" i="126"/>
  <c r="A36" i="128"/>
  <c r="A36" i="121"/>
  <c r="A36" i="117"/>
  <c r="A36" i="118"/>
  <c r="A36" i="114"/>
  <c r="A36" i="125"/>
  <c r="A36" i="120"/>
  <c r="A36" i="116"/>
  <c r="A36" i="122"/>
  <c r="A36" i="124"/>
  <c r="A36" i="119"/>
  <c r="A36" i="115"/>
  <c r="A36" i="59"/>
  <c r="A38" i="60"/>
  <c r="A37" i="61"/>
  <c r="A36" i="63"/>
  <c r="A38" i="64"/>
  <c r="A37" i="65"/>
  <c r="A36" i="67"/>
  <c r="A38" i="68"/>
  <c r="A37" i="69"/>
  <c r="A36" i="71"/>
  <c r="A38" i="72"/>
  <c r="A37" i="73"/>
  <c r="A36" i="75"/>
  <c r="A38" i="76"/>
  <c r="A37" i="78"/>
  <c r="A36" i="81"/>
  <c r="A38" i="82"/>
  <c r="A37" i="83"/>
  <c r="A36" i="85"/>
  <c r="A38" i="86"/>
  <c r="A37" i="87"/>
  <c r="A36" i="89"/>
  <c r="A38" i="90"/>
  <c r="A37" i="91"/>
  <c r="A36" i="93"/>
  <c r="A38" i="94"/>
  <c r="A37" i="95"/>
  <c r="A36" i="97"/>
  <c r="A38" i="98"/>
  <c r="A37" i="99"/>
  <c r="A36" i="101"/>
  <c r="A38" i="102"/>
  <c r="A37" i="103"/>
  <c r="A36" i="105"/>
  <c r="A38" i="106"/>
  <c r="A37" i="107"/>
  <c r="A36" i="109"/>
  <c r="A38" i="110"/>
  <c r="A37" i="111"/>
  <c r="A36" i="113"/>
  <c r="C53" i="27"/>
  <c r="C52" i="27"/>
  <c r="C51" i="27"/>
  <c r="C50" i="27"/>
  <c r="C49" i="27"/>
  <c r="C48" i="27"/>
  <c r="C47" i="27"/>
  <c r="C46" i="27"/>
  <c r="C45" i="27"/>
  <c r="C44" i="27"/>
  <c r="C43" i="27"/>
  <c r="C42" i="27"/>
  <c r="F30" i="98"/>
  <c r="F30" i="97"/>
  <c r="F30" i="96"/>
  <c r="F30" i="95"/>
  <c r="F30" i="94"/>
  <c r="F30" i="93"/>
  <c r="F30" i="92"/>
  <c r="F30" i="91"/>
  <c r="F30" i="90"/>
  <c r="F30" i="89"/>
  <c r="F30" i="88"/>
  <c r="F30" i="87"/>
  <c r="F30" i="86"/>
  <c r="F30" i="85"/>
  <c r="F30" i="84"/>
  <c r="F30" i="83"/>
  <c r="F30" i="82"/>
  <c r="F30" i="81"/>
  <c r="F30" i="80"/>
  <c r="F30" i="78"/>
  <c r="F30" i="76"/>
  <c r="F30" i="75"/>
  <c r="F30" i="74"/>
  <c r="F30" i="73"/>
  <c r="F30" i="71"/>
  <c r="F30" i="70"/>
  <c r="F30" i="69"/>
  <c r="F30" i="68"/>
  <c r="F30" i="67"/>
  <c r="F30" i="66"/>
  <c r="F30" i="65"/>
  <c r="F30" i="64"/>
  <c r="F30" i="63"/>
  <c r="F30" i="62"/>
  <c r="F30" i="61"/>
  <c r="F30" i="60"/>
  <c r="F30" i="59"/>
  <c r="F30" i="58"/>
  <c r="F30" i="3"/>
  <c r="F30" i="16"/>
  <c r="F30" i="19"/>
  <c r="F30" i="17"/>
  <c r="F30" i="18"/>
  <c r="F30" i="14"/>
  <c r="F3" i="27" l="1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2" i="27"/>
  <c r="B1" i="98" l="1"/>
  <c r="E30" i="98"/>
  <c r="E41" i="27" s="1"/>
  <c r="D30" i="98"/>
  <c r="D41" i="27" s="1"/>
  <c r="C30" i="98"/>
  <c r="B31" i="98" l="1"/>
  <c r="G41" i="27" s="1"/>
  <c r="C41" i="27"/>
  <c r="B1" i="97"/>
  <c r="B1" i="96"/>
  <c r="B1" i="95"/>
  <c r="B1" i="94"/>
  <c r="B1" i="93"/>
  <c r="B1" i="92"/>
  <c r="B1" i="91"/>
  <c r="B1" i="90"/>
  <c r="B1" i="89"/>
  <c r="E30" i="97"/>
  <c r="E40" i="27" s="1"/>
  <c r="D30" i="97"/>
  <c r="D40" i="27" s="1"/>
  <c r="C30" i="97"/>
  <c r="E30" i="96"/>
  <c r="E39" i="27" s="1"/>
  <c r="D30" i="96"/>
  <c r="D39" i="27" s="1"/>
  <c r="C30" i="96"/>
  <c r="E30" i="95"/>
  <c r="E38" i="27" s="1"/>
  <c r="D30" i="95"/>
  <c r="D38" i="27" s="1"/>
  <c r="C30" i="95"/>
  <c r="E30" i="94"/>
  <c r="E37" i="27" s="1"/>
  <c r="D30" i="94"/>
  <c r="D37" i="27" s="1"/>
  <c r="C30" i="94"/>
  <c r="C37" i="27" s="1"/>
  <c r="E30" i="93"/>
  <c r="E36" i="27" s="1"/>
  <c r="D30" i="93"/>
  <c r="D36" i="27" s="1"/>
  <c r="C30" i="93"/>
  <c r="C36" i="27" s="1"/>
  <c r="E30" i="92"/>
  <c r="E35" i="27" s="1"/>
  <c r="D30" i="92"/>
  <c r="D35" i="27" s="1"/>
  <c r="C30" i="92"/>
  <c r="C35" i="27" s="1"/>
  <c r="E30" i="91"/>
  <c r="E34" i="27" s="1"/>
  <c r="D30" i="91"/>
  <c r="D34" i="27" s="1"/>
  <c r="C30" i="91"/>
  <c r="E30" i="90"/>
  <c r="E33" i="27" s="1"/>
  <c r="D30" i="90"/>
  <c r="D33" i="27" s="1"/>
  <c r="C30" i="90"/>
  <c r="E30" i="89"/>
  <c r="E32" i="27" s="1"/>
  <c r="D30" i="89"/>
  <c r="D32" i="27" s="1"/>
  <c r="C30" i="89"/>
  <c r="B31" i="96" l="1"/>
  <c r="G39" i="27" s="1"/>
  <c r="C39" i="27"/>
  <c r="B31" i="95"/>
  <c r="G38" i="27" s="1"/>
  <c r="C38" i="27"/>
  <c r="B31" i="94"/>
  <c r="G37" i="27" s="1"/>
  <c r="B31" i="93"/>
  <c r="G36" i="27" s="1"/>
  <c r="B31" i="92"/>
  <c r="G35" i="27" s="1"/>
  <c r="B31" i="91"/>
  <c r="G34" i="27" s="1"/>
  <c r="C34" i="27"/>
  <c r="B31" i="90"/>
  <c r="G33" i="27" s="1"/>
  <c r="C33" i="27"/>
  <c r="B31" i="89"/>
  <c r="G32" i="27" s="1"/>
  <c r="C32" i="27"/>
  <c r="B31" i="97"/>
  <c r="G40" i="27" s="1"/>
  <c r="C40" i="27"/>
  <c r="B1" i="88" l="1"/>
  <c r="B1" i="87"/>
  <c r="B1" i="86"/>
  <c r="B1" i="85"/>
  <c r="B1" i="84"/>
  <c r="B1" i="83"/>
  <c r="B1" i="82"/>
  <c r="B1" i="81"/>
  <c r="B1" i="80"/>
  <c r="B1" i="78"/>
  <c r="B1" i="76"/>
  <c r="B1" i="75"/>
  <c r="B1" i="74"/>
  <c r="B1" i="73"/>
  <c r="B1" i="72"/>
  <c r="B1" i="71"/>
  <c r="B1" i="70"/>
  <c r="B1" i="69"/>
  <c r="B1" i="68"/>
  <c r="B1" i="67"/>
  <c r="B1" i="66"/>
  <c r="B1" i="65"/>
  <c r="B1" i="64"/>
  <c r="B1" i="63"/>
  <c r="B1" i="62"/>
  <c r="B1" i="61"/>
  <c r="B1" i="60"/>
  <c r="E30" i="88"/>
  <c r="E31" i="27" s="1"/>
  <c r="D30" i="88"/>
  <c r="D31" i="27" s="1"/>
  <c r="C30" i="88"/>
  <c r="E30" i="87"/>
  <c r="E30" i="27" s="1"/>
  <c r="D30" i="87"/>
  <c r="D30" i="27" s="1"/>
  <c r="C30" i="87"/>
  <c r="E30" i="86"/>
  <c r="E29" i="27" s="1"/>
  <c r="D30" i="86"/>
  <c r="D29" i="27" s="1"/>
  <c r="C30" i="86"/>
  <c r="E30" i="85"/>
  <c r="E28" i="27" s="1"/>
  <c r="D30" i="85"/>
  <c r="D28" i="27" s="1"/>
  <c r="C30" i="85"/>
  <c r="E30" i="84"/>
  <c r="E27" i="27" s="1"/>
  <c r="D30" i="84"/>
  <c r="D27" i="27" s="1"/>
  <c r="C30" i="84"/>
  <c r="E30" i="83"/>
  <c r="E26" i="27" s="1"/>
  <c r="D30" i="83"/>
  <c r="D26" i="27" s="1"/>
  <c r="C30" i="83"/>
  <c r="E30" i="82"/>
  <c r="E25" i="27" s="1"/>
  <c r="D30" i="82"/>
  <c r="D25" i="27" s="1"/>
  <c r="C30" i="82"/>
  <c r="E30" i="81"/>
  <c r="E24" i="27" s="1"/>
  <c r="D30" i="81"/>
  <c r="D24" i="27" s="1"/>
  <c r="C30" i="81"/>
  <c r="E30" i="80"/>
  <c r="E23" i="27" s="1"/>
  <c r="D30" i="80"/>
  <c r="D23" i="27" s="1"/>
  <c r="C30" i="80"/>
  <c r="E30" i="78"/>
  <c r="E22" i="27" s="1"/>
  <c r="D30" i="78"/>
  <c r="D22" i="27" s="1"/>
  <c r="C30" i="78"/>
  <c r="E30" i="76"/>
  <c r="E21" i="27" s="1"/>
  <c r="D30" i="76"/>
  <c r="D21" i="27" s="1"/>
  <c r="C30" i="76"/>
  <c r="E30" i="75"/>
  <c r="E20" i="27" s="1"/>
  <c r="D30" i="75"/>
  <c r="D20" i="27" s="1"/>
  <c r="C30" i="75"/>
  <c r="E30" i="74"/>
  <c r="E19" i="27" s="1"/>
  <c r="D30" i="74"/>
  <c r="D19" i="27" s="1"/>
  <c r="C30" i="74"/>
  <c r="E30" i="73"/>
  <c r="E18" i="27" s="1"/>
  <c r="D30" i="73"/>
  <c r="D18" i="27" s="1"/>
  <c r="C30" i="73"/>
  <c r="E30" i="72"/>
  <c r="E17" i="27" s="1"/>
  <c r="D30" i="72"/>
  <c r="D17" i="27" s="1"/>
  <c r="C30" i="72"/>
  <c r="E30" i="71"/>
  <c r="E16" i="27" s="1"/>
  <c r="D30" i="71"/>
  <c r="D16" i="27" s="1"/>
  <c r="C30" i="71"/>
  <c r="E30" i="70"/>
  <c r="E15" i="27" s="1"/>
  <c r="D30" i="70"/>
  <c r="D15" i="27" s="1"/>
  <c r="C30" i="70"/>
  <c r="E30" i="69"/>
  <c r="E14" i="27" s="1"/>
  <c r="D30" i="69"/>
  <c r="D14" i="27" s="1"/>
  <c r="C30" i="69"/>
  <c r="E30" i="68"/>
  <c r="E13" i="27" s="1"/>
  <c r="D30" i="68"/>
  <c r="D13" i="27" s="1"/>
  <c r="C30" i="68"/>
  <c r="E30" i="67"/>
  <c r="E12" i="27" s="1"/>
  <c r="D30" i="67"/>
  <c r="D12" i="27" s="1"/>
  <c r="C30" i="67"/>
  <c r="E30" i="66"/>
  <c r="E11" i="27" s="1"/>
  <c r="D30" i="66"/>
  <c r="D11" i="27" s="1"/>
  <c r="C30" i="66"/>
  <c r="E30" i="65"/>
  <c r="E10" i="27" s="1"/>
  <c r="D30" i="65"/>
  <c r="D10" i="27" s="1"/>
  <c r="C30" i="65"/>
  <c r="E30" i="64"/>
  <c r="E9" i="27" s="1"/>
  <c r="D30" i="64"/>
  <c r="D9" i="27" s="1"/>
  <c r="C30" i="64"/>
  <c r="E30" i="63"/>
  <c r="E8" i="27" s="1"/>
  <c r="D30" i="63"/>
  <c r="D8" i="27" s="1"/>
  <c r="C30" i="63"/>
  <c r="E30" i="62"/>
  <c r="E7" i="27" s="1"/>
  <c r="D30" i="62"/>
  <c r="D7" i="27" s="1"/>
  <c r="C30" i="62"/>
  <c r="E30" i="61"/>
  <c r="E6" i="27" s="1"/>
  <c r="D30" i="61"/>
  <c r="D6" i="27" s="1"/>
  <c r="C30" i="61"/>
  <c r="E30" i="60"/>
  <c r="E5" i="27" s="1"/>
  <c r="D30" i="60"/>
  <c r="D5" i="27" s="1"/>
  <c r="C30" i="60"/>
  <c r="B1" i="59"/>
  <c r="E30" i="59"/>
  <c r="E4" i="27" s="1"/>
  <c r="D30" i="59"/>
  <c r="D4" i="27" s="1"/>
  <c r="C30" i="59"/>
  <c r="B1" i="58"/>
  <c r="B1" i="3"/>
  <c r="E30" i="58"/>
  <c r="E3" i="27" s="1"/>
  <c r="D30" i="58"/>
  <c r="D3" i="27" s="1"/>
  <c r="C30" i="58"/>
  <c r="A3" i="1"/>
  <c r="C31" i="27" l="1"/>
  <c r="B31" i="88"/>
  <c r="G31" i="27" s="1"/>
  <c r="B31" i="87"/>
  <c r="G30" i="27" s="1"/>
  <c r="C30" i="27"/>
  <c r="C29" i="27"/>
  <c r="B31" i="86"/>
  <c r="G29" i="27" s="1"/>
  <c r="C28" i="27"/>
  <c r="B31" i="85"/>
  <c r="G28" i="27" s="1"/>
  <c r="C27" i="27"/>
  <c r="B31" i="84"/>
  <c r="G27" i="27" s="1"/>
  <c r="C26" i="27"/>
  <c r="B31" i="83"/>
  <c r="G26" i="27" s="1"/>
  <c r="B31" i="82"/>
  <c r="G25" i="27" s="1"/>
  <c r="C25" i="27"/>
  <c r="C24" i="27"/>
  <c r="B31" i="81"/>
  <c r="G24" i="27" s="1"/>
  <c r="C23" i="27"/>
  <c r="B31" i="80"/>
  <c r="G23" i="27" s="1"/>
  <c r="C22" i="27"/>
  <c r="B31" i="78"/>
  <c r="G22" i="27" s="1"/>
  <c r="C21" i="27"/>
  <c r="B31" i="76"/>
  <c r="G21" i="27" s="1"/>
  <c r="C20" i="27"/>
  <c r="B31" i="75"/>
  <c r="G20" i="27" s="1"/>
  <c r="C19" i="27"/>
  <c r="B31" i="74"/>
  <c r="G19" i="27" s="1"/>
  <c r="C18" i="27"/>
  <c r="B31" i="73"/>
  <c r="G18" i="27" s="1"/>
  <c r="C17" i="27"/>
  <c r="B31" i="72"/>
  <c r="G17" i="27" s="1"/>
  <c r="C16" i="27"/>
  <c r="B31" i="71"/>
  <c r="G16" i="27" s="1"/>
  <c r="C15" i="27"/>
  <c r="B31" i="70"/>
  <c r="G15" i="27" s="1"/>
  <c r="C14" i="27"/>
  <c r="B31" i="69"/>
  <c r="G14" i="27" s="1"/>
  <c r="C13" i="27"/>
  <c r="B31" i="68"/>
  <c r="G13" i="27" s="1"/>
  <c r="C12" i="27"/>
  <c r="B31" i="67"/>
  <c r="G12" i="27" s="1"/>
  <c r="H12" i="27" s="1"/>
  <c r="C11" i="27"/>
  <c r="B31" i="66"/>
  <c r="G11" i="27" s="1"/>
  <c r="C9" i="27"/>
  <c r="B31" i="64"/>
  <c r="G9" i="27" s="1"/>
  <c r="C8" i="27"/>
  <c r="B31" i="63"/>
  <c r="G8" i="27" s="1"/>
  <c r="C7" i="27"/>
  <c r="B31" i="62"/>
  <c r="G7" i="27" s="1"/>
  <c r="H7" i="27" s="1"/>
  <c r="C6" i="27"/>
  <c r="B31" i="61"/>
  <c r="G6" i="27" s="1"/>
  <c r="C3" i="27"/>
  <c r="B31" i="58"/>
  <c r="G3" i="27" s="1"/>
  <c r="C10" i="27"/>
  <c r="B31" i="65"/>
  <c r="G10" i="27" s="1"/>
  <c r="C5" i="27"/>
  <c r="B31" i="60"/>
  <c r="G5" i="27" s="1"/>
  <c r="C4" i="27"/>
  <c r="B31" i="59"/>
  <c r="G4" i="27" s="1"/>
  <c r="B3" i="129" l="1"/>
  <c r="A3" i="129" s="1"/>
  <c r="B3" i="128"/>
  <c r="A3" i="128" s="1"/>
  <c r="B3" i="127"/>
  <c r="A3" i="127" s="1"/>
  <c r="B3" i="126"/>
  <c r="A3" i="126" s="1"/>
  <c r="B3" i="125"/>
  <c r="A3" i="125" s="1"/>
  <c r="B3" i="124"/>
  <c r="A3" i="124" s="1"/>
  <c r="B3" i="122"/>
  <c r="A3" i="122" s="1"/>
  <c r="B3" i="121"/>
  <c r="A3" i="121" s="1"/>
  <c r="B3" i="120"/>
  <c r="A3" i="120" s="1"/>
  <c r="B3" i="119"/>
  <c r="A3" i="119" s="1"/>
  <c r="B3" i="118"/>
  <c r="A3" i="118" s="1"/>
  <c r="B3" i="117"/>
  <c r="A3" i="117" s="1"/>
  <c r="B3" i="116"/>
  <c r="A3" i="116" s="1"/>
  <c r="B3" i="115"/>
  <c r="A3" i="115" s="1"/>
  <c r="B3" i="114"/>
  <c r="A3" i="114" s="1"/>
  <c r="B3" i="113"/>
  <c r="A3" i="113" s="1"/>
  <c r="B3" i="112"/>
  <c r="A3" i="112" s="1"/>
  <c r="B3" i="111"/>
  <c r="A3" i="111" s="1"/>
  <c r="B3" i="110"/>
  <c r="A3" i="110" s="1"/>
  <c r="B3" i="109"/>
  <c r="A3" i="109" s="1"/>
  <c r="B3" i="108"/>
  <c r="A3" i="108" s="1"/>
  <c r="B3" i="107"/>
  <c r="A3" i="107" s="1"/>
  <c r="B3" i="106"/>
  <c r="A3" i="106" s="1"/>
  <c r="B3" i="105"/>
  <c r="A3" i="105" s="1"/>
  <c r="B3" i="104"/>
  <c r="A3" i="104" s="1"/>
  <c r="B3" i="103"/>
  <c r="A3" i="103" s="1"/>
  <c r="B3" i="102"/>
  <c r="A3" i="102" s="1"/>
  <c r="B3" i="101"/>
  <c r="A3" i="101" s="1"/>
  <c r="B3" i="100"/>
  <c r="A3" i="100" s="1"/>
  <c r="B3" i="99"/>
  <c r="A3" i="99" s="1"/>
  <c r="E30" i="19"/>
  <c r="D30" i="19"/>
  <c r="C30" i="19"/>
  <c r="E30" i="18"/>
  <c r="D30" i="18"/>
  <c r="C30" i="18"/>
  <c r="E30" i="17"/>
  <c r="D30" i="17"/>
  <c r="C30" i="17"/>
  <c r="E30" i="16"/>
  <c r="D30" i="16"/>
  <c r="C30" i="16"/>
  <c r="E30" i="14"/>
  <c r="D30" i="14"/>
  <c r="C30" i="14"/>
  <c r="D2" i="27"/>
  <c r="E30" i="3"/>
  <c r="E2" i="27" s="1"/>
  <c r="A19" i="1"/>
  <c r="A26" i="1"/>
  <c r="A11" i="1"/>
  <c r="A5" i="1"/>
  <c r="A17" i="1"/>
  <c r="A13" i="1"/>
  <c r="A23" i="1"/>
  <c r="A6" i="1"/>
  <c r="A9" i="1"/>
  <c r="A14" i="1"/>
  <c r="A20" i="1"/>
  <c r="A8" i="1"/>
  <c r="A29" i="1"/>
  <c r="A25" i="1"/>
  <c r="A22" i="1"/>
  <c r="A7" i="1"/>
  <c r="A24" i="1"/>
  <c r="A28" i="1"/>
  <c r="A12" i="1"/>
  <c r="A18" i="1"/>
  <c r="A15" i="1"/>
  <c r="A4" i="1"/>
  <c r="A16" i="1"/>
  <c r="A10" i="1"/>
  <c r="A27" i="1"/>
  <c r="A21" i="1"/>
  <c r="B9" i="128" l="1"/>
  <c r="B9" i="127"/>
  <c r="B9" i="126"/>
  <c r="B9" i="129"/>
  <c r="B11" i="129"/>
  <c r="B11" i="128"/>
  <c r="B11" i="127"/>
  <c r="B11" i="126"/>
  <c r="B26" i="128"/>
  <c r="B26" i="129"/>
  <c r="B26" i="127"/>
  <c r="B26" i="126"/>
  <c r="B27" i="129"/>
  <c r="B27" i="128"/>
  <c r="B27" i="127"/>
  <c r="B27" i="126"/>
  <c r="B16" i="129"/>
  <c r="B16" i="128"/>
  <c r="B16" i="127"/>
  <c r="B16" i="126"/>
  <c r="B12" i="128"/>
  <c r="B12" i="127"/>
  <c r="B12" i="126"/>
  <c r="B12" i="129"/>
  <c r="B29" i="128"/>
  <c r="B29" i="127"/>
  <c r="B29" i="126"/>
  <c r="B29" i="129"/>
  <c r="B17" i="128"/>
  <c r="B17" i="127"/>
  <c r="B17" i="126"/>
  <c r="B17" i="129"/>
  <c r="B21" i="128"/>
  <c r="B21" i="127"/>
  <c r="B21" i="126"/>
  <c r="B21" i="129"/>
  <c r="B4" i="128"/>
  <c r="A4" i="128" s="1"/>
  <c r="B4" i="127"/>
  <c r="A4" i="127" s="1"/>
  <c r="B4" i="126"/>
  <c r="A4" i="126" s="1"/>
  <c r="B4" i="129"/>
  <c r="A4" i="129" s="1"/>
  <c r="B18" i="128"/>
  <c r="B18" i="127"/>
  <c r="B18" i="126"/>
  <c r="B18" i="129"/>
  <c r="B28" i="128"/>
  <c r="B28" i="127"/>
  <c r="B28" i="126"/>
  <c r="B28" i="129"/>
  <c r="B7" i="129"/>
  <c r="B7" i="128"/>
  <c r="B7" i="127"/>
  <c r="B7" i="126"/>
  <c r="B25" i="128"/>
  <c r="B25" i="127"/>
  <c r="B25" i="126"/>
  <c r="B25" i="129"/>
  <c r="B8" i="126"/>
  <c r="B8" i="128"/>
  <c r="B8" i="127"/>
  <c r="B8" i="129"/>
  <c r="B14" i="129"/>
  <c r="B14" i="128"/>
  <c r="B14" i="127"/>
  <c r="B14" i="126"/>
  <c r="B6" i="128"/>
  <c r="B6" i="129"/>
  <c r="B6" i="127"/>
  <c r="A6" i="127" s="1"/>
  <c r="B6" i="126"/>
  <c r="A6" i="126" s="1"/>
  <c r="B13" i="128"/>
  <c r="B13" i="127"/>
  <c r="B13" i="126"/>
  <c r="B13" i="129"/>
  <c r="B5" i="128"/>
  <c r="A5" i="128" s="1"/>
  <c r="B5" i="127"/>
  <c r="A5" i="127" s="1"/>
  <c r="B5" i="126"/>
  <c r="A5" i="126" s="1"/>
  <c r="B5" i="129"/>
  <c r="A5" i="129" s="1"/>
  <c r="B15" i="129"/>
  <c r="B15" i="128"/>
  <c r="B15" i="127"/>
  <c r="B15" i="126"/>
  <c r="B22" i="127"/>
  <c r="B22" i="126"/>
  <c r="B22" i="129"/>
  <c r="B22" i="128"/>
  <c r="A22" i="128" s="1"/>
  <c r="B20" i="128"/>
  <c r="B20" i="127"/>
  <c r="B20" i="126"/>
  <c r="B20" i="129"/>
  <c r="A20" i="129" s="1"/>
  <c r="B23" i="129"/>
  <c r="B23" i="128"/>
  <c r="B23" i="127"/>
  <c r="B23" i="126"/>
  <c r="B10" i="129"/>
  <c r="B10" i="128"/>
  <c r="B10" i="127"/>
  <c r="A10" i="127" s="1"/>
  <c r="B10" i="126"/>
  <c r="A10" i="126" s="1"/>
  <c r="B19" i="129"/>
  <c r="B19" i="128"/>
  <c r="A19" i="128" s="1"/>
  <c r="B19" i="127"/>
  <c r="A19" i="127" s="1"/>
  <c r="B19" i="126"/>
  <c r="A19" i="126" s="1"/>
  <c r="B24" i="128"/>
  <c r="B24" i="127"/>
  <c r="B24" i="126"/>
  <c r="B24" i="129"/>
  <c r="A24" i="129" s="1"/>
  <c r="B10" i="125"/>
  <c r="B10" i="124"/>
  <c r="B10" i="122"/>
  <c r="B10" i="121"/>
  <c r="B10" i="120"/>
  <c r="B10" i="119"/>
  <c r="B10" i="118"/>
  <c r="B10" i="117"/>
  <c r="B10" i="116"/>
  <c r="B10" i="115"/>
  <c r="B10" i="114"/>
  <c r="B10" i="113"/>
  <c r="B10" i="112"/>
  <c r="B10" i="111"/>
  <c r="B10" i="110"/>
  <c r="B10" i="109"/>
  <c r="B10" i="108"/>
  <c r="B10" i="107"/>
  <c r="B10" i="106"/>
  <c r="B10" i="105"/>
  <c r="B10" i="104"/>
  <c r="B10" i="103"/>
  <c r="B10" i="102"/>
  <c r="B10" i="101"/>
  <c r="B10" i="100"/>
  <c r="B10" i="99"/>
  <c r="B26" i="125"/>
  <c r="B26" i="124"/>
  <c r="B26" i="122"/>
  <c r="B26" i="121"/>
  <c r="B26" i="120"/>
  <c r="B26" i="119"/>
  <c r="B26" i="118"/>
  <c r="B26" i="117"/>
  <c r="B26" i="116"/>
  <c r="B26" i="115"/>
  <c r="B26" i="114"/>
  <c r="B26" i="113"/>
  <c r="B26" i="112"/>
  <c r="B26" i="111"/>
  <c r="B26" i="110"/>
  <c r="B26" i="109"/>
  <c r="B26" i="108"/>
  <c r="B26" i="107"/>
  <c r="B26" i="106"/>
  <c r="B26" i="105"/>
  <c r="B26" i="104"/>
  <c r="B26" i="103"/>
  <c r="B26" i="102"/>
  <c r="B26" i="101"/>
  <c r="B26" i="100"/>
  <c r="B26" i="99"/>
  <c r="B19" i="125"/>
  <c r="B19" i="124"/>
  <c r="B19" i="122"/>
  <c r="B19" i="121"/>
  <c r="B19" i="120"/>
  <c r="B19" i="119"/>
  <c r="B19" i="118"/>
  <c r="B19" i="117"/>
  <c r="B19" i="116"/>
  <c r="B19" i="114"/>
  <c r="B19" i="115"/>
  <c r="B19" i="113"/>
  <c r="B19" i="112"/>
  <c r="B19" i="111"/>
  <c r="B19" i="110"/>
  <c r="B19" i="109"/>
  <c r="B19" i="108"/>
  <c r="B19" i="107"/>
  <c r="B19" i="106"/>
  <c r="B19" i="105"/>
  <c r="B19" i="104"/>
  <c r="B19" i="103"/>
  <c r="B19" i="102"/>
  <c r="B19" i="101"/>
  <c r="B19" i="100"/>
  <c r="B19" i="99"/>
  <c r="B21" i="125"/>
  <c r="B21" i="124"/>
  <c r="B21" i="122"/>
  <c r="B21" i="121"/>
  <c r="B21" i="120"/>
  <c r="B21" i="119"/>
  <c r="B21" i="118"/>
  <c r="B21" i="117"/>
  <c r="B21" i="116"/>
  <c r="B21" i="115"/>
  <c r="B21" i="114"/>
  <c r="B21" i="113"/>
  <c r="B21" i="112"/>
  <c r="B21" i="111"/>
  <c r="B21" i="110"/>
  <c r="B21" i="109"/>
  <c r="B21" i="108"/>
  <c r="B21" i="107"/>
  <c r="B21" i="106"/>
  <c r="B21" i="105"/>
  <c r="B21" i="104"/>
  <c r="B21" i="103"/>
  <c r="B21" i="102"/>
  <c r="B21" i="101"/>
  <c r="B21" i="100"/>
  <c r="B21" i="99"/>
  <c r="B27" i="125"/>
  <c r="B27" i="124"/>
  <c r="B27" i="122"/>
  <c r="B27" i="121"/>
  <c r="B27" i="120"/>
  <c r="B27" i="119"/>
  <c r="B27" i="118"/>
  <c r="B27" i="117"/>
  <c r="B27" i="116"/>
  <c r="B27" i="115"/>
  <c r="B27" i="114"/>
  <c r="B27" i="113"/>
  <c r="B27" i="112"/>
  <c r="B27" i="111"/>
  <c r="B27" i="110"/>
  <c r="B27" i="109"/>
  <c r="B27" i="108"/>
  <c r="B27" i="106"/>
  <c r="B27" i="105"/>
  <c r="B27" i="104"/>
  <c r="B27" i="103"/>
  <c r="B27" i="102"/>
  <c r="B27" i="101"/>
  <c r="B27" i="100"/>
  <c r="B27" i="99"/>
  <c r="B27" i="107"/>
  <c r="B16" i="125"/>
  <c r="B16" i="124"/>
  <c r="B16" i="122"/>
  <c r="B16" i="121"/>
  <c r="B16" i="120"/>
  <c r="B16" i="119"/>
  <c r="B16" i="118"/>
  <c r="B16" i="117"/>
  <c r="B16" i="116"/>
  <c r="B16" i="115"/>
  <c r="B16" i="114"/>
  <c r="B16" i="113"/>
  <c r="B16" i="112"/>
  <c r="B16" i="111"/>
  <c r="B16" i="110"/>
  <c r="B16" i="109"/>
  <c r="B16" i="108"/>
  <c r="B16" i="107"/>
  <c r="B16" i="106"/>
  <c r="B16" i="105"/>
  <c r="B16" i="104"/>
  <c r="B16" i="103"/>
  <c r="B16" i="102"/>
  <c r="B16" i="101"/>
  <c r="B16" i="100"/>
  <c r="B16" i="99"/>
  <c r="B4" i="125"/>
  <c r="A4" i="125" s="1"/>
  <c r="B4" i="124"/>
  <c r="A4" i="124" s="1"/>
  <c r="B4" i="122"/>
  <c r="A4" i="122" s="1"/>
  <c r="B4" i="121"/>
  <c r="A4" i="121" s="1"/>
  <c r="B4" i="120"/>
  <c r="A4" i="120" s="1"/>
  <c r="B4" i="119"/>
  <c r="A4" i="119" s="1"/>
  <c r="B4" i="118"/>
  <c r="A4" i="118" s="1"/>
  <c r="B4" i="117"/>
  <c r="A4" i="117" s="1"/>
  <c r="B4" i="116"/>
  <c r="A4" i="116" s="1"/>
  <c r="B4" i="115"/>
  <c r="A4" i="115" s="1"/>
  <c r="B4" i="114"/>
  <c r="A4" i="114" s="1"/>
  <c r="B4" i="113"/>
  <c r="A4" i="113" s="1"/>
  <c r="B4" i="112"/>
  <c r="A4" i="112" s="1"/>
  <c r="B4" i="111"/>
  <c r="A4" i="111" s="1"/>
  <c r="B4" i="110"/>
  <c r="A4" i="110" s="1"/>
  <c r="B4" i="109"/>
  <c r="A4" i="109" s="1"/>
  <c r="B4" i="108"/>
  <c r="A4" i="108" s="1"/>
  <c r="B4" i="107"/>
  <c r="A4" i="107" s="1"/>
  <c r="B4" i="106"/>
  <c r="A4" i="106" s="1"/>
  <c r="B4" i="105"/>
  <c r="A4" i="105" s="1"/>
  <c r="B4" i="104"/>
  <c r="A4" i="104" s="1"/>
  <c r="B4" i="103"/>
  <c r="A4" i="103" s="1"/>
  <c r="B4" i="102"/>
  <c r="A4" i="102" s="1"/>
  <c r="B4" i="101"/>
  <c r="A4" i="101" s="1"/>
  <c r="B4" i="100"/>
  <c r="A4" i="100" s="1"/>
  <c r="B4" i="99"/>
  <c r="A4" i="99" s="1"/>
  <c r="B15" i="125"/>
  <c r="B15" i="124"/>
  <c r="B15" i="122"/>
  <c r="B15" i="121"/>
  <c r="B15" i="120"/>
  <c r="B15" i="119"/>
  <c r="B15" i="118"/>
  <c r="B15" i="117"/>
  <c r="B15" i="116"/>
  <c r="B15" i="115"/>
  <c r="B15" i="114"/>
  <c r="B15" i="113"/>
  <c r="B15" i="112"/>
  <c r="B15" i="111"/>
  <c r="B15" i="110"/>
  <c r="B15" i="109"/>
  <c r="B15" i="108"/>
  <c r="B15" i="107"/>
  <c r="B15" i="106"/>
  <c r="B15" i="105"/>
  <c r="B15" i="104"/>
  <c r="B15" i="103"/>
  <c r="B15" i="102"/>
  <c r="B15" i="101"/>
  <c r="B15" i="100"/>
  <c r="B15" i="99"/>
  <c r="B18" i="125"/>
  <c r="B18" i="124"/>
  <c r="B18" i="122"/>
  <c r="B18" i="121"/>
  <c r="B18" i="120"/>
  <c r="B18" i="119"/>
  <c r="B18" i="118"/>
  <c r="B18" i="117"/>
  <c r="B18" i="116"/>
  <c r="B18" i="115"/>
  <c r="B18" i="114"/>
  <c r="B18" i="113"/>
  <c r="B18" i="112"/>
  <c r="B18" i="111"/>
  <c r="B18" i="110"/>
  <c r="B18" i="109"/>
  <c r="B18" i="108"/>
  <c r="B18" i="107"/>
  <c r="B18" i="106"/>
  <c r="B18" i="105"/>
  <c r="B18" i="104"/>
  <c r="B18" i="103"/>
  <c r="B18" i="102"/>
  <c r="B18" i="101"/>
  <c r="B18" i="100"/>
  <c r="B18" i="99"/>
  <c r="B12" i="125"/>
  <c r="B12" i="124"/>
  <c r="B12" i="122"/>
  <c r="B12" i="121"/>
  <c r="B12" i="120"/>
  <c r="B12" i="119"/>
  <c r="B12" i="118"/>
  <c r="B12" i="117"/>
  <c r="B12" i="116"/>
  <c r="B12" i="115"/>
  <c r="B12" i="114"/>
  <c r="B12" i="113"/>
  <c r="B12" i="112"/>
  <c r="B12" i="111"/>
  <c r="B12" i="110"/>
  <c r="B12" i="109"/>
  <c r="B12" i="108"/>
  <c r="B12" i="107"/>
  <c r="B12" i="106"/>
  <c r="B12" i="105"/>
  <c r="B12" i="104"/>
  <c r="B12" i="103"/>
  <c r="B12" i="102"/>
  <c r="B12" i="101"/>
  <c r="B12" i="100"/>
  <c r="B12" i="99"/>
  <c r="B28" i="125"/>
  <c r="B28" i="124"/>
  <c r="B28" i="122"/>
  <c r="B28" i="121"/>
  <c r="B28" i="120"/>
  <c r="B28" i="119"/>
  <c r="B28" i="118"/>
  <c r="B28" i="117"/>
  <c r="B28" i="116"/>
  <c r="B28" i="115"/>
  <c r="B28" i="114"/>
  <c r="B28" i="113"/>
  <c r="B28" i="112"/>
  <c r="B28" i="111"/>
  <c r="B28" i="110"/>
  <c r="B28" i="109"/>
  <c r="B28" i="108"/>
  <c r="B28" i="107"/>
  <c r="B28" i="106"/>
  <c r="B28" i="105"/>
  <c r="B28" i="104"/>
  <c r="B28" i="103"/>
  <c r="B28" i="102"/>
  <c r="B28" i="101"/>
  <c r="B28" i="100"/>
  <c r="B28" i="99"/>
  <c r="B24" i="125"/>
  <c r="B24" i="124"/>
  <c r="B24" i="122"/>
  <c r="B24" i="121"/>
  <c r="B24" i="120"/>
  <c r="B24" i="119"/>
  <c r="B24" i="118"/>
  <c r="B24" i="117"/>
  <c r="B24" i="116"/>
  <c r="B24" i="115"/>
  <c r="B24" i="114"/>
  <c r="B24" i="113"/>
  <c r="B24" i="112"/>
  <c r="B24" i="111"/>
  <c r="B24" i="110"/>
  <c r="B24" i="109"/>
  <c r="B24" i="108"/>
  <c r="B24" i="107"/>
  <c r="B24" i="106"/>
  <c r="B24" i="105"/>
  <c r="B24" i="104"/>
  <c r="B24" i="103"/>
  <c r="B24" i="102"/>
  <c r="B24" i="101"/>
  <c r="B24" i="100"/>
  <c r="B24" i="99"/>
  <c r="B7" i="125"/>
  <c r="B7" i="124"/>
  <c r="B7" i="122"/>
  <c r="B7" i="121"/>
  <c r="B7" i="120"/>
  <c r="B7" i="119"/>
  <c r="B7" i="118"/>
  <c r="B7" i="117"/>
  <c r="B7" i="116"/>
  <c r="B7" i="115"/>
  <c r="B7" i="114"/>
  <c r="B7" i="113"/>
  <c r="B7" i="112"/>
  <c r="B7" i="111"/>
  <c r="B7" i="110"/>
  <c r="B7" i="109"/>
  <c r="B7" i="108"/>
  <c r="B7" i="107"/>
  <c r="B7" i="106"/>
  <c r="B7" i="105"/>
  <c r="B7" i="104"/>
  <c r="B7" i="103"/>
  <c r="B7" i="102"/>
  <c r="B7" i="101"/>
  <c r="B7" i="100"/>
  <c r="B7" i="99"/>
  <c r="B22" i="125"/>
  <c r="B22" i="124"/>
  <c r="B22" i="122"/>
  <c r="B22" i="121"/>
  <c r="B22" i="120"/>
  <c r="B22" i="119"/>
  <c r="B22" i="118"/>
  <c r="B22" i="117"/>
  <c r="B22" i="116"/>
  <c r="B22" i="115"/>
  <c r="B22" i="114"/>
  <c r="B22" i="113"/>
  <c r="B22" i="112"/>
  <c r="B22" i="111"/>
  <c r="B22" i="110"/>
  <c r="B22" i="109"/>
  <c r="B22" i="108"/>
  <c r="B22" i="107"/>
  <c r="B22" i="106"/>
  <c r="B22" i="105"/>
  <c r="B22" i="104"/>
  <c r="B22" i="103"/>
  <c r="B22" i="102"/>
  <c r="B22" i="101"/>
  <c r="B22" i="100"/>
  <c r="B22" i="99"/>
  <c r="B25" i="125"/>
  <c r="B25" i="124"/>
  <c r="B25" i="122"/>
  <c r="B25" i="121"/>
  <c r="B25" i="120"/>
  <c r="B25" i="119"/>
  <c r="B25" i="118"/>
  <c r="B25" i="117"/>
  <c r="B25" i="116"/>
  <c r="B25" i="115"/>
  <c r="B25" i="114"/>
  <c r="B25" i="113"/>
  <c r="B25" i="112"/>
  <c r="B25" i="111"/>
  <c r="B25" i="110"/>
  <c r="B25" i="109"/>
  <c r="B25" i="108"/>
  <c r="B25" i="107"/>
  <c r="B25" i="106"/>
  <c r="B25" i="105"/>
  <c r="B25" i="104"/>
  <c r="B25" i="103"/>
  <c r="B25" i="102"/>
  <c r="B25" i="101"/>
  <c r="B25" i="100"/>
  <c r="B25" i="99"/>
  <c r="B29" i="125"/>
  <c r="B29" i="124"/>
  <c r="B29" i="122"/>
  <c r="B29" i="121"/>
  <c r="B29" i="120"/>
  <c r="B29" i="119"/>
  <c r="B29" i="118"/>
  <c r="B29" i="117"/>
  <c r="B29" i="116"/>
  <c r="B29" i="115"/>
  <c r="B29" i="114"/>
  <c r="B29" i="113"/>
  <c r="B29" i="112"/>
  <c r="B29" i="111"/>
  <c r="B29" i="110"/>
  <c r="B29" i="109"/>
  <c r="B29" i="108"/>
  <c r="B29" i="107"/>
  <c r="B29" i="106"/>
  <c r="B29" i="105"/>
  <c r="B29" i="104"/>
  <c r="B29" i="103"/>
  <c r="B29" i="102"/>
  <c r="B29" i="101"/>
  <c r="B29" i="100"/>
  <c r="B29" i="99"/>
  <c r="B8" i="125"/>
  <c r="B8" i="124"/>
  <c r="B8" i="122"/>
  <c r="B8" i="121"/>
  <c r="B8" i="120"/>
  <c r="B8" i="119"/>
  <c r="B8" i="118"/>
  <c r="B8" i="117"/>
  <c r="B8" i="116"/>
  <c r="B8" i="115"/>
  <c r="B8" i="114"/>
  <c r="B8" i="113"/>
  <c r="B8" i="112"/>
  <c r="B8" i="111"/>
  <c r="B8" i="110"/>
  <c r="B8" i="109"/>
  <c r="B8" i="108"/>
  <c r="B8" i="107"/>
  <c r="B8" i="106"/>
  <c r="B8" i="105"/>
  <c r="B8" i="104"/>
  <c r="B8" i="103"/>
  <c r="B8" i="102"/>
  <c r="B8" i="101"/>
  <c r="B8" i="100"/>
  <c r="B8" i="99"/>
  <c r="B20" i="125"/>
  <c r="B20" i="124"/>
  <c r="B20" i="122"/>
  <c r="B20" i="121"/>
  <c r="B20" i="120"/>
  <c r="B20" i="119"/>
  <c r="B20" i="118"/>
  <c r="B20" i="117"/>
  <c r="B20" i="116"/>
  <c r="B20" i="115"/>
  <c r="B20" i="114"/>
  <c r="B20" i="113"/>
  <c r="B20" i="112"/>
  <c r="B20" i="111"/>
  <c r="B20" i="110"/>
  <c r="B20" i="109"/>
  <c r="B20" i="108"/>
  <c r="B20" i="107"/>
  <c r="B20" i="106"/>
  <c r="B20" i="105"/>
  <c r="B20" i="104"/>
  <c r="B20" i="103"/>
  <c r="B20" i="102"/>
  <c r="B20" i="101"/>
  <c r="B20" i="100"/>
  <c r="B20" i="99"/>
  <c r="B14" i="125"/>
  <c r="B14" i="124"/>
  <c r="B14" i="122"/>
  <c r="B14" i="121"/>
  <c r="B14" i="120"/>
  <c r="B14" i="119"/>
  <c r="B14" i="118"/>
  <c r="B14" i="117"/>
  <c r="B14" i="116"/>
  <c r="B14" i="115"/>
  <c r="B14" i="114"/>
  <c r="B14" i="113"/>
  <c r="B14" i="112"/>
  <c r="B14" i="111"/>
  <c r="B14" i="110"/>
  <c r="B14" i="109"/>
  <c r="B14" i="108"/>
  <c r="B14" i="107"/>
  <c r="B14" i="106"/>
  <c r="B14" i="105"/>
  <c r="B14" i="104"/>
  <c r="B14" i="103"/>
  <c r="B14" i="102"/>
  <c r="B14" i="101"/>
  <c r="B14" i="100"/>
  <c r="B14" i="99"/>
  <c r="B9" i="125"/>
  <c r="B9" i="124"/>
  <c r="B9" i="122"/>
  <c r="B9" i="121"/>
  <c r="B9" i="120"/>
  <c r="B9" i="119"/>
  <c r="B9" i="118"/>
  <c r="B9" i="117"/>
  <c r="B9" i="116"/>
  <c r="B9" i="114"/>
  <c r="B9" i="115"/>
  <c r="B9" i="113"/>
  <c r="B9" i="112"/>
  <c r="B9" i="111"/>
  <c r="B9" i="110"/>
  <c r="B9" i="109"/>
  <c r="B9" i="108"/>
  <c r="B9" i="107"/>
  <c r="B9" i="106"/>
  <c r="B9" i="105"/>
  <c r="B9" i="104"/>
  <c r="B9" i="103"/>
  <c r="B9" i="102"/>
  <c r="B9" i="101"/>
  <c r="B9" i="100"/>
  <c r="B9" i="99"/>
  <c r="B6" i="125"/>
  <c r="B6" i="124"/>
  <c r="B6" i="122"/>
  <c r="B6" i="121"/>
  <c r="B6" i="120"/>
  <c r="B6" i="119"/>
  <c r="B6" i="118"/>
  <c r="B6" i="117"/>
  <c r="B6" i="116"/>
  <c r="B6" i="115"/>
  <c r="B6" i="114"/>
  <c r="B6" i="113"/>
  <c r="B6" i="112"/>
  <c r="B6" i="111"/>
  <c r="B6" i="110"/>
  <c r="B6" i="109"/>
  <c r="B6" i="108"/>
  <c r="B6" i="107"/>
  <c r="B6" i="106"/>
  <c r="B6" i="105"/>
  <c r="B6" i="104"/>
  <c r="B6" i="103"/>
  <c r="B6" i="102"/>
  <c r="B6" i="101"/>
  <c r="B6" i="100"/>
  <c r="B6" i="99"/>
  <c r="B23" i="125"/>
  <c r="B23" i="124"/>
  <c r="B23" i="122"/>
  <c r="B23" i="121"/>
  <c r="B23" i="120"/>
  <c r="B23" i="119"/>
  <c r="B23" i="118"/>
  <c r="B23" i="117"/>
  <c r="B23" i="116"/>
  <c r="B23" i="115"/>
  <c r="B23" i="114"/>
  <c r="B23" i="113"/>
  <c r="B23" i="112"/>
  <c r="B23" i="111"/>
  <c r="B23" i="110"/>
  <c r="B23" i="109"/>
  <c r="B23" i="108"/>
  <c r="B23" i="107"/>
  <c r="B23" i="106"/>
  <c r="B23" i="105"/>
  <c r="B23" i="104"/>
  <c r="B23" i="103"/>
  <c r="B23" i="102"/>
  <c r="B23" i="101"/>
  <c r="B23" i="100"/>
  <c r="B23" i="99"/>
  <c r="B13" i="125"/>
  <c r="B13" i="124"/>
  <c r="B13" i="122"/>
  <c r="B13" i="121"/>
  <c r="B13" i="120"/>
  <c r="B13" i="119"/>
  <c r="B13" i="118"/>
  <c r="B13" i="117"/>
  <c r="B13" i="116"/>
  <c r="B13" i="114"/>
  <c r="B13" i="115"/>
  <c r="B13" i="113"/>
  <c r="B13" i="112"/>
  <c r="B13" i="111"/>
  <c r="B13" i="110"/>
  <c r="B13" i="109"/>
  <c r="B13" i="108"/>
  <c r="B13" i="107"/>
  <c r="B13" i="106"/>
  <c r="B13" i="105"/>
  <c r="B13" i="104"/>
  <c r="B13" i="103"/>
  <c r="B13" i="102"/>
  <c r="B13" i="101"/>
  <c r="B13" i="100"/>
  <c r="B13" i="99"/>
  <c r="B17" i="125"/>
  <c r="B17" i="124"/>
  <c r="B17" i="122"/>
  <c r="B17" i="121"/>
  <c r="B17" i="120"/>
  <c r="B17" i="119"/>
  <c r="B17" i="118"/>
  <c r="B17" i="117"/>
  <c r="B17" i="116"/>
  <c r="B17" i="115"/>
  <c r="B17" i="114"/>
  <c r="B17" i="113"/>
  <c r="B17" i="112"/>
  <c r="B17" i="111"/>
  <c r="B17" i="110"/>
  <c r="B17" i="109"/>
  <c r="B17" i="108"/>
  <c r="B17" i="107"/>
  <c r="B17" i="106"/>
  <c r="B17" i="105"/>
  <c r="B17" i="104"/>
  <c r="B17" i="103"/>
  <c r="B17" i="102"/>
  <c r="B17" i="101"/>
  <c r="B17" i="100"/>
  <c r="B17" i="99"/>
  <c r="B5" i="125"/>
  <c r="A5" i="125" s="1"/>
  <c r="B5" i="124"/>
  <c r="A5" i="124" s="1"/>
  <c r="B5" i="122"/>
  <c r="A5" i="122" s="1"/>
  <c r="B5" i="121"/>
  <c r="A5" i="121" s="1"/>
  <c r="B5" i="120"/>
  <c r="A5" i="120" s="1"/>
  <c r="B5" i="119"/>
  <c r="A5" i="119" s="1"/>
  <c r="B5" i="118"/>
  <c r="A5" i="118" s="1"/>
  <c r="B5" i="117"/>
  <c r="A5" i="117" s="1"/>
  <c r="B5" i="116"/>
  <c r="A5" i="116" s="1"/>
  <c r="B5" i="114"/>
  <c r="A5" i="114" s="1"/>
  <c r="B5" i="115"/>
  <c r="A5" i="115" s="1"/>
  <c r="B5" i="113"/>
  <c r="A5" i="113" s="1"/>
  <c r="B5" i="112"/>
  <c r="A5" i="112" s="1"/>
  <c r="B5" i="111"/>
  <c r="A5" i="111" s="1"/>
  <c r="B5" i="110"/>
  <c r="A5" i="110" s="1"/>
  <c r="B5" i="109"/>
  <c r="A5" i="109" s="1"/>
  <c r="B5" i="108"/>
  <c r="A5" i="108" s="1"/>
  <c r="B5" i="107"/>
  <c r="A5" i="107" s="1"/>
  <c r="B5" i="106"/>
  <c r="A5" i="106" s="1"/>
  <c r="B5" i="105"/>
  <c r="A5" i="105" s="1"/>
  <c r="B5" i="104"/>
  <c r="A5" i="104" s="1"/>
  <c r="B5" i="103"/>
  <c r="A5" i="103" s="1"/>
  <c r="B5" i="102"/>
  <c r="A5" i="102" s="1"/>
  <c r="B5" i="101"/>
  <c r="A5" i="101" s="1"/>
  <c r="B5" i="100"/>
  <c r="A5" i="100" s="1"/>
  <c r="B5" i="99"/>
  <c r="A5" i="99" s="1"/>
  <c r="B11" i="125"/>
  <c r="A11" i="125" s="1"/>
  <c r="B11" i="124"/>
  <c r="A11" i="124" s="1"/>
  <c r="B11" i="122"/>
  <c r="A11" i="122" s="1"/>
  <c r="B11" i="121"/>
  <c r="B11" i="120"/>
  <c r="A11" i="120" s="1"/>
  <c r="B11" i="119"/>
  <c r="A11" i="119" s="1"/>
  <c r="B11" i="118"/>
  <c r="A11" i="118" s="1"/>
  <c r="B11" i="117"/>
  <c r="B11" i="116"/>
  <c r="A11" i="116" s="1"/>
  <c r="B11" i="115"/>
  <c r="B11" i="114"/>
  <c r="B11" i="113"/>
  <c r="B11" i="112"/>
  <c r="A11" i="112" s="1"/>
  <c r="B11" i="111"/>
  <c r="A11" i="111" s="1"/>
  <c r="B11" i="110"/>
  <c r="A11" i="110" s="1"/>
  <c r="B11" i="109"/>
  <c r="B11" i="108"/>
  <c r="A11" i="108" s="1"/>
  <c r="B11" i="107"/>
  <c r="A11" i="107" s="1"/>
  <c r="B11" i="106"/>
  <c r="A11" i="106" s="1"/>
  <c r="B11" i="105"/>
  <c r="B11" i="104"/>
  <c r="A11" i="104" s="1"/>
  <c r="B11" i="103"/>
  <c r="A11" i="103" s="1"/>
  <c r="B11" i="102"/>
  <c r="A11" i="102" s="1"/>
  <c r="B11" i="101"/>
  <c r="B11" i="100"/>
  <c r="A11" i="100" s="1"/>
  <c r="B11" i="99"/>
  <c r="A11" i="99" s="1"/>
  <c r="B21" i="16"/>
  <c r="B21" i="61"/>
  <c r="B21" i="58"/>
  <c r="B21" i="62"/>
  <c r="B21" i="66"/>
  <c r="B21" i="70"/>
  <c r="B21" i="74"/>
  <c r="B21" i="80"/>
  <c r="B21" i="84"/>
  <c r="B21" i="88"/>
  <c r="B21" i="92"/>
  <c r="B21" i="96"/>
  <c r="B21" i="18"/>
  <c r="B21" i="67"/>
  <c r="B21" i="71"/>
  <c r="B21" i="75"/>
  <c r="B21" i="81"/>
  <c r="B21" i="85"/>
  <c r="B21" i="89"/>
  <c r="B21" i="93"/>
  <c r="B21" i="97"/>
  <c r="B21" i="17"/>
  <c r="B21" i="59"/>
  <c r="B21" i="63"/>
  <c r="B21" i="60"/>
  <c r="B21" i="64"/>
  <c r="B21" i="68"/>
  <c r="B21" i="72"/>
  <c r="B21" i="76"/>
  <c r="B21" i="82"/>
  <c r="B21" i="86"/>
  <c r="B21" i="90"/>
  <c r="B21" i="94"/>
  <c r="B21" i="98"/>
  <c r="B21" i="19"/>
  <c r="B21" i="65"/>
  <c r="B21" i="69"/>
  <c r="B21" i="73"/>
  <c r="B21" i="78"/>
  <c r="B21" i="83"/>
  <c r="B21" i="87"/>
  <c r="B21" i="91"/>
  <c r="B21" i="95"/>
  <c r="B21" i="14"/>
  <c r="B18" i="16"/>
  <c r="B18" i="19"/>
  <c r="B18" i="17"/>
  <c r="B18" i="18"/>
  <c r="B18" i="14"/>
  <c r="B18" i="98"/>
  <c r="B18" i="97"/>
  <c r="B18" i="96"/>
  <c r="B18" i="95"/>
  <c r="B18" i="94"/>
  <c r="B18" i="93"/>
  <c r="B18" i="92"/>
  <c r="B18" i="91"/>
  <c r="B18" i="90"/>
  <c r="B18" i="89"/>
  <c r="B18" i="88"/>
  <c r="B18" i="87"/>
  <c r="B18" i="86"/>
  <c r="B18" i="85"/>
  <c r="B18" i="84"/>
  <c r="B18" i="83"/>
  <c r="B18" i="82"/>
  <c r="B18" i="81"/>
  <c r="B18" i="80"/>
  <c r="B18" i="78"/>
  <c r="B18" i="76"/>
  <c r="B18" i="75"/>
  <c r="B18" i="74"/>
  <c r="B18" i="73"/>
  <c r="B18" i="72"/>
  <c r="B18" i="71"/>
  <c r="B18" i="70"/>
  <c r="B18" i="69"/>
  <c r="B18" i="68"/>
  <c r="B18" i="67"/>
  <c r="B18" i="66"/>
  <c r="B18" i="65"/>
  <c r="B18" i="64"/>
  <c r="B18" i="63"/>
  <c r="B18" i="62"/>
  <c r="B18" i="61"/>
  <c r="B18" i="60"/>
  <c r="B18" i="59"/>
  <c r="B18" i="58"/>
  <c r="B8" i="16"/>
  <c r="B8" i="19"/>
  <c r="B8" i="17"/>
  <c r="B8" i="18"/>
  <c r="B8" i="14"/>
  <c r="B8" i="98"/>
  <c r="B8" i="97"/>
  <c r="B8" i="96"/>
  <c r="A8" i="96" s="1"/>
  <c r="B8" i="95"/>
  <c r="B8" i="94"/>
  <c r="B8" i="93"/>
  <c r="B8" i="92"/>
  <c r="B8" i="91"/>
  <c r="B8" i="90"/>
  <c r="B8" i="89"/>
  <c r="B8" i="88"/>
  <c r="B8" i="87"/>
  <c r="B8" i="86"/>
  <c r="B8" i="85"/>
  <c r="B8" i="84"/>
  <c r="B8" i="83"/>
  <c r="B8" i="82"/>
  <c r="B8" i="81"/>
  <c r="B8" i="80"/>
  <c r="B8" i="78"/>
  <c r="B8" i="76"/>
  <c r="B8" i="75"/>
  <c r="B8" i="74"/>
  <c r="B8" i="73"/>
  <c r="B8" i="72"/>
  <c r="B8" i="71"/>
  <c r="B8" i="70"/>
  <c r="B8" i="69"/>
  <c r="B8" i="68"/>
  <c r="B8" i="67"/>
  <c r="B8" i="66"/>
  <c r="B8" i="65"/>
  <c r="B8" i="64"/>
  <c r="B8" i="63"/>
  <c r="B8" i="62"/>
  <c r="B8" i="61"/>
  <c r="B8" i="60"/>
  <c r="B8" i="59"/>
  <c r="B8" i="58"/>
  <c r="B10" i="16"/>
  <c r="B10" i="19"/>
  <c r="B10" i="17"/>
  <c r="B10" i="18"/>
  <c r="B10" i="14"/>
  <c r="B10" i="98"/>
  <c r="B10" i="97"/>
  <c r="B10" i="96"/>
  <c r="B10" i="95"/>
  <c r="B10" i="94"/>
  <c r="B10" i="93"/>
  <c r="B10" i="92"/>
  <c r="B10" i="91"/>
  <c r="B10" i="90"/>
  <c r="B10" i="89"/>
  <c r="B10" i="88"/>
  <c r="B10" i="87"/>
  <c r="B10" i="86"/>
  <c r="B10" i="85"/>
  <c r="B10" i="84"/>
  <c r="B10" i="83"/>
  <c r="B10" i="82"/>
  <c r="B10" i="81"/>
  <c r="B10" i="80"/>
  <c r="B10" i="78"/>
  <c r="B10" i="76"/>
  <c r="B10" i="75"/>
  <c r="B10" i="74"/>
  <c r="B10" i="73"/>
  <c r="B10" i="72"/>
  <c r="B10" i="71"/>
  <c r="B10" i="70"/>
  <c r="B10" i="69"/>
  <c r="B10" i="68"/>
  <c r="B10" i="67"/>
  <c r="B10" i="66"/>
  <c r="B10" i="65"/>
  <c r="B10" i="64"/>
  <c r="B10" i="63"/>
  <c r="B10" i="62"/>
  <c r="B10" i="61"/>
  <c r="B10" i="60"/>
  <c r="B10" i="59"/>
  <c r="B10" i="58"/>
  <c r="B14" i="16"/>
  <c r="B14" i="19"/>
  <c r="B14" i="17"/>
  <c r="B14" i="18"/>
  <c r="B14" i="14"/>
  <c r="B14" i="98"/>
  <c r="B14" i="97"/>
  <c r="B14" i="96"/>
  <c r="B14" i="95"/>
  <c r="B14" i="94"/>
  <c r="B14" i="93"/>
  <c r="B14" i="92"/>
  <c r="B14" i="91"/>
  <c r="B14" i="90"/>
  <c r="B14" i="89"/>
  <c r="B14" i="88"/>
  <c r="B14" i="87"/>
  <c r="B14" i="86"/>
  <c r="B14" i="85"/>
  <c r="B14" i="84"/>
  <c r="B14" i="83"/>
  <c r="B14" i="82"/>
  <c r="B14" i="81"/>
  <c r="B14" i="80"/>
  <c r="B14" i="78"/>
  <c r="B14" i="76"/>
  <c r="B14" i="75"/>
  <c r="B14" i="74"/>
  <c r="B14" i="73"/>
  <c r="B14" i="72"/>
  <c r="B14" i="71"/>
  <c r="B14" i="70"/>
  <c r="B14" i="69"/>
  <c r="B14" i="68"/>
  <c r="B14" i="67"/>
  <c r="B14" i="66"/>
  <c r="B14" i="65"/>
  <c r="B14" i="64"/>
  <c r="B14" i="63"/>
  <c r="B14" i="62"/>
  <c r="B14" i="61"/>
  <c r="B14" i="60"/>
  <c r="B14" i="59"/>
  <c r="B14" i="58"/>
  <c r="B27" i="16"/>
  <c r="B27" i="19"/>
  <c r="B27" i="17"/>
  <c r="B27" i="18"/>
  <c r="B27" i="14"/>
  <c r="B27" i="98"/>
  <c r="B27" i="97"/>
  <c r="B27" i="96"/>
  <c r="B27" i="95"/>
  <c r="B27" i="94"/>
  <c r="B27" i="93"/>
  <c r="B27" i="92"/>
  <c r="B27" i="91"/>
  <c r="B27" i="90"/>
  <c r="B27" i="89"/>
  <c r="B27" i="88"/>
  <c r="B27" i="87"/>
  <c r="B27" i="86"/>
  <c r="B27" i="85"/>
  <c r="B27" i="84"/>
  <c r="B27" i="83"/>
  <c r="B27" i="82"/>
  <c r="B27" i="81"/>
  <c r="B27" i="80"/>
  <c r="B27" i="78"/>
  <c r="B27" i="76"/>
  <c r="B27" i="75"/>
  <c r="B27" i="74"/>
  <c r="B27" i="73"/>
  <c r="B27" i="72"/>
  <c r="B27" i="71"/>
  <c r="B27" i="70"/>
  <c r="B27" i="69"/>
  <c r="B27" i="68"/>
  <c r="B27" i="67"/>
  <c r="B27" i="66"/>
  <c r="B27" i="65"/>
  <c r="B27" i="64"/>
  <c r="B27" i="63"/>
  <c r="B27" i="62"/>
  <c r="B27" i="61"/>
  <c r="B27" i="60"/>
  <c r="B27" i="59"/>
  <c r="B27" i="58"/>
  <c r="B19" i="16"/>
  <c r="B19" i="19"/>
  <c r="B19" i="17"/>
  <c r="B19" i="18"/>
  <c r="B19" i="14"/>
  <c r="B19" i="98"/>
  <c r="B19" i="97"/>
  <c r="B19" i="96"/>
  <c r="B19" i="95"/>
  <c r="B19" i="94"/>
  <c r="B19" i="93"/>
  <c r="B19" i="92"/>
  <c r="B19" i="91"/>
  <c r="B19" i="90"/>
  <c r="B19" i="89"/>
  <c r="B19" i="88"/>
  <c r="B19" i="87"/>
  <c r="B19" i="86"/>
  <c r="B19" i="85"/>
  <c r="B19" i="84"/>
  <c r="B19" i="83"/>
  <c r="B19" i="82"/>
  <c r="B19" i="81"/>
  <c r="B19" i="80"/>
  <c r="B19" i="78"/>
  <c r="B19" i="76"/>
  <c r="B19" i="75"/>
  <c r="B19" i="74"/>
  <c r="B19" i="73"/>
  <c r="B19" i="72"/>
  <c r="B19" i="71"/>
  <c r="B19" i="70"/>
  <c r="B19" i="69"/>
  <c r="B19" i="68"/>
  <c r="B19" i="67"/>
  <c r="B19" i="66"/>
  <c r="B19" i="65"/>
  <c r="B19" i="64"/>
  <c r="B19" i="63"/>
  <c r="B19" i="62"/>
  <c r="B19" i="61"/>
  <c r="B19" i="60"/>
  <c r="B19" i="59"/>
  <c r="B19" i="58"/>
  <c r="B29" i="16"/>
  <c r="B29" i="19"/>
  <c r="B29" i="17"/>
  <c r="B29" i="18"/>
  <c r="B29" i="14"/>
  <c r="B29" i="98"/>
  <c r="B29" i="97"/>
  <c r="B29" i="96"/>
  <c r="B29" i="95"/>
  <c r="B29" i="94"/>
  <c r="B29" i="93"/>
  <c r="B29" i="92"/>
  <c r="B29" i="91"/>
  <c r="B29" i="90"/>
  <c r="B29" i="89"/>
  <c r="B29" i="88"/>
  <c r="B29" i="87"/>
  <c r="B29" i="86"/>
  <c r="B29" i="85"/>
  <c r="B29" i="84"/>
  <c r="B29" i="83"/>
  <c r="B29" i="82"/>
  <c r="B29" i="81"/>
  <c r="B29" i="80"/>
  <c r="B29" i="78"/>
  <c r="B29" i="76"/>
  <c r="B29" i="75"/>
  <c r="B29" i="74"/>
  <c r="B29" i="73"/>
  <c r="B29" i="72"/>
  <c r="B29" i="71"/>
  <c r="B29" i="70"/>
  <c r="B29" i="69"/>
  <c r="B29" i="68"/>
  <c r="B29" i="67"/>
  <c r="B29" i="66"/>
  <c r="B29" i="65"/>
  <c r="B29" i="64"/>
  <c r="B29" i="63"/>
  <c r="B29" i="62"/>
  <c r="B29" i="61"/>
  <c r="B29" i="60"/>
  <c r="B29" i="59"/>
  <c r="B29" i="58"/>
  <c r="B15" i="16"/>
  <c r="B15" i="19"/>
  <c r="B15" i="17"/>
  <c r="B15" i="18"/>
  <c r="B15" i="14"/>
  <c r="B15" i="98"/>
  <c r="B15" i="97"/>
  <c r="B15" i="96"/>
  <c r="B15" i="95"/>
  <c r="B15" i="94"/>
  <c r="B15" i="93"/>
  <c r="B15" i="92"/>
  <c r="B15" i="91"/>
  <c r="B15" i="90"/>
  <c r="B15" i="89"/>
  <c r="B15" i="88"/>
  <c r="B15" i="87"/>
  <c r="B15" i="86"/>
  <c r="B15" i="85"/>
  <c r="B15" i="84"/>
  <c r="B15" i="83"/>
  <c r="B15" i="82"/>
  <c r="B15" i="81"/>
  <c r="B15" i="80"/>
  <c r="B15" i="78"/>
  <c r="B15" i="76"/>
  <c r="B15" i="75"/>
  <c r="B15" i="74"/>
  <c r="B15" i="73"/>
  <c r="B15" i="72"/>
  <c r="B15" i="71"/>
  <c r="B15" i="70"/>
  <c r="B15" i="69"/>
  <c r="B15" i="68"/>
  <c r="B15" i="67"/>
  <c r="B15" i="66"/>
  <c r="B15" i="65"/>
  <c r="B15" i="64"/>
  <c r="B15" i="63"/>
  <c r="B15" i="62"/>
  <c r="B15" i="61"/>
  <c r="B15" i="60"/>
  <c r="B15" i="59"/>
  <c r="B15" i="58"/>
  <c r="B4" i="16"/>
  <c r="B4" i="19"/>
  <c r="B4" i="17"/>
  <c r="B4" i="18"/>
  <c r="B4" i="14"/>
  <c r="B4" i="98"/>
  <c r="B4" i="97"/>
  <c r="B4" i="96"/>
  <c r="A9" i="96" s="1"/>
  <c r="B4" i="95"/>
  <c r="B4" i="94"/>
  <c r="B4" i="93"/>
  <c r="B4" i="92"/>
  <c r="B4" i="91"/>
  <c r="B4" i="90"/>
  <c r="B4" i="89"/>
  <c r="B4" i="88"/>
  <c r="B4" i="87"/>
  <c r="B4" i="86"/>
  <c r="B4" i="85"/>
  <c r="B4" i="84"/>
  <c r="B4" i="83"/>
  <c r="B4" i="82"/>
  <c r="B4" i="81"/>
  <c r="B4" i="80"/>
  <c r="B4" i="78"/>
  <c r="B4" i="76"/>
  <c r="B4" i="75"/>
  <c r="B4" i="74"/>
  <c r="B4" i="73"/>
  <c r="B4" i="72"/>
  <c r="B4" i="71"/>
  <c r="B4" i="70"/>
  <c r="B4" i="69"/>
  <c r="B4" i="68"/>
  <c r="B4" i="67"/>
  <c r="B4" i="66"/>
  <c r="B4" i="65"/>
  <c r="B4" i="64"/>
  <c r="B4" i="63"/>
  <c r="B4" i="62"/>
  <c r="B4" i="61"/>
  <c r="B4" i="60"/>
  <c r="B4" i="59"/>
  <c r="B4" i="58"/>
  <c r="B26" i="16"/>
  <c r="B26" i="19"/>
  <c r="B26" i="17"/>
  <c r="B26" i="18"/>
  <c r="B26" i="14"/>
  <c r="B26" i="98"/>
  <c r="B26" i="97"/>
  <c r="B26" i="96"/>
  <c r="B26" i="95"/>
  <c r="B26" i="94"/>
  <c r="B26" i="93"/>
  <c r="B26" i="92"/>
  <c r="B26" i="91"/>
  <c r="B26" i="90"/>
  <c r="B26" i="89"/>
  <c r="B26" i="88"/>
  <c r="B26" i="87"/>
  <c r="B26" i="86"/>
  <c r="B26" i="85"/>
  <c r="B26" i="84"/>
  <c r="B26" i="83"/>
  <c r="B26" i="82"/>
  <c r="B26" i="81"/>
  <c r="B26" i="80"/>
  <c r="B26" i="78"/>
  <c r="B26" i="76"/>
  <c r="B26" i="75"/>
  <c r="B26" i="74"/>
  <c r="B26" i="73"/>
  <c r="B26" i="72"/>
  <c r="B26" i="71"/>
  <c r="B26" i="70"/>
  <c r="B26" i="69"/>
  <c r="B26" i="68"/>
  <c r="B26" i="67"/>
  <c r="B26" i="66"/>
  <c r="B26" i="65"/>
  <c r="B26" i="64"/>
  <c r="B26" i="63"/>
  <c r="B26" i="62"/>
  <c r="B26" i="61"/>
  <c r="B26" i="60"/>
  <c r="B26" i="59"/>
  <c r="B26" i="58"/>
  <c r="B12" i="16"/>
  <c r="B12" i="19"/>
  <c r="B12" i="17"/>
  <c r="B12" i="18"/>
  <c r="B12" i="14"/>
  <c r="B12" i="98"/>
  <c r="B12" i="97"/>
  <c r="B12" i="96"/>
  <c r="B12" i="95"/>
  <c r="B12" i="94"/>
  <c r="B12" i="93"/>
  <c r="B12" i="92"/>
  <c r="B12" i="91"/>
  <c r="B12" i="90"/>
  <c r="B12" i="89"/>
  <c r="B12" i="88"/>
  <c r="B12" i="87"/>
  <c r="B12" i="86"/>
  <c r="B12" i="85"/>
  <c r="B12" i="84"/>
  <c r="B12" i="83"/>
  <c r="B12" i="82"/>
  <c r="B12" i="81"/>
  <c r="B12" i="80"/>
  <c r="B12" i="78"/>
  <c r="B12" i="76"/>
  <c r="B12" i="75"/>
  <c r="B12" i="74"/>
  <c r="B12" i="73"/>
  <c r="B12" i="72"/>
  <c r="B12" i="71"/>
  <c r="B12" i="70"/>
  <c r="B12" i="69"/>
  <c r="B12" i="68"/>
  <c r="B12" i="67"/>
  <c r="B12" i="66"/>
  <c r="B12" i="65"/>
  <c r="B12" i="64"/>
  <c r="B12" i="63"/>
  <c r="B12" i="62"/>
  <c r="B12" i="61"/>
  <c r="B12" i="60"/>
  <c r="B12" i="59"/>
  <c r="B12" i="58"/>
  <c r="B13" i="16"/>
  <c r="B13" i="19"/>
  <c r="B13" i="17"/>
  <c r="B13" i="18"/>
  <c r="B13" i="14"/>
  <c r="B13" i="98"/>
  <c r="B13" i="97"/>
  <c r="B13" i="96"/>
  <c r="B13" i="95"/>
  <c r="B13" i="94"/>
  <c r="B13" i="93"/>
  <c r="B13" i="92"/>
  <c r="B13" i="91"/>
  <c r="B13" i="90"/>
  <c r="B13" i="89"/>
  <c r="B13" i="88"/>
  <c r="B13" i="87"/>
  <c r="B13" i="86"/>
  <c r="B13" i="85"/>
  <c r="B13" i="84"/>
  <c r="B13" i="83"/>
  <c r="B13" i="82"/>
  <c r="B13" i="81"/>
  <c r="B13" i="80"/>
  <c r="B13" i="78"/>
  <c r="B13" i="76"/>
  <c r="B13" i="75"/>
  <c r="B13" i="74"/>
  <c r="B13" i="73"/>
  <c r="B13" i="72"/>
  <c r="B13" i="71"/>
  <c r="B13" i="70"/>
  <c r="B13" i="69"/>
  <c r="B13" i="68"/>
  <c r="B13" i="67"/>
  <c r="B13" i="66"/>
  <c r="B13" i="65"/>
  <c r="B13" i="64"/>
  <c r="B13" i="63"/>
  <c r="B13" i="62"/>
  <c r="B13" i="61"/>
  <c r="B13" i="60"/>
  <c r="B13" i="59"/>
  <c r="B13" i="58"/>
  <c r="B20" i="19"/>
  <c r="B20" i="18"/>
  <c r="B20" i="98"/>
  <c r="B20" i="96"/>
  <c r="B20" i="94"/>
  <c r="B20" i="92"/>
  <c r="B20" i="90"/>
  <c r="B20" i="88"/>
  <c r="B20" i="86"/>
  <c r="B20" i="84"/>
  <c r="B20" i="82"/>
  <c r="B20" i="80"/>
  <c r="B20" i="76"/>
  <c r="B20" i="74"/>
  <c r="B20" i="72"/>
  <c r="B20" i="70"/>
  <c r="B20" i="68"/>
  <c r="B20" i="66"/>
  <c r="B20" i="64"/>
  <c r="B20" i="62"/>
  <c r="B20" i="60"/>
  <c r="B20" i="58"/>
  <c r="B20" i="16"/>
  <c r="B20" i="17"/>
  <c r="B20" i="14"/>
  <c r="B20" i="97"/>
  <c r="B20" i="95"/>
  <c r="B20" i="93"/>
  <c r="B20" i="91"/>
  <c r="B20" i="89"/>
  <c r="B20" i="87"/>
  <c r="B20" i="85"/>
  <c r="B20" i="83"/>
  <c r="B20" i="81"/>
  <c r="B20" i="78"/>
  <c r="B20" i="75"/>
  <c r="B20" i="73"/>
  <c r="B20" i="71"/>
  <c r="B20" i="69"/>
  <c r="B20" i="67"/>
  <c r="B20" i="65"/>
  <c r="B20" i="63"/>
  <c r="B20" i="61"/>
  <c r="B20" i="59"/>
  <c r="B16" i="16"/>
  <c r="B16" i="19"/>
  <c r="B16" i="17"/>
  <c r="B16" i="18"/>
  <c r="B16" i="14"/>
  <c r="B16" i="98"/>
  <c r="B16" i="97"/>
  <c r="B16" i="96"/>
  <c r="B16" i="95"/>
  <c r="B16" i="94"/>
  <c r="B16" i="93"/>
  <c r="B16" i="92"/>
  <c r="B16" i="91"/>
  <c r="B16" i="90"/>
  <c r="B16" i="89"/>
  <c r="B16" i="88"/>
  <c r="B16" i="87"/>
  <c r="B16" i="86"/>
  <c r="B16" i="85"/>
  <c r="B16" i="84"/>
  <c r="B16" i="83"/>
  <c r="B16" i="82"/>
  <c r="B16" i="81"/>
  <c r="B16" i="80"/>
  <c r="B16" i="78"/>
  <c r="B16" i="76"/>
  <c r="B16" i="75"/>
  <c r="B16" i="74"/>
  <c r="B16" i="73"/>
  <c r="B16" i="72"/>
  <c r="B16" i="71"/>
  <c r="B16" i="70"/>
  <c r="B16" i="69"/>
  <c r="B16" i="68"/>
  <c r="B16" i="67"/>
  <c r="B16" i="66"/>
  <c r="B16" i="65"/>
  <c r="B16" i="64"/>
  <c r="B16" i="63"/>
  <c r="B16" i="62"/>
  <c r="B16" i="61"/>
  <c r="B16" i="60"/>
  <c r="B16" i="59"/>
  <c r="B16" i="58"/>
  <c r="B11" i="19"/>
  <c r="B11" i="18"/>
  <c r="B11" i="98"/>
  <c r="B11" i="96"/>
  <c r="B11" i="94"/>
  <c r="B11" i="92"/>
  <c r="B11" i="90"/>
  <c r="B11" i="88"/>
  <c r="B11" i="86"/>
  <c r="B11" i="84"/>
  <c r="B11" i="82"/>
  <c r="B11" i="80"/>
  <c r="B11" i="76"/>
  <c r="B11" i="74"/>
  <c r="B11" i="72"/>
  <c r="B11" i="70"/>
  <c r="B11" i="68"/>
  <c r="B11" i="66"/>
  <c r="B11" i="64"/>
  <c r="B11" i="60"/>
  <c r="B11" i="16"/>
  <c r="B11" i="17"/>
  <c r="B11" i="14"/>
  <c r="B11" i="97"/>
  <c r="B11" i="95"/>
  <c r="B11" i="93"/>
  <c r="B11" i="91"/>
  <c r="B11" i="89"/>
  <c r="B11" i="87"/>
  <c r="B11" i="85"/>
  <c r="B11" i="83"/>
  <c r="B11" i="81"/>
  <c r="B11" i="78"/>
  <c r="B11" i="75"/>
  <c r="B11" i="73"/>
  <c r="B11" i="71"/>
  <c r="B11" i="69"/>
  <c r="B11" i="67"/>
  <c r="B11" i="65"/>
  <c r="B11" i="63"/>
  <c r="B11" i="61"/>
  <c r="B11" i="59"/>
  <c r="B11" i="62"/>
  <c r="B11" i="58"/>
  <c r="B28" i="16"/>
  <c r="B28" i="19"/>
  <c r="B28" i="18"/>
  <c r="B28" i="14"/>
  <c r="B28" i="98"/>
  <c r="B28" i="97"/>
  <c r="B28" i="96"/>
  <c r="B28" i="95"/>
  <c r="B28" i="92"/>
  <c r="B28" i="90"/>
  <c r="B28" i="87"/>
  <c r="B28" i="84"/>
  <c r="B28" i="82"/>
  <c r="B28" i="80"/>
  <c r="B28" i="76"/>
  <c r="B28" i="73"/>
  <c r="B28" i="70"/>
  <c r="B28" i="67"/>
  <c r="B28" i="66"/>
  <c r="B28" i="62"/>
  <c r="B28" i="61"/>
  <c r="B28" i="17"/>
  <c r="B28" i="94"/>
  <c r="B28" i="93"/>
  <c r="B28" i="91"/>
  <c r="B28" i="89"/>
  <c r="B28" i="88"/>
  <c r="B28" i="86"/>
  <c r="B28" i="85"/>
  <c r="B28" i="83"/>
  <c r="B28" i="81"/>
  <c r="B28" i="78"/>
  <c r="B28" i="75"/>
  <c r="B28" i="74"/>
  <c r="B28" i="72"/>
  <c r="B28" i="71"/>
  <c r="B28" i="69"/>
  <c r="B28" i="68"/>
  <c r="B28" i="65"/>
  <c r="B28" i="64"/>
  <c r="B28" i="63"/>
  <c r="B28" i="60"/>
  <c r="B28" i="59"/>
  <c r="B28" i="58"/>
  <c r="B24" i="16"/>
  <c r="B24" i="19"/>
  <c r="B24" i="17"/>
  <c r="B24" i="18"/>
  <c r="B24" i="14"/>
  <c r="B24" i="98"/>
  <c r="B24" i="97"/>
  <c r="B24" i="96"/>
  <c r="B24" i="95"/>
  <c r="B24" i="94"/>
  <c r="B24" i="93"/>
  <c r="B24" i="92"/>
  <c r="B24" i="91"/>
  <c r="B24" i="90"/>
  <c r="B24" i="89"/>
  <c r="B24" i="88"/>
  <c r="B24" i="87"/>
  <c r="B24" i="86"/>
  <c r="B24" i="85"/>
  <c r="B24" i="84"/>
  <c r="B24" i="83"/>
  <c r="B24" i="82"/>
  <c r="B24" i="81"/>
  <c r="B24" i="80"/>
  <c r="B24" i="78"/>
  <c r="B24" i="76"/>
  <c r="B24" i="75"/>
  <c r="B24" i="74"/>
  <c r="B24" i="73"/>
  <c r="B24" i="72"/>
  <c r="B24" i="71"/>
  <c r="B24" i="70"/>
  <c r="B24" i="69"/>
  <c r="B24" i="68"/>
  <c r="B24" i="67"/>
  <c r="B24" i="66"/>
  <c r="B24" i="65"/>
  <c r="B24" i="64"/>
  <c r="B24" i="63"/>
  <c r="B24" i="62"/>
  <c r="B24" i="61"/>
  <c r="B24" i="60"/>
  <c r="B24" i="59"/>
  <c r="B24" i="58"/>
  <c r="B25" i="16"/>
  <c r="B25" i="19"/>
  <c r="B25" i="17"/>
  <c r="B25" i="18"/>
  <c r="B25" i="14"/>
  <c r="B25" i="98"/>
  <c r="B25" i="97"/>
  <c r="B25" i="96"/>
  <c r="B25" i="95"/>
  <c r="B25" i="94"/>
  <c r="B25" i="93"/>
  <c r="B25" i="92"/>
  <c r="B25" i="91"/>
  <c r="B25" i="90"/>
  <c r="B25" i="89"/>
  <c r="B25" i="88"/>
  <c r="B25" i="87"/>
  <c r="B25" i="86"/>
  <c r="B25" i="85"/>
  <c r="B25" i="84"/>
  <c r="B25" i="83"/>
  <c r="B25" i="82"/>
  <c r="B25" i="81"/>
  <c r="B25" i="80"/>
  <c r="B25" i="78"/>
  <c r="B25" i="76"/>
  <c r="B25" i="75"/>
  <c r="B25" i="74"/>
  <c r="B25" i="73"/>
  <c r="B25" i="72"/>
  <c r="B25" i="71"/>
  <c r="B25" i="70"/>
  <c r="B25" i="69"/>
  <c r="B25" i="68"/>
  <c r="B25" i="67"/>
  <c r="B25" i="66"/>
  <c r="B25" i="65"/>
  <c r="B25" i="64"/>
  <c r="B25" i="63"/>
  <c r="B25" i="62"/>
  <c r="B25" i="61"/>
  <c r="B25" i="60"/>
  <c r="B25" i="59"/>
  <c r="B25" i="58"/>
  <c r="B6" i="16"/>
  <c r="B6" i="19"/>
  <c r="B6" i="17"/>
  <c r="B6" i="18"/>
  <c r="B6" i="14"/>
  <c r="B6" i="98"/>
  <c r="B6" i="97"/>
  <c r="B6" i="96"/>
  <c r="B6" i="95"/>
  <c r="B6" i="94"/>
  <c r="B6" i="93"/>
  <c r="B6" i="92"/>
  <c r="B6" i="91"/>
  <c r="B6" i="90"/>
  <c r="B6" i="89"/>
  <c r="B6" i="88"/>
  <c r="B6" i="87"/>
  <c r="B6" i="86"/>
  <c r="B6" i="85"/>
  <c r="B6" i="84"/>
  <c r="B6" i="83"/>
  <c r="B6" i="82"/>
  <c r="B6" i="81"/>
  <c r="B6" i="80"/>
  <c r="B6" i="78"/>
  <c r="B6" i="76"/>
  <c r="B6" i="75"/>
  <c r="B6" i="74"/>
  <c r="B6" i="73"/>
  <c r="B6" i="72"/>
  <c r="B6" i="71"/>
  <c r="B6" i="70"/>
  <c r="B6" i="69"/>
  <c r="B6" i="68"/>
  <c r="B6" i="67"/>
  <c r="B6" i="66"/>
  <c r="B6" i="65"/>
  <c r="B6" i="64"/>
  <c r="B6" i="63"/>
  <c r="B6" i="62"/>
  <c r="B6" i="61"/>
  <c r="B6" i="59"/>
  <c r="B6" i="60"/>
  <c r="B6" i="58"/>
  <c r="B7" i="16"/>
  <c r="B7" i="19"/>
  <c r="B7" i="17"/>
  <c r="B7" i="18"/>
  <c r="B7" i="14"/>
  <c r="B7" i="98"/>
  <c r="B7" i="97"/>
  <c r="B7" i="96"/>
  <c r="B7" i="95"/>
  <c r="B7" i="94"/>
  <c r="B7" i="93"/>
  <c r="B7" i="92"/>
  <c r="A7" i="92" s="1"/>
  <c r="B7" i="91"/>
  <c r="B7" i="90"/>
  <c r="B7" i="89"/>
  <c r="B7" i="88"/>
  <c r="B7" i="87"/>
  <c r="B7" i="86"/>
  <c r="B7" i="85"/>
  <c r="B7" i="84"/>
  <c r="B7" i="83"/>
  <c r="B7" i="82"/>
  <c r="B7" i="81"/>
  <c r="B7" i="80"/>
  <c r="B7" i="78"/>
  <c r="B7" i="76"/>
  <c r="B7" i="75"/>
  <c r="B7" i="74"/>
  <c r="B7" i="73"/>
  <c r="B7" i="72"/>
  <c r="B7" i="71"/>
  <c r="B7" i="70"/>
  <c r="B7" i="69"/>
  <c r="B7" i="68"/>
  <c r="B7" i="67"/>
  <c r="B7" i="66"/>
  <c r="B7" i="65"/>
  <c r="B7" i="64"/>
  <c r="B7" i="63"/>
  <c r="B7" i="62"/>
  <c r="B7" i="61"/>
  <c r="B7" i="60"/>
  <c r="B7" i="59"/>
  <c r="B7" i="58"/>
  <c r="B22" i="16"/>
  <c r="B22" i="19"/>
  <c r="B22" i="17"/>
  <c r="B22" i="18"/>
  <c r="B22" i="14"/>
  <c r="B22" i="98"/>
  <c r="B22" i="97"/>
  <c r="B22" i="96"/>
  <c r="B22" i="95"/>
  <c r="B22" i="94"/>
  <c r="B22" i="93"/>
  <c r="B22" i="92"/>
  <c r="B22" i="91"/>
  <c r="B22" i="90"/>
  <c r="B22" i="89"/>
  <c r="B22" i="88"/>
  <c r="B22" i="87"/>
  <c r="B22" i="86"/>
  <c r="B22" i="85"/>
  <c r="B22" i="84"/>
  <c r="B22" i="83"/>
  <c r="B22" i="82"/>
  <c r="B22" i="81"/>
  <c r="B22" i="80"/>
  <c r="B22" i="78"/>
  <c r="B22" i="76"/>
  <c r="B22" i="75"/>
  <c r="B22" i="74"/>
  <c r="B22" i="73"/>
  <c r="B22" i="72"/>
  <c r="B22" i="71"/>
  <c r="B22" i="70"/>
  <c r="B22" i="69"/>
  <c r="B22" i="68"/>
  <c r="B22" i="67"/>
  <c r="B22" i="66"/>
  <c r="B22" i="65"/>
  <c r="B22" i="64"/>
  <c r="B22" i="63"/>
  <c r="B22" i="62"/>
  <c r="B22" i="61"/>
  <c r="B22" i="60"/>
  <c r="B22" i="58"/>
  <c r="B22" i="59"/>
  <c r="B23" i="16"/>
  <c r="B23" i="19"/>
  <c r="B23" i="17"/>
  <c r="B23" i="18"/>
  <c r="B23" i="14"/>
  <c r="B23" i="98"/>
  <c r="B23" i="97"/>
  <c r="B23" i="96"/>
  <c r="B23" i="95"/>
  <c r="B23" i="94"/>
  <c r="B23" i="93"/>
  <c r="B23" i="92"/>
  <c r="B23" i="91"/>
  <c r="B23" i="90"/>
  <c r="B23" i="89"/>
  <c r="B23" i="88"/>
  <c r="B23" i="87"/>
  <c r="B23" i="86"/>
  <c r="B23" i="85"/>
  <c r="B23" i="84"/>
  <c r="B23" i="83"/>
  <c r="B23" i="82"/>
  <c r="B23" i="81"/>
  <c r="B23" i="80"/>
  <c r="B23" i="78"/>
  <c r="B23" i="76"/>
  <c r="B23" i="75"/>
  <c r="B23" i="74"/>
  <c r="B23" i="73"/>
  <c r="B23" i="72"/>
  <c r="B23" i="71"/>
  <c r="B23" i="70"/>
  <c r="B23" i="69"/>
  <c r="B23" i="68"/>
  <c r="B23" i="67"/>
  <c r="B23" i="66"/>
  <c r="B23" i="65"/>
  <c r="B23" i="64"/>
  <c r="B23" i="63"/>
  <c r="B23" i="62"/>
  <c r="B23" i="61"/>
  <c r="B23" i="60"/>
  <c r="B23" i="59"/>
  <c r="B23" i="58"/>
  <c r="B17" i="73"/>
  <c r="B17" i="62"/>
  <c r="B17" i="59"/>
  <c r="B17" i="16"/>
  <c r="B17" i="19"/>
  <c r="B17" i="17"/>
  <c r="B17" i="18"/>
  <c r="B17" i="14"/>
  <c r="B17" i="98"/>
  <c r="B17" i="97"/>
  <c r="B17" i="96"/>
  <c r="B17" i="95"/>
  <c r="B17" i="94"/>
  <c r="B17" i="93"/>
  <c r="B17" i="92"/>
  <c r="B17" i="91"/>
  <c r="B17" i="90"/>
  <c r="B17" i="89"/>
  <c r="B17" i="88"/>
  <c r="B17" i="87"/>
  <c r="B17" i="86"/>
  <c r="B17" i="85"/>
  <c r="B17" i="84"/>
  <c r="B17" i="83"/>
  <c r="B17" i="82"/>
  <c r="B17" i="81"/>
  <c r="B17" i="80"/>
  <c r="B17" i="78"/>
  <c r="B17" i="76"/>
  <c r="B17" i="75"/>
  <c r="B17" i="74"/>
  <c r="B17" i="72"/>
  <c r="B17" i="71"/>
  <c r="B17" i="70"/>
  <c r="B17" i="69"/>
  <c r="B17" i="68"/>
  <c r="B17" i="67"/>
  <c r="B17" i="66"/>
  <c r="B17" i="65"/>
  <c r="B17" i="64"/>
  <c r="B17" i="63"/>
  <c r="B17" i="61"/>
  <c r="B17" i="60"/>
  <c r="B17" i="58"/>
  <c r="B9" i="16"/>
  <c r="B9" i="17"/>
  <c r="B9" i="14"/>
  <c r="B9" i="97"/>
  <c r="B9" i="95"/>
  <c r="B9" i="93"/>
  <c r="B9" i="91"/>
  <c r="B9" i="89"/>
  <c r="B9" i="87"/>
  <c r="B9" i="85"/>
  <c r="B9" i="83"/>
  <c r="B9" i="81"/>
  <c r="B9" i="78"/>
  <c r="B9" i="75"/>
  <c r="B9" i="73"/>
  <c r="B9" i="71"/>
  <c r="B9" i="69"/>
  <c r="B9" i="67"/>
  <c r="B9" i="65"/>
  <c r="B9" i="63"/>
  <c r="B9" i="59"/>
  <c r="B9" i="19"/>
  <c r="B9" i="18"/>
  <c r="B9" i="98"/>
  <c r="B9" i="96"/>
  <c r="B9" i="94"/>
  <c r="B9" i="92"/>
  <c r="B9" i="90"/>
  <c r="B9" i="88"/>
  <c r="B9" i="86"/>
  <c r="B9" i="84"/>
  <c r="B9" i="82"/>
  <c r="B9" i="80"/>
  <c r="B9" i="76"/>
  <c r="B9" i="74"/>
  <c r="B9" i="72"/>
  <c r="B9" i="70"/>
  <c r="B9" i="68"/>
  <c r="B9" i="66"/>
  <c r="B9" i="64"/>
  <c r="B9" i="62"/>
  <c r="B9" i="60"/>
  <c r="B9" i="58"/>
  <c r="B9" i="61"/>
  <c r="B5" i="71"/>
  <c r="B5" i="60"/>
  <c r="B5" i="58"/>
  <c r="B5" i="16"/>
  <c r="B5" i="19"/>
  <c r="B5" i="17"/>
  <c r="B5" i="18"/>
  <c r="B5" i="14"/>
  <c r="B5" i="98"/>
  <c r="B5" i="97"/>
  <c r="B5" i="96"/>
  <c r="B5" i="95"/>
  <c r="B5" i="94"/>
  <c r="B5" i="93"/>
  <c r="B5" i="92"/>
  <c r="B5" i="91"/>
  <c r="B5" i="90"/>
  <c r="B5" i="89"/>
  <c r="B5" i="88"/>
  <c r="B5" i="87"/>
  <c r="B5" i="86"/>
  <c r="B5" i="85"/>
  <c r="B5" i="84"/>
  <c r="B5" i="83"/>
  <c r="B5" i="82"/>
  <c r="B5" i="81"/>
  <c r="B5" i="80"/>
  <c r="B5" i="78"/>
  <c r="B5" i="76"/>
  <c r="B5" i="75"/>
  <c r="B5" i="74"/>
  <c r="B5" i="73"/>
  <c r="B5" i="72"/>
  <c r="B5" i="70"/>
  <c r="B5" i="69"/>
  <c r="B5" i="68"/>
  <c r="B5" i="67"/>
  <c r="B5" i="66"/>
  <c r="B5" i="65"/>
  <c r="B5" i="64"/>
  <c r="B5" i="63"/>
  <c r="B5" i="62"/>
  <c r="B5" i="61"/>
  <c r="B5" i="59"/>
  <c r="B3" i="16"/>
  <c r="B3" i="17"/>
  <c r="B3" i="14"/>
  <c r="A3" i="14" s="1"/>
  <c r="B3" i="97"/>
  <c r="A4" i="97" s="1"/>
  <c r="B3" i="95"/>
  <c r="B3" i="93"/>
  <c r="B3" i="91"/>
  <c r="B3" i="89"/>
  <c r="A3" i="89" s="1"/>
  <c r="B3" i="87"/>
  <c r="B3" i="85"/>
  <c r="B3" i="83"/>
  <c r="B3" i="81"/>
  <c r="B3" i="78"/>
  <c r="B3" i="75"/>
  <c r="B3" i="73"/>
  <c r="B3" i="71"/>
  <c r="B3" i="69"/>
  <c r="B3" i="67"/>
  <c r="B3" i="65"/>
  <c r="B3" i="63"/>
  <c r="B3" i="61"/>
  <c r="B3" i="19"/>
  <c r="A3" i="19" s="1"/>
  <c r="B3" i="18"/>
  <c r="B3" i="98"/>
  <c r="A3" i="98" s="1"/>
  <c r="B3" i="96"/>
  <c r="A5" i="96" s="1"/>
  <c r="B3" i="94"/>
  <c r="A5" i="94" s="1"/>
  <c r="B3" i="92"/>
  <c r="B3" i="90"/>
  <c r="A4" i="90" s="1"/>
  <c r="B3" i="88"/>
  <c r="B3" i="86"/>
  <c r="B3" i="84"/>
  <c r="B3" i="82"/>
  <c r="B3" i="80"/>
  <c r="B3" i="76"/>
  <c r="B3" i="74"/>
  <c r="B3" i="72"/>
  <c r="B3" i="70"/>
  <c r="B3" i="68"/>
  <c r="B3" i="66"/>
  <c r="B3" i="64"/>
  <c r="B3" i="62"/>
  <c r="B3" i="60"/>
  <c r="B3" i="58"/>
  <c r="B3" i="59"/>
  <c r="B31" i="3"/>
  <c r="G2" i="27" s="1"/>
  <c r="C2" i="27"/>
  <c r="A3" i="92"/>
  <c r="A5" i="92"/>
  <c r="A3" i="95"/>
  <c r="A3" i="93"/>
  <c r="A5" i="93"/>
  <c r="A4" i="93"/>
  <c r="A3" i="96"/>
  <c r="A4" i="96"/>
  <c r="A7" i="96"/>
  <c r="A3" i="18"/>
  <c r="A3" i="17"/>
  <c r="A3" i="16"/>
  <c r="A3" i="97" l="1"/>
  <c r="A5" i="91"/>
  <c r="A6" i="89"/>
  <c r="A4" i="92"/>
  <c r="A4" i="89"/>
  <c r="A10" i="128"/>
  <c r="A10" i="96"/>
  <c r="A11" i="114"/>
  <c r="A6" i="95"/>
  <c r="A23" i="126"/>
  <c r="A15" i="126"/>
  <c r="A13" i="129"/>
  <c r="A14" i="126"/>
  <c r="A8" i="129"/>
  <c r="A25" i="129"/>
  <c r="A7" i="126"/>
  <c r="A28" i="129"/>
  <c r="A18" i="129"/>
  <c r="A21" i="129"/>
  <c r="A17" i="129"/>
  <c r="A29" i="129"/>
  <c r="A12" i="129"/>
  <c r="A16" i="126"/>
  <c r="A27" i="126"/>
  <c r="A26" i="126"/>
  <c r="A11" i="126"/>
  <c r="A9" i="129"/>
  <c r="A24" i="126"/>
  <c r="A23" i="127"/>
  <c r="A20" i="126"/>
  <c r="A22" i="129"/>
  <c r="A15" i="127"/>
  <c r="A13" i="126"/>
  <c r="A14" i="127"/>
  <c r="A8" i="127"/>
  <c r="A25" i="126"/>
  <c r="A7" i="127"/>
  <c r="A28" i="126"/>
  <c r="A18" i="126"/>
  <c r="A21" i="126"/>
  <c r="A17" i="126"/>
  <c r="A29" i="126"/>
  <c r="A12" i="126"/>
  <c r="A16" i="127"/>
  <c r="A27" i="127"/>
  <c r="A26" i="127"/>
  <c r="A11" i="127"/>
  <c r="A9" i="126"/>
  <c r="A11" i="101"/>
  <c r="A11" i="105"/>
  <c r="A11" i="109"/>
  <c r="A11" i="113"/>
  <c r="A11" i="117"/>
  <c r="A11" i="121"/>
  <c r="A24" i="127"/>
  <c r="A23" i="128"/>
  <c r="A20" i="127"/>
  <c r="A22" i="126"/>
  <c r="A15" i="128"/>
  <c r="A13" i="127"/>
  <c r="A6" i="129"/>
  <c r="A14" i="128"/>
  <c r="A8" i="128"/>
  <c r="A25" i="127"/>
  <c r="A7" i="128"/>
  <c r="A28" i="127"/>
  <c r="A18" i="127"/>
  <c r="A21" i="127"/>
  <c r="A17" i="127"/>
  <c r="A29" i="127"/>
  <c r="A12" i="127"/>
  <c r="A16" i="128"/>
  <c r="A27" i="128"/>
  <c r="A26" i="129"/>
  <c r="A11" i="128"/>
  <c r="A9" i="127"/>
  <c r="A3" i="91"/>
  <c r="A24" i="128"/>
  <c r="A19" i="129"/>
  <c r="A10" i="129"/>
  <c r="A23" i="129"/>
  <c r="A20" i="128"/>
  <c r="A22" i="127"/>
  <c r="A15" i="129"/>
  <c r="A13" i="128"/>
  <c r="A6" i="128"/>
  <c r="A14" i="129"/>
  <c r="A8" i="126"/>
  <c r="A25" i="128"/>
  <c r="A7" i="129"/>
  <c r="A28" i="128"/>
  <c r="A18" i="128"/>
  <c r="A21" i="128"/>
  <c r="A17" i="128"/>
  <c r="A29" i="128"/>
  <c r="A12" i="128"/>
  <c r="A16" i="129"/>
  <c r="A27" i="129"/>
  <c r="A26" i="128"/>
  <c r="A11" i="129"/>
  <c r="A9" i="128"/>
  <c r="A11" i="115"/>
  <c r="A17" i="99"/>
  <c r="A17" i="101"/>
  <c r="A17" i="103"/>
  <c r="A17" i="105"/>
  <c r="A17" i="107"/>
  <c r="A17" i="109"/>
  <c r="A17" i="111"/>
  <c r="A17" i="113"/>
  <c r="A17" i="115"/>
  <c r="A17" i="117"/>
  <c r="A17" i="119"/>
  <c r="A17" i="121"/>
  <c r="A17" i="124"/>
  <c r="A13" i="99"/>
  <c r="A13" i="101"/>
  <c r="A13" i="103"/>
  <c r="A13" i="105"/>
  <c r="A13" i="107"/>
  <c r="A13" i="109"/>
  <c r="A13" i="111"/>
  <c r="A13" i="113"/>
  <c r="A13" i="114"/>
  <c r="A13" i="117"/>
  <c r="A13" i="119"/>
  <c r="A13" i="121"/>
  <c r="A13" i="124"/>
  <c r="A23" i="99"/>
  <c r="A23" i="101"/>
  <c r="A23" i="103"/>
  <c r="A23" i="105"/>
  <c r="A23" i="107"/>
  <c r="A23" i="109"/>
  <c r="A23" i="111"/>
  <c r="A23" i="113"/>
  <c r="A23" i="115"/>
  <c r="A23" i="117"/>
  <c r="A23" i="119"/>
  <c r="A23" i="121"/>
  <c r="A23" i="124"/>
  <c r="A6" i="99"/>
  <c r="A6" i="101"/>
  <c r="A6" i="103"/>
  <c r="A6" i="105"/>
  <c r="A6" i="107"/>
  <c r="A6" i="109"/>
  <c r="A6" i="111"/>
  <c r="A6" i="113"/>
  <c r="A6" i="115"/>
  <c r="A6" i="117"/>
  <c r="A6" i="119"/>
  <c r="A6" i="121"/>
  <c r="A6" i="124"/>
  <c r="A9" i="99"/>
  <c r="A9" i="101"/>
  <c r="A9" i="103"/>
  <c r="A9" i="105"/>
  <c r="A9" i="107"/>
  <c r="A9" i="109"/>
  <c r="A9" i="111"/>
  <c r="A9" i="113"/>
  <c r="A9" i="114"/>
  <c r="A9" i="117"/>
  <c r="A9" i="119"/>
  <c r="A9" i="121"/>
  <c r="A9" i="124"/>
  <c r="A14" i="99"/>
  <c r="A14" i="101"/>
  <c r="A14" i="103"/>
  <c r="A14" i="105"/>
  <c r="A14" i="107"/>
  <c r="A14" i="109"/>
  <c r="A14" i="111"/>
  <c r="A14" i="113"/>
  <c r="A14" i="115"/>
  <c r="A14" i="117"/>
  <c r="A14" i="119"/>
  <c r="A14" i="121"/>
  <c r="A14" i="124"/>
  <c r="A20" i="99"/>
  <c r="A20" i="101"/>
  <c r="A20" i="103"/>
  <c r="A20" i="105"/>
  <c r="A20" i="107"/>
  <c r="A20" i="109"/>
  <c r="A20" i="111"/>
  <c r="A20" i="113"/>
  <c r="A20" i="115"/>
  <c r="A20" i="117"/>
  <c r="A20" i="119"/>
  <c r="A20" i="121"/>
  <c r="A20" i="124"/>
  <c r="A8" i="99"/>
  <c r="A8" i="101"/>
  <c r="A8" i="103"/>
  <c r="A8" i="105"/>
  <c r="A8" i="107"/>
  <c r="A8" i="109"/>
  <c r="A8" i="111"/>
  <c r="A8" i="113"/>
  <c r="A8" i="115"/>
  <c r="A8" i="117"/>
  <c r="A8" i="119"/>
  <c r="A8" i="121"/>
  <c r="A8" i="124"/>
  <c r="A29" i="99"/>
  <c r="A29" i="101"/>
  <c r="A29" i="103"/>
  <c r="A29" i="105"/>
  <c r="A29" i="107"/>
  <c r="A29" i="109"/>
  <c r="A29" i="111"/>
  <c r="A29" i="113"/>
  <c r="A29" i="115"/>
  <c r="A29" i="117"/>
  <c r="A29" i="119"/>
  <c r="A29" i="121"/>
  <c r="A29" i="124"/>
  <c r="A25" i="99"/>
  <c r="A25" i="101"/>
  <c r="A25" i="103"/>
  <c r="A25" i="105"/>
  <c r="A25" i="107"/>
  <c r="A25" i="109"/>
  <c r="A25" i="111"/>
  <c r="A25" i="113"/>
  <c r="A25" i="115"/>
  <c r="A25" i="117"/>
  <c r="A25" i="119"/>
  <c r="A25" i="121"/>
  <c r="A17" i="100"/>
  <c r="A17" i="102"/>
  <c r="A17" i="104"/>
  <c r="A17" i="106"/>
  <c r="A17" i="108"/>
  <c r="A17" i="110"/>
  <c r="A17" i="112"/>
  <c r="A17" i="114"/>
  <c r="A17" i="116"/>
  <c r="A17" i="118"/>
  <c r="A17" i="120"/>
  <c r="A17" i="122"/>
  <c r="A17" i="125"/>
  <c r="A13" i="100"/>
  <c r="A13" i="102"/>
  <c r="A13" i="104"/>
  <c r="A13" i="106"/>
  <c r="A13" i="108"/>
  <c r="A13" i="110"/>
  <c r="A13" i="112"/>
  <c r="A13" i="115"/>
  <c r="A13" i="116"/>
  <c r="A13" i="118"/>
  <c r="A13" i="120"/>
  <c r="A13" i="122"/>
  <c r="A13" i="125"/>
  <c r="A23" i="100"/>
  <c r="A23" i="102"/>
  <c r="A23" i="104"/>
  <c r="A23" i="106"/>
  <c r="A23" i="108"/>
  <c r="A23" i="110"/>
  <c r="A23" i="112"/>
  <c r="A23" i="114"/>
  <c r="A23" i="116"/>
  <c r="A23" i="118"/>
  <c r="A23" i="120"/>
  <c r="A23" i="122"/>
  <c r="A23" i="125"/>
  <c r="A6" i="100"/>
  <c r="A6" i="102"/>
  <c r="A6" i="104"/>
  <c r="A6" i="106"/>
  <c r="A6" i="108"/>
  <c r="A6" i="110"/>
  <c r="A6" i="112"/>
  <c r="A6" i="114"/>
  <c r="A6" i="116"/>
  <c r="A6" i="118"/>
  <c r="A6" i="120"/>
  <c r="A6" i="122"/>
  <c r="A6" i="125"/>
  <c r="A9" i="100"/>
  <c r="A9" i="102"/>
  <c r="A9" i="104"/>
  <c r="A9" i="106"/>
  <c r="A9" i="108"/>
  <c r="A9" i="110"/>
  <c r="A9" i="112"/>
  <c r="A9" i="115"/>
  <c r="A9" i="116"/>
  <c r="A9" i="118"/>
  <c r="A9" i="120"/>
  <c r="A9" i="122"/>
  <c r="A9" i="125"/>
  <c r="A14" i="100"/>
  <c r="A14" i="102"/>
  <c r="A14" i="104"/>
  <c r="A14" i="106"/>
  <c r="A14" i="108"/>
  <c r="A14" i="110"/>
  <c r="A14" i="112"/>
  <c r="A14" i="114"/>
  <c r="A14" i="116"/>
  <c r="A14" i="118"/>
  <c r="A14" i="120"/>
  <c r="A14" i="122"/>
  <c r="A14" i="125"/>
  <c r="A20" i="100"/>
  <c r="A20" i="102"/>
  <c r="A20" i="104"/>
  <c r="A20" i="106"/>
  <c r="A20" i="108"/>
  <c r="A20" i="110"/>
  <c r="A20" i="112"/>
  <c r="A20" i="114"/>
  <c r="A20" i="116"/>
  <c r="A20" i="118"/>
  <c r="A20" i="120"/>
  <c r="A20" i="122"/>
  <c r="A20" i="125"/>
  <c r="A8" i="100"/>
  <c r="A8" i="102"/>
  <c r="A8" i="104"/>
  <c r="A8" i="106"/>
  <c r="A8" i="108"/>
  <c r="A8" i="110"/>
  <c r="A8" i="112"/>
  <c r="A8" i="114"/>
  <c r="A8" i="116"/>
  <c r="A8" i="118"/>
  <c r="A8" i="120"/>
  <c r="A8" i="122"/>
  <c r="A8" i="125"/>
  <c r="A29" i="100"/>
  <c r="A29" i="102"/>
  <c r="A29" i="104"/>
  <c r="A29" i="106"/>
  <c r="A29" i="108"/>
  <c r="A29" i="110"/>
  <c r="A29" i="112"/>
  <c r="A29" i="114"/>
  <c r="A29" i="116"/>
  <c r="A29" i="118"/>
  <c r="A29" i="120"/>
  <c r="A29" i="122"/>
  <c r="A29" i="125"/>
  <c r="A25" i="100"/>
  <c r="A25" i="102"/>
  <c r="A25" i="104"/>
  <c r="A25" i="106"/>
  <c r="A25" i="108"/>
  <c r="A25" i="110"/>
  <c r="A25" i="112"/>
  <c r="A25" i="114"/>
  <c r="A25" i="116"/>
  <c r="A25" i="118"/>
  <c r="A25" i="120"/>
  <c r="A25" i="122"/>
  <c r="A25" i="125"/>
  <c r="A22" i="100"/>
  <c r="A22" i="102"/>
  <c r="A22" i="104"/>
  <c r="A22" i="106"/>
  <c r="A22" i="108"/>
  <c r="A22" i="110"/>
  <c r="A22" i="112"/>
  <c r="A22" i="114"/>
  <c r="A22" i="116"/>
  <c r="A22" i="118"/>
  <c r="A22" i="120"/>
  <c r="A25" i="124"/>
  <c r="A22" i="99"/>
  <c r="A22" i="101"/>
  <c r="A22" i="103"/>
  <c r="A22" i="105"/>
  <c r="A22" i="107"/>
  <c r="A22" i="109"/>
  <c r="A22" i="111"/>
  <c r="A22" i="113"/>
  <c r="A22" i="115"/>
  <c r="A22" i="117"/>
  <c r="A22" i="119"/>
  <c r="A22" i="121"/>
  <c r="A22" i="124"/>
  <c r="A7" i="99"/>
  <c r="A7" i="101"/>
  <c r="A7" i="103"/>
  <c r="A7" i="105"/>
  <c r="A7" i="107"/>
  <c r="A7" i="109"/>
  <c r="A7" i="111"/>
  <c r="A7" i="113"/>
  <c r="A7" i="115"/>
  <c r="A7" i="117"/>
  <c r="A7" i="119"/>
  <c r="A7" i="121"/>
  <c r="A7" i="124"/>
  <c r="A24" i="99"/>
  <c r="A24" i="101"/>
  <c r="A24" i="103"/>
  <c r="A24" i="105"/>
  <c r="A24" i="107"/>
  <c r="A24" i="109"/>
  <c r="A24" i="111"/>
  <c r="A24" i="113"/>
  <c r="A24" i="115"/>
  <c r="A24" i="117"/>
  <c r="A24" i="119"/>
  <c r="A24" i="121"/>
  <c r="A24" i="124"/>
  <c r="A28" i="99"/>
  <c r="A28" i="101"/>
  <c r="A28" i="103"/>
  <c r="A28" i="105"/>
  <c r="A28" i="107"/>
  <c r="A28" i="109"/>
  <c r="A28" i="111"/>
  <c r="A28" i="113"/>
  <c r="A28" i="115"/>
  <c r="A28" i="117"/>
  <c r="A28" i="119"/>
  <c r="A28" i="121"/>
  <c r="A28" i="124"/>
  <c r="A12" i="99"/>
  <c r="A12" i="101"/>
  <c r="A12" i="103"/>
  <c r="A12" i="105"/>
  <c r="A12" i="107"/>
  <c r="A12" i="109"/>
  <c r="A12" i="111"/>
  <c r="A12" i="113"/>
  <c r="A12" i="115"/>
  <c r="A12" i="117"/>
  <c r="A12" i="119"/>
  <c r="A12" i="121"/>
  <c r="A12" i="124"/>
  <c r="A18" i="99"/>
  <c r="A18" i="101"/>
  <c r="A18" i="103"/>
  <c r="A18" i="105"/>
  <c r="A18" i="107"/>
  <c r="A18" i="109"/>
  <c r="A18" i="111"/>
  <c r="A18" i="113"/>
  <c r="A18" i="115"/>
  <c r="A18" i="117"/>
  <c r="A18" i="119"/>
  <c r="A18" i="121"/>
  <c r="A18" i="124"/>
  <c r="A15" i="99"/>
  <c r="A15" i="101"/>
  <c r="A15" i="103"/>
  <c r="A15" i="105"/>
  <c r="A15" i="107"/>
  <c r="A15" i="109"/>
  <c r="A15" i="111"/>
  <c r="A15" i="113"/>
  <c r="A15" i="115"/>
  <c r="A15" i="117"/>
  <c r="A15" i="119"/>
  <c r="A15" i="121"/>
  <c r="A15" i="124"/>
  <c r="A16" i="99"/>
  <c r="A16" i="101"/>
  <c r="A16" i="103"/>
  <c r="A16" i="105"/>
  <c r="A16" i="107"/>
  <c r="A16" i="109"/>
  <c r="A16" i="111"/>
  <c r="A16" i="113"/>
  <c r="A16" i="115"/>
  <c r="A16" i="117"/>
  <c r="A16" i="119"/>
  <c r="A16" i="121"/>
  <c r="A16" i="124"/>
  <c r="A27" i="107"/>
  <c r="A27" i="100"/>
  <c r="A27" i="102"/>
  <c r="A27" i="104"/>
  <c r="A27" i="106"/>
  <c r="A27" i="109"/>
  <c r="A27" i="111"/>
  <c r="A27" i="113"/>
  <c r="A27" i="115"/>
  <c r="A27" i="117"/>
  <c r="A27" i="119"/>
  <c r="A27" i="121"/>
  <c r="A27" i="124"/>
  <c r="A21" i="99"/>
  <c r="A21" i="101"/>
  <c r="A21" i="103"/>
  <c r="A21" i="105"/>
  <c r="A21" i="107"/>
  <c r="A21" i="109"/>
  <c r="A21" i="111"/>
  <c r="A21" i="113"/>
  <c r="A21" i="115"/>
  <c r="A21" i="117"/>
  <c r="A21" i="119"/>
  <c r="A21" i="121"/>
  <c r="A21" i="124"/>
  <c r="A19" i="99"/>
  <c r="A19" i="101"/>
  <c r="A19" i="103"/>
  <c r="A19" i="105"/>
  <c r="A19" i="107"/>
  <c r="A19" i="109"/>
  <c r="A19" i="111"/>
  <c r="A19" i="113"/>
  <c r="A19" i="114"/>
  <c r="A19" i="117"/>
  <c r="A19" i="119"/>
  <c r="A19" i="121"/>
  <c r="A19" i="124"/>
  <c r="A26" i="99"/>
  <c r="A26" i="101"/>
  <c r="A26" i="103"/>
  <c r="A26" i="105"/>
  <c r="A26" i="107"/>
  <c r="A26" i="109"/>
  <c r="A26" i="111"/>
  <c r="A26" i="113"/>
  <c r="A26" i="115"/>
  <c r="A26" i="117"/>
  <c r="A26" i="119"/>
  <c r="A26" i="121"/>
  <c r="A26" i="124"/>
  <c r="A10" i="99"/>
  <c r="A10" i="101"/>
  <c r="A10" i="103"/>
  <c r="A10" i="105"/>
  <c r="A10" i="107"/>
  <c r="A10" i="109"/>
  <c r="A10" i="111"/>
  <c r="A10" i="113"/>
  <c r="A10" i="115"/>
  <c r="A10" i="117"/>
  <c r="A10" i="119"/>
  <c r="A10" i="121"/>
  <c r="A10" i="124"/>
  <c r="A22" i="122"/>
  <c r="A22" i="125"/>
  <c r="A7" i="100"/>
  <c r="A7" i="102"/>
  <c r="A7" i="104"/>
  <c r="A7" i="106"/>
  <c r="A7" i="108"/>
  <c r="A7" i="110"/>
  <c r="A7" i="112"/>
  <c r="A7" i="114"/>
  <c r="A7" i="116"/>
  <c r="A7" i="118"/>
  <c r="A7" i="120"/>
  <c r="A7" i="122"/>
  <c r="A7" i="125"/>
  <c r="A24" i="100"/>
  <c r="A24" i="102"/>
  <c r="A24" i="104"/>
  <c r="A24" i="106"/>
  <c r="A24" i="108"/>
  <c r="A24" i="110"/>
  <c r="A24" i="112"/>
  <c r="A24" i="114"/>
  <c r="A24" i="116"/>
  <c r="A24" i="118"/>
  <c r="A24" i="120"/>
  <c r="A24" i="122"/>
  <c r="A24" i="125"/>
  <c r="A28" i="100"/>
  <c r="A28" i="102"/>
  <c r="A28" i="104"/>
  <c r="A28" i="106"/>
  <c r="A28" i="108"/>
  <c r="A28" i="110"/>
  <c r="A28" i="112"/>
  <c r="A28" i="114"/>
  <c r="A28" i="116"/>
  <c r="A28" i="118"/>
  <c r="A28" i="120"/>
  <c r="A28" i="122"/>
  <c r="A28" i="125"/>
  <c r="A12" i="100"/>
  <c r="A12" i="102"/>
  <c r="A12" i="104"/>
  <c r="A12" i="106"/>
  <c r="A12" i="108"/>
  <c r="A12" i="110"/>
  <c r="A12" i="112"/>
  <c r="A12" i="114"/>
  <c r="A12" i="116"/>
  <c r="A12" i="118"/>
  <c r="A12" i="120"/>
  <c r="A12" i="122"/>
  <c r="A12" i="125"/>
  <c r="A18" i="100"/>
  <c r="A18" i="102"/>
  <c r="A18" i="104"/>
  <c r="A18" i="106"/>
  <c r="A18" i="108"/>
  <c r="A18" i="110"/>
  <c r="A18" i="112"/>
  <c r="A18" i="114"/>
  <c r="A18" i="116"/>
  <c r="A18" i="118"/>
  <c r="A18" i="120"/>
  <c r="A18" i="122"/>
  <c r="A18" i="125"/>
  <c r="A15" i="100"/>
  <c r="A15" i="102"/>
  <c r="A15" i="104"/>
  <c r="A15" i="106"/>
  <c r="A15" i="108"/>
  <c r="A15" i="110"/>
  <c r="A15" i="112"/>
  <c r="A15" i="114"/>
  <c r="A15" i="116"/>
  <c r="A15" i="118"/>
  <c r="A15" i="120"/>
  <c r="A15" i="122"/>
  <c r="A15" i="125"/>
  <c r="A16" i="100"/>
  <c r="A16" i="102"/>
  <c r="A16" i="104"/>
  <c r="A16" i="106"/>
  <c r="A16" i="108"/>
  <c r="A16" i="110"/>
  <c r="A16" i="112"/>
  <c r="A16" i="114"/>
  <c r="A16" i="116"/>
  <c r="A16" i="118"/>
  <c r="A16" i="120"/>
  <c r="A16" i="122"/>
  <c r="A16" i="125"/>
  <c r="A27" i="99"/>
  <c r="A27" i="101"/>
  <c r="A27" i="103"/>
  <c r="A27" i="105"/>
  <c r="A27" i="108"/>
  <c r="A27" i="110"/>
  <c r="A27" i="112"/>
  <c r="A27" i="114"/>
  <c r="A27" i="116"/>
  <c r="A27" i="118"/>
  <c r="A27" i="120"/>
  <c r="A27" i="122"/>
  <c r="A27" i="125"/>
  <c r="A21" i="100"/>
  <c r="A21" i="102"/>
  <c r="A21" i="104"/>
  <c r="A21" i="106"/>
  <c r="A21" i="108"/>
  <c r="A21" i="110"/>
  <c r="A21" i="112"/>
  <c r="A21" i="114"/>
  <c r="A21" i="116"/>
  <c r="A21" i="118"/>
  <c r="A21" i="120"/>
  <c r="A21" i="122"/>
  <c r="A21" i="125"/>
  <c r="A19" i="100"/>
  <c r="A19" i="102"/>
  <c r="A19" i="104"/>
  <c r="A19" i="106"/>
  <c r="A19" i="108"/>
  <c r="A19" i="110"/>
  <c r="A19" i="112"/>
  <c r="A19" i="115"/>
  <c r="A19" i="116"/>
  <c r="A19" i="118"/>
  <c r="A19" i="120"/>
  <c r="A19" i="122"/>
  <c r="A19" i="125"/>
  <c r="A26" i="100"/>
  <c r="A26" i="102"/>
  <c r="A26" i="104"/>
  <c r="A26" i="106"/>
  <c r="A26" i="108"/>
  <c r="A26" i="110"/>
  <c r="A26" i="112"/>
  <c r="A26" i="114"/>
  <c r="A26" i="116"/>
  <c r="A26" i="118"/>
  <c r="A26" i="120"/>
  <c r="A26" i="122"/>
  <c r="A26" i="125"/>
  <c r="A10" i="100"/>
  <c r="A10" i="102"/>
  <c r="A10" i="104"/>
  <c r="A10" i="106"/>
  <c r="A10" i="108"/>
  <c r="A10" i="110"/>
  <c r="A10" i="112"/>
  <c r="A10" i="114"/>
  <c r="A10" i="116"/>
  <c r="A10" i="118"/>
  <c r="A10" i="120"/>
  <c r="A10" i="122"/>
  <c r="A10" i="125"/>
  <c r="A5" i="89"/>
  <c r="A6" i="93"/>
  <c r="A5" i="97"/>
  <c r="A9" i="92"/>
  <c r="A7" i="89"/>
  <c r="A14" i="92"/>
  <c r="A6" i="96"/>
  <c r="A11" i="96"/>
  <c r="A13" i="96"/>
  <c r="A8" i="93"/>
  <c r="A13" i="93"/>
  <c r="A12" i="91"/>
  <c r="A12" i="89"/>
  <c r="A4" i="95"/>
  <c r="A8" i="92"/>
  <c r="A3" i="90"/>
  <c r="A4" i="94"/>
  <c r="A7" i="98"/>
  <c r="A3" i="94"/>
  <c r="A13" i="95"/>
  <c r="A5" i="95"/>
  <c r="A18" i="94"/>
  <c r="A6" i="94"/>
  <c r="A10" i="91"/>
  <c r="A4" i="91"/>
  <c r="A11" i="95"/>
  <c r="A14" i="98"/>
  <c r="A7" i="91"/>
  <c r="A22" i="93"/>
  <c r="A25" i="97"/>
  <c r="A20" i="94"/>
  <c r="A24" i="96"/>
  <c r="A14" i="89"/>
  <c r="A13" i="91"/>
  <c r="A7" i="93"/>
  <c r="A14" i="95"/>
  <c r="A6" i="92"/>
  <c r="A7" i="94"/>
  <c r="A13" i="98"/>
  <c r="A8" i="94"/>
  <c r="A11" i="94"/>
  <c r="A9" i="94"/>
  <c r="A9" i="91"/>
  <c r="A11" i="91"/>
  <c r="A13" i="89"/>
  <c r="A10" i="89"/>
  <c r="A11" i="89"/>
  <c r="A8" i="89"/>
  <c r="A9" i="95"/>
  <c r="A12" i="95"/>
  <c r="A15" i="92"/>
  <c r="A16" i="92"/>
  <c r="A21" i="96"/>
  <c r="A22" i="96"/>
  <c r="A5" i="98"/>
  <c r="A13" i="94"/>
  <c r="A13" i="90"/>
  <c r="A4" i="98"/>
  <c r="A17" i="97"/>
  <c r="A22" i="92"/>
  <c r="A17" i="91"/>
  <c r="A10" i="93"/>
  <c r="A9" i="97"/>
  <c r="A12" i="96"/>
  <c r="A9" i="90"/>
  <c r="A14" i="93"/>
  <c r="A26" i="89"/>
  <c r="A15" i="89"/>
  <c r="A22" i="95"/>
  <c r="A15" i="96"/>
  <c r="A16" i="96"/>
  <c r="A23" i="93"/>
  <c r="A16" i="93"/>
  <c r="A19" i="94"/>
  <c r="A14" i="94"/>
  <c r="A25" i="94"/>
  <c r="A23" i="92"/>
  <c r="A26" i="92"/>
  <c r="A28" i="90"/>
  <c r="A27" i="91"/>
  <c r="A29" i="97"/>
  <c r="A18" i="90"/>
  <c r="A23" i="96"/>
  <c r="A29" i="96"/>
  <c r="A14" i="96"/>
  <c r="A21" i="93"/>
  <c r="A26" i="94"/>
  <c r="A28" i="94"/>
  <c r="A27" i="94"/>
  <c r="A25" i="91"/>
  <c r="A18" i="91"/>
  <c r="A20" i="91"/>
  <c r="A29" i="89"/>
  <c r="A20" i="89"/>
  <c r="A25" i="95"/>
  <c r="A19" i="95"/>
  <c r="A28" i="95"/>
  <c r="A13" i="97"/>
  <c r="A21" i="97"/>
  <c r="A17" i="92"/>
  <c r="A19" i="90"/>
  <c r="A12" i="90"/>
  <c r="A25" i="90"/>
  <c r="A27" i="90"/>
  <c r="A27" i="95"/>
  <c r="A27" i="97"/>
  <c r="A20" i="95"/>
  <c r="A17" i="93"/>
  <c r="A27" i="92"/>
  <c r="A12" i="93"/>
  <c r="A14" i="90"/>
  <c r="A26" i="96"/>
  <c r="A26" i="93"/>
  <c r="A26" i="95"/>
  <c r="A16" i="91"/>
  <c r="A16" i="95"/>
  <c r="A23" i="90"/>
  <c r="A23" i="95"/>
  <c r="A23" i="91"/>
  <c r="A20" i="96"/>
  <c r="A20" i="93"/>
  <c r="A28" i="96"/>
  <c r="A28" i="93"/>
  <c r="A25" i="93"/>
  <c r="A8" i="91"/>
  <c r="A8" i="95"/>
  <c r="A22" i="91"/>
  <c r="A24" i="91"/>
  <c r="A24" i="95"/>
  <c r="A15" i="91"/>
  <c r="A10" i="95"/>
  <c r="A10" i="92"/>
  <c r="A10" i="94"/>
  <c r="A10" i="97"/>
  <c r="A18" i="92"/>
  <c r="A18" i="97"/>
  <c r="A15" i="90"/>
  <c r="A15" i="95"/>
  <c r="A11" i="92"/>
  <c r="A21" i="95"/>
  <c r="A21" i="90"/>
  <c r="A21" i="94"/>
  <c r="A29" i="95"/>
  <c r="A29" i="90"/>
  <c r="A29" i="94"/>
  <c r="A16" i="89"/>
  <c r="A6" i="90"/>
  <c r="A6" i="91"/>
  <c r="A13" i="92"/>
  <c r="A28" i="97"/>
  <c r="A19" i="89"/>
  <c r="A15" i="93"/>
  <c r="A24" i="93"/>
  <c r="A29" i="93"/>
  <c r="A17" i="94"/>
  <c r="A26" i="91"/>
  <c r="A19" i="91"/>
  <c r="A28" i="91"/>
  <c r="A21" i="89"/>
  <c r="A18" i="89"/>
  <c r="A23" i="89"/>
  <c r="A28" i="89"/>
  <c r="A17" i="95"/>
  <c r="A7" i="97"/>
  <c r="A11" i="97"/>
  <c r="A15" i="97"/>
  <c r="A19" i="97"/>
  <c r="A23" i="97"/>
  <c r="A24" i="92"/>
  <c r="A25" i="92"/>
  <c r="A11" i="90"/>
  <c r="A20" i="90"/>
  <c r="A17" i="90"/>
  <c r="A26" i="90"/>
  <c r="A10" i="90"/>
  <c r="A17" i="98"/>
  <c r="A27" i="98"/>
  <c r="A12" i="98"/>
  <c r="A26" i="98"/>
  <c r="A16" i="98"/>
  <c r="A23" i="98"/>
  <c r="A20" i="98"/>
  <c r="A28" i="98"/>
  <c r="A25" i="98"/>
  <c r="A8" i="98"/>
  <c r="A22" i="98"/>
  <c r="A24" i="98"/>
  <c r="A19" i="96"/>
  <c r="A27" i="96"/>
  <c r="A25" i="96"/>
  <c r="A17" i="96"/>
  <c r="A18" i="96"/>
  <c r="A27" i="93"/>
  <c r="A19" i="93"/>
  <c r="A11" i="93"/>
  <c r="A9" i="93"/>
  <c r="A18" i="93"/>
  <c r="A22" i="94"/>
  <c r="A12" i="94"/>
  <c r="A24" i="94"/>
  <c r="A16" i="94"/>
  <c r="A23" i="94"/>
  <c r="A15" i="94"/>
  <c r="A29" i="91"/>
  <c r="A21" i="91"/>
  <c r="A14" i="91"/>
  <c r="A25" i="89"/>
  <c r="A17" i="89"/>
  <c r="A22" i="89"/>
  <c r="A27" i="89"/>
  <c r="A9" i="89"/>
  <c r="A24" i="89"/>
  <c r="A7" i="95"/>
  <c r="A18" i="95"/>
  <c r="A6" i="97"/>
  <c r="A8" i="97"/>
  <c r="A12" i="97"/>
  <c r="A14" i="97"/>
  <c r="A16" i="97"/>
  <c r="A20" i="97"/>
  <c r="A22" i="97"/>
  <c r="A24" i="97"/>
  <c r="A26" i="97"/>
  <c r="A28" i="92"/>
  <c r="A19" i="92"/>
  <c r="A20" i="92"/>
  <c r="A12" i="92"/>
  <c r="A29" i="92"/>
  <c r="A21" i="92"/>
  <c r="A7" i="90"/>
  <c r="A24" i="90"/>
  <c r="A16" i="90"/>
  <c r="A8" i="90"/>
  <c r="A5" i="90"/>
  <c r="A22" i="90"/>
  <c r="A10" i="98"/>
  <c r="A18" i="98"/>
  <c r="A15" i="98"/>
  <c r="A11" i="98"/>
  <c r="A21" i="98"/>
  <c r="A29" i="98"/>
  <c r="A9" i="98"/>
  <c r="A6" i="98"/>
  <c r="A19" i="98"/>
  <c r="A4" i="60"/>
  <c r="A4" i="64"/>
  <c r="A4" i="68"/>
  <c r="A4" i="70"/>
  <c r="A4" i="72"/>
  <c r="A4" i="66"/>
  <c r="A4" i="85"/>
  <c r="A4" i="87"/>
  <c r="A4" i="18"/>
  <c r="A22" i="59"/>
  <c r="A22" i="63"/>
  <c r="A22" i="74"/>
  <c r="A22" i="76"/>
  <c r="A22" i="80"/>
  <c r="A22" i="82"/>
  <c r="A3" i="58"/>
  <c r="A29" i="58"/>
  <c r="A3" i="62"/>
  <c r="A29" i="62"/>
  <c r="A29" i="65"/>
  <c r="A3" i="65"/>
  <c r="A29" i="61"/>
  <c r="A3" i="61"/>
  <c r="A3" i="73"/>
  <c r="A29" i="73"/>
  <c r="A3" i="75"/>
  <c r="A29" i="75"/>
  <c r="A3" i="67"/>
  <c r="A29" i="67"/>
  <c r="A3" i="69"/>
  <c r="A29" i="69"/>
  <c r="A3" i="71"/>
  <c r="A29" i="71"/>
  <c r="A29" i="78"/>
  <c r="A3" i="78"/>
  <c r="A3" i="81"/>
  <c r="A29" i="81"/>
  <c r="A3" i="83"/>
  <c r="A29" i="83"/>
  <c r="A3" i="84"/>
  <c r="A29" i="84"/>
  <c r="A3" i="86"/>
  <c r="A29" i="86"/>
  <c r="A3" i="88"/>
  <c r="A29" i="88"/>
  <c r="A4" i="58"/>
  <c r="A4" i="62"/>
  <c r="A4" i="75"/>
  <c r="A4" i="78"/>
  <c r="A4" i="81"/>
  <c r="A4" i="83"/>
  <c r="A22" i="58"/>
  <c r="A22" i="61"/>
  <c r="A22" i="67"/>
  <c r="A22" i="69"/>
  <c r="A22" i="71"/>
  <c r="A22" i="73"/>
  <c r="A22" i="84"/>
  <c r="A22" i="86"/>
  <c r="A22" i="88"/>
  <c r="A24" i="59"/>
  <c r="A24" i="60"/>
  <c r="A24" i="62"/>
  <c r="A24" i="65"/>
  <c r="A24" i="68"/>
  <c r="A24" i="70"/>
  <c r="A24" i="72"/>
  <c r="A24" i="66"/>
  <c r="A24" i="75"/>
  <c r="A24" i="78"/>
  <c r="A24" i="81"/>
  <c r="A24" i="83"/>
  <c r="A24" i="85"/>
  <c r="A24" i="87"/>
  <c r="A26" i="59"/>
  <c r="A26" i="58"/>
  <c r="A26" i="61"/>
  <c r="A26" i="63"/>
  <c r="A26" i="67"/>
  <c r="A26" i="69"/>
  <c r="A26" i="71"/>
  <c r="A26" i="73"/>
  <c r="A26" i="74"/>
  <c r="A26" i="76"/>
  <c r="A26" i="80"/>
  <c r="A26" i="82"/>
  <c r="A26" i="84"/>
  <c r="A26" i="86"/>
  <c r="A26" i="88"/>
  <c r="A28" i="59"/>
  <c r="A28" i="60"/>
  <c r="A28" i="62"/>
  <c r="A28" i="65"/>
  <c r="A28" i="68"/>
  <c r="A28" i="70"/>
  <c r="A28" i="72"/>
  <c r="A28" i="66"/>
  <c r="A28" i="75"/>
  <c r="A28" i="78"/>
  <c r="A28" i="81"/>
  <c r="A28" i="83"/>
  <c r="A28" i="85"/>
  <c r="A28" i="87"/>
  <c r="A5" i="62"/>
  <c r="A5" i="65"/>
  <c r="A5" i="60"/>
  <c r="A5" i="59"/>
  <c r="A5" i="73"/>
  <c r="A5" i="66"/>
  <c r="A5" i="68"/>
  <c r="A5" i="70"/>
  <c r="A5" i="72"/>
  <c r="A5" i="80"/>
  <c r="A5" i="82"/>
  <c r="A5" i="75"/>
  <c r="A5" i="83"/>
  <c r="A5" i="86"/>
  <c r="A5" i="88"/>
  <c r="A6" i="65"/>
  <c r="A6" i="59"/>
  <c r="A6" i="61"/>
  <c r="A6" i="63"/>
  <c r="A6" i="68"/>
  <c r="A6" i="70"/>
  <c r="A6" i="72"/>
  <c r="A6" i="66"/>
  <c r="A6" i="75"/>
  <c r="A6" i="78"/>
  <c r="A6" i="81"/>
  <c r="A6" i="83"/>
  <c r="A6" i="85"/>
  <c r="A6" i="87"/>
  <c r="A7" i="60"/>
  <c r="A7" i="62"/>
  <c r="A7" i="65"/>
  <c r="A7" i="59"/>
  <c r="A7" i="73"/>
  <c r="A7" i="66"/>
  <c r="A7" i="68"/>
  <c r="A7" i="70"/>
  <c r="A7" i="72"/>
  <c r="A7" i="80"/>
  <c r="A7" i="82"/>
  <c r="A7" i="75"/>
  <c r="A7" i="84"/>
  <c r="A7" i="86"/>
  <c r="A7" i="88"/>
  <c r="A8" i="58"/>
  <c r="A8" i="60"/>
  <c r="A8" i="62"/>
  <c r="A8" i="65"/>
  <c r="A8" i="68"/>
  <c r="A8" i="70"/>
  <c r="A8" i="72"/>
  <c r="A8" i="66"/>
  <c r="A8" i="75"/>
  <c r="A8" i="78"/>
  <c r="A8" i="81"/>
  <c r="A8" i="83"/>
  <c r="A8" i="85"/>
  <c r="A8" i="87"/>
  <c r="A9" i="58"/>
  <c r="A9" i="62"/>
  <c r="A9" i="60"/>
  <c r="A9" i="64"/>
  <c r="A9" i="73"/>
  <c r="A9" i="66"/>
  <c r="A9" i="68"/>
  <c r="A9" i="70"/>
  <c r="A9" i="72"/>
  <c r="A9" i="80"/>
  <c r="A9" i="82"/>
  <c r="A9" i="76"/>
  <c r="A9" i="84"/>
  <c r="A9" i="86"/>
  <c r="A9" i="88"/>
  <c r="A10" i="58"/>
  <c r="A10" i="60"/>
  <c r="A10" i="62"/>
  <c r="A10" i="65"/>
  <c r="A10" i="68"/>
  <c r="A10" i="70"/>
  <c r="A10" i="72"/>
  <c r="A10" i="66"/>
  <c r="A10" i="75"/>
  <c r="A10" i="78"/>
  <c r="A10" i="81"/>
  <c r="A10" i="83"/>
  <c r="A10" i="85"/>
  <c r="A10" i="87"/>
  <c r="A11" i="60"/>
  <c r="A11" i="62"/>
  <c r="A11" i="58"/>
  <c r="A11" i="64"/>
  <c r="A11" i="73"/>
  <c r="A11" i="66"/>
  <c r="A11" i="68"/>
  <c r="A11" i="70"/>
  <c r="A11" i="72"/>
  <c r="A11" i="80"/>
  <c r="A11" i="82"/>
  <c r="A11" i="75"/>
  <c r="A11" i="84"/>
  <c r="A11" i="86"/>
  <c r="A11" i="88"/>
  <c r="A12" i="59"/>
  <c r="A12" i="60"/>
  <c r="A12" i="62"/>
  <c r="A12" i="65"/>
  <c r="A12" i="68"/>
  <c r="A12" i="70"/>
  <c r="A12" i="72"/>
  <c r="A12" i="66"/>
  <c r="A12" i="75"/>
  <c r="A12" i="78"/>
  <c r="A12" i="81"/>
  <c r="A12" i="83"/>
  <c r="A12" i="85"/>
  <c r="A12" i="87"/>
  <c r="A13" i="58"/>
  <c r="A13" i="62"/>
  <c r="A13" i="60"/>
  <c r="A13" i="64"/>
  <c r="A3" i="60"/>
  <c r="A29" i="60"/>
  <c r="A3" i="63"/>
  <c r="A29" i="63"/>
  <c r="A29" i="59"/>
  <c r="A3" i="59"/>
  <c r="A29" i="64"/>
  <c r="A3" i="64"/>
  <c r="A3" i="74"/>
  <c r="A29" i="74"/>
  <c r="A3" i="66"/>
  <c r="A29" i="66"/>
  <c r="A3" i="68"/>
  <c r="A29" i="68"/>
  <c r="A3" i="70"/>
  <c r="A29" i="70"/>
  <c r="A3" i="72"/>
  <c r="A29" i="72"/>
  <c r="A3" i="80"/>
  <c r="A29" i="80"/>
  <c r="A3" i="82"/>
  <c r="A29" i="82"/>
  <c r="A3" i="76"/>
  <c r="A29" i="76"/>
  <c r="A29" i="85"/>
  <c r="A3" i="85"/>
  <c r="A3" i="87"/>
  <c r="A29" i="87"/>
  <c r="A4" i="65"/>
  <c r="A4" i="59"/>
  <c r="A4" i="61"/>
  <c r="A4" i="63"/>
  <c r="A4" i="67"/>
  <c r="A4" i="69"/>
  <c r="A4" i="71"/>
  <c r="A4" i="73"/>
  <c r="A4" i="74"/>
  <c r="A4" i="76"/>
  <c r="A4" i="80"/>
  <c r="A4" i="82"/>
  <c r="A4" i="84"/>
  <c r="A4" i="86"/>
  <c r="A4" i="88"/>
  <c r="A22" i="64"/>
  <c r="A22" i="60"/>
  <c r="A22" i="62"/>
  <c r="A22" i="65"/>
  <c r="A22" i="68"/>
  <c r="A22" i="70"/>
  <c r="A22" i="72"/>
  <c r="A22" i="66"/>
  <c r="A22" i="75"/>
  <c r="A22" i="78"/>
  <c r="A22" i="81"/>
  <c r="A22" i="83"/>
  <c r="A22" i="85"/>
  <c r="A22" i="87"/>
  <c r="A24" i="64"/>
  <c r="A24" i="58"/>
  <c r="A24" i="61"/>
  <c r="A24" i="63"/>
  <c r="A24" i="67"/>
  <c r="A24" i="69"/>
  <c r="A24" i="71"/>
  <c r="A24" i="73"/>
  <c r="A24" i="74"/>
  <c r="A24" i="76"/>
  <c r="A24" i="80"/>
  <c r="A24" i="82"/>
  <c r="A24" i="84"/>
  <c r="A24" i="86"/>
  <c r="A24" i="88"/>
  <c r="A26" i="64"/>
  <c r="A26" i="60"/>
  <c r="A26" i="62"/>
  <c r="A26" i="65"/>
  <c r="A26" i="68"/>
  <c r="A26" i="70"/>
  <c r="A26" i="72"/>
  <c r="A26" i="66"/>
  <c r="A26" i="75"/>
  <c r="A26" i="78"/>
  <c r="A26" i="81"/>
  <c r="A26" i="83"/>
  <c r="A26" i="85"/>
  <c r="A26" i="87"/>
  <c r="A28" i="64"/>
  <c r="A28" i="58"/>
  <c r="A28" i="61"/>
  <c r="A28" i="63"/>
  <c r="A28" i="67"/>
  <c r="A28" i="69"/>
  <c r="A28" i="71"/>
  <c r="A28" i="73"/>
  <c r="A28" i="74"/>
  <c r="A28" i="76"/>
  <c r="A28" i="80"/>
  <c r="A28" i="82"/>
  <c r="A28" i="84"/>
  <c r="A28" i="86"/>
  <c r="A28" i="88"/>
  <c r="A5" i="63"/>
  <c r="A5" i="58"/>
  <c r="A5" i="61"/>
  <c r="A5" i="64"/>
  <c r="A5" i="74"/>
  <c r="A5" i="67"/>
  <c r="A5" i="69"/>
  <c r="A5" i="71"/>
  <c r="A5" i="78"/>
  <c r="A5" i="81"/>
  <c r="A5" i="84"/>
  <c r="A5" i="76"/>
  <c r="A5" i="85"/>
  <c r="A5" i="87"/>
  <c r="A6" i="64"/>
  <c r="A6" i="58"/>
  <c r="A6" i="60"/>
  <c r="A6" i="62"/>
  <c r="A6" i="67"/>
  <c r="A6" i="69"/>
  <c r="A6" i="71"/>
  <c r="A6" i="73"/>
  <c r="A6" i="74"/>
  <c r="A6" i="76"/>
  <c r="A6" i="80"/>
  <c r="A6" i="82"/>
  <c r="A6" i="84"/>
  <c r="A6" i="86"/>
  <c r="A6" i="88"/>
  <c r="A7" i="61"/>
  <c r="A7" i="63"/>
  <c r="A7" i="58"/>
  <c r="A7" i="64"/>
  <c r="A7" i="74"/>
  <c r="A7" i="67"/>
  <c r="A7" i="69"/>
  <c r="A7" i="71"/>
  <c r="A7" i="78"/>
  <c r="A7" i="81"/>
  <c r="A7" i="83"/>
  <c r="A7" i="76"/>
  <c r="A7" i="85"/>
  <c r="A7" i="87"/>
  <c r="A8" i="64"/>
  <c r="A8" i="59"/>
  <c r="A8" i="61"/>
  <c r="A8" i="63"/>
  <c r="A8" i="67"/>
  <c r="A8" i="69"/>
  <c r="A8" i="71"/>
  <c r="A8" i="73"/>
  <c r="A8" i="74"/>
  <c r="A8" i="76"/>
  <c r="A8" i="80"/>
  <c r="A8" i="82"/>
  <c r="A8" i="84"/>
  <c r="A8" i="86"/>
  <c r="A8" i="88"/>
  <c r="A9" i="61"/>
  <c r="A9" i="63"/>
  <c r="A9" i="59"/>
  <c r="A9" i="65"/>
  <c r="A9" i="74"/>
  <c r="A9" i="67"/>
  <c r="A9" i="69"/>
  <c r="A9" i="71"/>
  <c r="A9" i="78"/>
  <c r="A9" i="81"/>
  <c r="A9" i="75"/>
  <c r="A9" i="83"/>
  <c r="A9" i="85"/>
  <c r="A9" i="87"/>
  <c r="A10" i="64"/>
  <c r="A10" i="59"/>
  <c r="A10" i="61"/>
  <c r="A10" i="63"/>
  <c r="A10" i="67"/>
  <c r="A10" i="69"/>
  <c r="A10" i="71"/>
  <c r="A10" i="73"/>
  <c r="A10" i="74"/>
  <c r="A10" i="76"/>
  <c r="A10" i="80"/>
  <c r="A10" i="82"/>
  <c r="A10" i="84"/>
  <c r="A10" i="86"/>
  <c r="A10" i="88"/>
  <c r="A11" i="61"/>
  <c r="A11" i="63"/>
  <c r="A11" i="59"/>
  <c r="A11" i="65"/>
  <c r="A11" i="74"/>
  <c r="A11" i="67"/>
  <c r="A11" i="69"/>
  <c r="A11" i="71"/>
  <c r="A11" i="78"/>
  <c r="A11" i="81"/>
  <c r="A11" i="83"/>
  <c r="A11" i="76"/>
  <c r="A11" i="85"/>
  <c r="A11" i="87"/>
  <c r="A12" i="64"/>
  <c r="A12" i="58"/>
  <c r="A12" i="61"/>
  <c r="A12" i="63"/>
  <c r="A12" i="67"/>
  <c r="A12" i="69"/>
  <c r="A12" i="71"/>
  <c r="A12" i="73"/>
  <c r="A12" i="74"/>
  <c r="A12" i="76"/>
  <c r="A12" i="80"/>
  <c r="A12" i="82"/>
  <c r="A12" i="84"/>
  <c r="A12" i="86"/>
  <c r="A12" i="88"/>
  <c r="A13" i="61"/>
  <c r="A13" i="63"/>
  <c r="A13" i="59"/>
  <c r="A13" i="65"/>
  <c r="A13" i="74"/>
  <c r="A13" i="67"/>
  <c r="A13" i="69"/>
  <c r="A13" i="71"/>
  <c r="A13" i="78"/>
  <c r="A13" i="81"/>
  <c r="A13" i="75"/>
  <c r="A13" i="83"/>
  <c r="A13" i="85"/>
  <c r="A13" i="87"/>
  <c r="A14" i="59"/>
  <c r="A13" i="73"/>
  <c r="A13" i="66"/>
  <c r="A13" i="68"/>
  <c r="A13" i="70"/>
  <c r="A13" i="72"/>
  <c r="A13" i="80"/>
  <c r="A13" i="82"/>
  <c r="A13" i="76"/>
  <c r="A13" i="84"/>
  <c r="A13" i="86"/>
  <c r="A13" i="88"/>
  <c r="A14" i="64"/>
  <c r="A14" i="60"/>
  <c r="A14" i="62"/>
  <c r="A14" i="65"/>
  <c r="A14" i="68"/>
  <c r="A14" i="70"/>
  <c r="A14" i="72"/>
  <c r="A14" i="66"/>
  <c r="A14" i="75"/>
  <c r="A14" i="78"/>
  <c r="A14" i="81"/>
  <c r="A14" i="83"/>
  <c r="A14" i="85"/>
  <c r="A14" i="87"/>
  <c r="A15" i="60"/>
  <c r="A15" i="62"/>
  <c r="A15" i="58"/>
  <c r="A15" i="64"/>
  <c r="A15" i="73"/>
  <c r="A15" i="66"/>
  <c r="A15" i="68"/>
  <c r="A15" i="70"/>
  <c r="A15" i="72"/>
  <c r="A15" i="80"/>
  <c r="A15" i="82"/>
  <c r="A15" i="75"/>
  <c r="A15" i="84"/>
  <c r="A15" i="86"/>
  <c r="A15" i="88"/>
  <c r="A16" i="59"/>
  <c r="A16" i="60"/>
  <c r="A16" i="62"/>
  <c r="A16" i="65"/>
  <c r="A16" i="68"/>
  <c r="A16" i="70"/>
  <c r="A16" i="72"/>
  <c r="A16" i="66"/>
  <c r="A16" i="75"/>
  <c r="A16" i="78"/>
  <c r="A16" i="81"/>
  <c r="A16" i="83"/>
  <c r="A16" i="85"/>
  <c r="A16" i="87"/>
  <c r="A17" i="58"/>
  <c r="A17" i="62"/>
  <c r="A17" i="60"/>
  <c r="A17" i="64"/>
  <c r="A17" i="73"/>
  <c r="A17" i="66"/>
  <c r="A17" i="68"/>
  <c r="A17" i="70"/>
  <c r="A17" i="72"/>
  <c r="A17" i="80"/>
  <c r="A17" i="82"/>
  <c r="A17" i="76"/>
  <c r="A17" i="84"/>
  <c r="A17" i="86"/>
  <c r="A17" i="88"/>
  <c r="A18" i="64"/>
  <c r="A18" i="60"/>
  <c r="A18" i="62"/>
  <c r="A18" i="65"/>
  <c r="A18" i="68"/>
  <c r="A18" i="70"/>
  <c r="A18" i="72"/>
  <c r="A18" i="66"/>
  <c r="A18" i="75"/>
  <c r="A18" i="78"/>
  <c r="A18" i="81"/>
  <c r="A18" i="83"/>
  <c r="A18" i="85"/>
  <c r="A18" i="87"/>
  <c r="A19" i="60"/>
  <c r="A19" i="62"/>
  <c r="A19" i="58"/>
  <c r="A19" i="64"/>
  <c r="A19" i="73"/>
  <c r="A19" i="66"/>
  <c r="A19" i="68"/>
  <c r="A19" i="70"/>
  <c r="A19" i="72"/>
  <c r="A19" i="80"/>
  <c r="A19" i="83"/>
  <c r="A19" i="76"/>
  <c r="A19" i="84"/>
  <c r="A19" i="86"/>
  <c r="A19" i="88"/>
  <c r="A20" i="59"/>
  <c r="A20" i="60"/>
  <c r="A20" i="62"/>
  <c r="A20" i="65"/>
  <c r="A20" i="68"/>
  <c r="A20" i="70"/>
  <c r="A20" i="72"/>
  <c r="A20" i="66"/>
  <c r="A20" i="75"/>
  <c r="A20" i="78"/>
  <c r="A20" i="81"/>
  <c r="A20" i="83"/>
  <c r="A20" i="85"/>
  <c r="A20" i="87"/>
  <c r="A21" i="61"/>
  <c r="A21" i="63"/>
  <c r="A21" i="60"/>
  <c r="A21" i="64"/>
  <c r="A21" i="73"/>
  <c r="A21" i="66"/>
  <c r="A21" i="68"/>
  <c r="A21" i="70"/>
  <c r="A21" i="72"/>
  <c r="A21" i="80"/>
  <c r="A21" i="82"/>
  <c r="A21" i="76"/>
  <c r="A21" i="84"/>
  <c r="A21" i="86"/>
  <c r="A21" i="88"/>
  <c r="A23" i="61"/>
  <c r="A23" i="63"/>
  <c r="A23" i="59"/>
  <c r="A23" i="65"/>
  <c r="A23" i="74"/>
  <c r="A23" i="67"/>
  <c r="A23" i="69"/>
  <c r="A23" i="71"/>
  <c r="A23" i="78"/>
  <c r="A23" i="81"/>
  <c r="A23" i="75"/>
  <c r="A23" i="82"/>
  <c r="A23" i="85"/>
  <c r="A23" i="87"/>
  <c r="A25" i="60"/>
  <c r="A25" i="62"/>
  <c r="A25" i="58"/>
  <c r="A25" i="64"/>
  <c r="A25" i="73"/>
  <c r="A25" i="66"/>
  <c r="A25" i="68"/>
  <c r="A25" i="70"/>
  <c r="A25" i="72"/>
  <c r="A25" i="80"/>
  <c r="A25" i="82"/>
  <c r="A25" i="76"/>
  <c r="A25" i="84"/>
  <c r="A25" i="86"/>
  <c r="A25" i="88"/>
  <c r="A27" i="61"/>
  <c r="A27" i="63"/>
  <c r="A27" i="59"/>
  <c r="A27" i="65"/>
  <c r="A27" i="74"/>
  <c r="A27" i="67"/>
  <c r="A27" i="69"/>
  <c r="A27" i="71"/>
  <c r="A27" i="78"/>
  <c r="A27" i="81"/>
  <c r="A27" i="75"/>
  <c r="A27" i="82"/>
  <c r="A27" i="85"/>
  <c r="A27" i="87"/>
  <c r="A14" i="58"/>
  <c r="A14" i="61"/>
  <c r="A14" i="63"/>
  <c r="A14" i="67"/>
  <c r="A14" i="69"/>
  <c r="A14" i="71"/>
  <c r="A14" i="73"/>
  <c r="A14" i="74"/>
  <c r="A14" i="76"/>
  <c r="A14" i="80"/>
  <c r="A14" i="82"/>
  <c r="A14" i="84"/>
  <c r="A14" i="86"/>
  <c r="A14" i="88"/>
  <c r="A15" i="61"/>
  <c r="A15" i="63"/>
  <c r="A15" i="59"/>
  <c r="A15" i="65"/>
  <c r="A15" i="74"/>
  <c r="A15" i="67"/>
  <c r="A15" i="69"/>
  <c r="A15" i="71"/>
  <c r="A15" i="78"/>
  <c r="A15" i="81"/>
  <c r="A15" i="83"/>
  <c r="A15" i="76"/>
  <c r="A15" i="85"/>
  <c r="A15" i="87"/>
  <c r="A16" i="64"/>
  <c r="A16" i="58"/>
  <c r="A16" i="61"/>
  <c r="A16" i="63"/>
  <c r="A16" i="67"/>
  <c r="A16" i="69"/>
  <c r="A16" i="71"/>
  <c r="A16" i="73"/>
  <c r="A16" i="74"/>
  <c r="A16" i="76"/>
  <c r="A16" i="80"/>
  <c r="A16" i="82"/>
  <c r="A16" i="84"/>
  <c r="A16" i="86"/>
  <c r="A16" i="88"/>
  <c r="A17" i="61"/>
  <c r="A17" i="63"/>
  <c r="A17" i="59"/>
  <c r="A17" i="65"/>
  <c r="A17" i="74"/>
  <c r="A17" i="67"/>
  <c r="A17" i="69"/>
  <c r="A17" i="71"/>
  <c r="A17" i="78"/>
  <c r="A17" i="81"/>
  <c r="A17" i="75"/>
  <c r="A17" i="83"/>
  <c r="A17" i="85"/>
  <c r="A17" i="87"/>
  <c r="A18" i="59"/>
  <c r="A18" i="58"/>
  <c r="A18" i="61"/>
  <c r="A18" i="63"/>
  <c r="A18" i="67"/>
  <c r="A18" i="69"/>
  <c r="A18" i="71"/>
  <c r="A18" i="73"/>
  <c r="A18" i="74"/>
  <c r="A18" i="76"/>
  <c r="A18" i="80"/>
  <c r="A18" i="82"/>
  <c r="A18" i="84"/>
  <c r="A18" i="86"/>
  <c r="A18" i="88"/>
  <c r="A19" i="61"/>
  <c r="A19" i="63"/>
  <c r="A19" i="59"/>
  <c r="A19" i="65"/>
  <c r="A19" i="74"/>
  <c r="A19" i="67"/>
  <c r="A19" i="69"/>
  <c r="A19" i="71"/>
  <c r="A19" i="78"/>
  <c r="A19" i="81"/>
  <c r="A19" i="75"/>
  <c r="A19" i="82"/>
  <c r="A19" i="85"/>
  <c r="A19" i="87"/>
  <c r="A20" i="64"/>
  <c r="A20" i="58"/>
  <c r="A20" i="61"/>
  <c r="A20" i="63"/>
  <c r="A20" i="67"/>
  <c r="A20" i="69"/>
  <c r="A20" i="71"/>
  <c r="A20" i="73"/>
  <c r="A20" i="74"/>
  <c r="A20" i="76"/>
  <c r="A20" i="80"/>
  <c r="A20" i="82"/>
  <c r="A20" i="84"/>
  <c r="A20" i="86"/>
  <c r="A20" i="88"/>
  <c r="A21" i="62"/>
  <c r="A21" i="58"/>
  <c r="A21" i="59"/>
  <c r="A21" i="65"/>
  <c r="A21" i="74"/>
  <c r="A21" i="67"/>
  <c r="A21" i="69"/>
  <c r="A21" i="71"/>
  <c r="A21" i="78"/>
  <c r="A21" i="81"/>
  <c r="A21" i="75"/>
  <c r="A21" i="83"/>
  <c r="A21" i="85"/>
  <c r="A21" i="87"/>
  <c r="A23" i="60"/>
  <c r="A23" i="62"/>
  <c r="A23" i="58"/>
  <c r="A23" i="64"/>
  <c r="A23" i="73"/>
  <c r="A23" i="66"/>
  <c r="A23" i="68"/>
  <c r="A23" i="70"/>
  <c r="A23" i="72"/>
  <c r="A23" i="80"/>
  <c r="A23" i="83"/>
  <c r="A23" i="76"/>
  <c r="A23" i="84"/>
  <c r="A23" i="86"/>
  <c r="A23" i="88"/>
  <c r="A25" i="61"/>
  <c r="A25" i="63"/>
  <c r="A25" i="59"/>
  <c r="A25" i="65"/>
  <c r="A25" i="74"/>
  <c r="A25" i="67"/>
  <c r="A25" i="69"/>
  <c r="A25" i="71"/>
  <c r="A25" i="78"/>
  <c r="A25" i="81"/>
  <c r="A25" i="75"/>
  <c r="A25" i="83"/>
  <c r="A25" i="85"/>
  <c r="A25" i="87"/>
  <c r="A27" i="60"/>
  <c r="A27" i="62"/>
  <c r="A27" i="58"/>
  <c r="A27" i="64"/>
  <c r="A27" i="73"/>
  <c r="A27" i="66"/>
  <c r="A27" i="68"/>
  <c r="A27" i="70"/>
  <c r="A27" i="72"/>
  <c r="A27" i="80"/>
  <c r="A27" i="83"/>
  <c r="A27" i="76"/>
  <c r="A27" i="84"/>
  <c r="A27" i="86"/>
  <c r="A27" i="88"/>
  <c r="A6" i="19"/>
  <c r="A28" i="3"/>
  <c r="A21" i="3"/>
  <c r="A28" i="14"/>
  <c r="A29" i="14"/>
  <c r="A28" i="19"/>
  <c r="A29" i="19"/>
  <c r="A28" i="18"/>
  <c r="A29" i="18"/>
  <c r="A28" i="16"/>
  <c r="A29" i="16"/>
  <c r="A28" i="17"/>
  <c r="A29" i="17"/>
  <c r="A29" i="3"/>
  <c r="A18" i="3"/>
  <c r="A9" i="3"/>
  <c r="A23" i="3"/>
  <c r="A11" i="3"/>
  <c r="A13" i="19"/>
  <c r="A6" i="14"/>
  <c r="A19" i="3"/>
  <c r="A17" i="3"/>
  <c r="A14" i="3"/>
  <c r="A13" i="3"/>
  <c r="A15" i="3"/>
  <c r="A21" i="14"/>
  <c r="A8" i="3"/>
  <c r="A12" i="3"/>
  <c r="A20" i="3"/>
  <c r="A22" i="3"/>
  <c r="A16" i="3"/>
  <c r="A5" i="3"/>
  <c r="A6" i="3"/>
  <c r="A10" i="3"/>
  <c r="A3" i="3"/>
  <c r="A24" i="3"/>
  <c r="A27" i="3"/>
  <c r="A6" i="18"/>
  <c r="A4" i="17"/>
  <c r="A4" i="16"/>
  <c r="A26" i="3"/>
  <c r="A25" i="3"/>
  <c r="A18" i="14"/>
  <c r="A13" i="16"/>
  <c r="A6" i="17"/>
  <c r="A6" i="16"/>
  <c r="A4" i="19"/>
  <c r="A4" i="14"/>
  <c r="A7" i="3"/>
  <c r="A13" i="14"/>
  <c r="A13" i="18"/>
  <c r="A13" i="17"/>
  <c r="A12" i="19"/>
  <c r="A12" i="14"/>
  <c r="A12" i="18"/>
  <c r="A4" i="3"/>
  <c r="A11" i="14"/>
  <c r="A11" i="18"/>
  <c r="A11" i="19"/>
  <c r="A25" i="14"/>
  <c r="A27" i="14"/>
  <c r="A23" i="14"/>
  <c r="A19" i="14"/>
  <c r="A12" i="17"/>
  <c r="A12" i="16"/>
  <c r="A26" i="17"/>
  <c r="A26" i="16"/>
  <c r="A11" i="16"/>
  <c r="A11" i="17"/>
  <c r="A25" i="16"/>
  <c r="A25" i="19"/>
  <c r="A15" i="14"/>
  <c r="A15" i="18"/>
  <c r="A15" i="19"/>
  <c r="A22" i="19"/>
  <c r="A22" i="18"/>
  <c r="A19" i="16"/>
  <c r="A19" i="19"/>
  <c r="A27" i="16"/>
  <c r="A27" i="19"/>
  <c r="A24" i="19"/>
  <c r="A24" i="18"/>
  <c r="A7" i="16"/>
  <c r="A7" i="17"/>
  <c r="A21" i="18"/>
  <c r="A21" i="17"/>
  <c r="A23" i="18"/>
  <c r="A23" i="17"/>
  <c r="A9" i="16"/>
  <c r="A9" i="17"/>
  <c r="A17" i="16"/>
  <c r="A17" i="17"/>
  <c r="A14" i="19"/>
  <c r="A14" i="16"/>
  <c r="A10" i="19"/>
  <c r="A10" i="14"/>
  <c r="A10" i="18"/>
  <c r="A20" i="19"/>
  <c r="A20" i="18"/>
  <c r="A8" i="17"/>
  <c r="A8" i="16"/>
  <c r="A5" i="14"/>
  <c r="A5" i="18"/>
  <c r="A5" i="19"/>
  <c r="A18" i="17"/>
  <c r="A18" i="16"/>
  <c r="A16" i="19"/>
  <c r="A16" i="16"/>
  <c r="A26" i="19"/>
  <c r="A26" i="18"/>
  <c r="A25" i="18"/>
  <c r="A25" i="17"/>
  <c r="A15" i="16"/>
  <c r="A15" i="17"/>
  <c r="A22" i="17"/>
  <c r="A22" i="16"/>
  <c r="A19" i="18"/>
  <c r="A19" i="17"/>
  <c r="A27" i="18"/>
  <c r="A27" i="17"/>
  <c r="A24" i="17"/>
  <c r="A24" i="16"/>
  <c r="A7" i="14"/>
  <c r="A7" i="18"/>
  <c r="A7" i="19"/>
  <c r="A21" i="16"/>
  <c r="A21" i="19"/>
  <c r="A23" i="16"/>
  <c r="A23" i="19"/>
  <c r="A9" i="14"/>
  <c r="A9" i="18"/>
  <c r="A9" i="19"/>
  <c r="A17" i="14"/>
  <c r="A17" i="18"/>
  <c r="A17" i="19"/>
  <c r="A14" i="17"/>
  <c r="A14" i="14"/>
  <c r="A14" i="18"/>
  <c r="A10" i="17"/>
  <c r="A10" i="16"/>
  <c r="A20" i="17"/>
  <c r="A20" i="16"/>
  <c r="A8" i="19"/>
  <c r="A8" i="14"/>
  <c r="A8" i="18"/>
  <c r="A5" i="16"/>
  <c r="A5" i="17"/>
  <c r="A18" i="19"/>
  <c r="A18" i="18"/>
  <c r="A16" i="17"/>
  <c r="A16" i="14"/>
  <c r="A16" i="18"/>
  <c r="A26" i="14"/>
  <c r="A22" i="14"/>
  <c r="A24" i="14"/>
  <c r="A20" i="14"/>
</calcChain>
</file>

<file path=xl/sharedStrings.xml><?xml version="1.0" encoding="utf-8"?>
<sst xmlns="http://schemas.openxmlformats.org/spreadsheetml/2006/main" count="654" uniqueCount="102">
  <si>
    <t>№ п/п</t>
  </si>
  <si>
    <t>Номер виборчого округу</t>
  </si>
  <si>
    <t>Прізвище, власне ім’я (усі власні імена), по батькові (за наявності) обраного депутата</t>
  </si>
  <si>
    <t>явка</t>
  </si>
  <si>
    <t>кількість прибувших депутатів</t>
  </si>
  <si>
    <t>Панченко Сергій Вікторович</t>
  </si>
  <si>
    <t>прибув</t>
  </si>
  <si>
    <t>Мелащенко Іван Іванович</t>
  </si>
  <si>
    <t>Садовий Сергій Миколайович</t>
  </si>
  <si>
    <t>відсутній</t>
  </si>
  <si>
    <t>Цопа Микола Миколайович</t>
  </si>
  <si>
    <t>Всього</t>
  </si>
  <si>
    <t>За</t>
  </si>
  <si>
    <t>Проти</t>
  </si>
  <si>
    <t>Утрим</t>
  </si>
  <si>
    <t>Саверська-Лихошва Валентина Василівна</t>
  </si>
  <si>
    <t>селищний голова</t>
  </si>
  <si>
    <t>примітка</t>
  </si>
  <si>
    <t>Регламент</t>
  </si>
  <si>
    <t>Лічильна комісія</t>
  </si>
  <si>
    <t>Секретар сесії</t>
  </si>
  <si>
    <t xml:space="preserve">Остаточний порядок денний </t>
  </si>
  <si>
    <t>за</t>
  </si>
  <si>
    <t>проти</t>
  </si>
  <si>
    <t>утрималися</t>
  </si>
  <si>
    <t>результат</t>
  </si>
  <si>
    <t>Питання порядку денного</t>
  </si>
  <si>
    <t>не голосували</t>
  </si>
  <si>
    <t>Коваленко Марина Петрівна</t>
  </si>
  <si>
    <t>Нагнойний Микола Олексійович</t>
  </si>
  <si>
    <t>Андрієнко Андрій Іванович</t>
  </si>
  <si>
    <t xml:space="preserve">Небрат Володимир Гнатович </t>
  </si>
  <si>
    <t>Лущик Любов Олександрівна</t>
  </si>
  <si>
    <t>Чаленко Валерій Миколайович</t>
  </si>
  <si>
    <t>Борщ Яна Петрівна</t>
  </si>
  <si>
    <t>Прищенко Тетяна Іванівна</t>
  </si>
  <si>
    <t>Сміловець Віталій Володимирович</t>
  </si>
  <si>
    <t>Шашлова Тамара Вікторівна</t>
  </si>
  <si>
    <t>Гайдай Микола Васильович</t>
  </si>
  <si>
    <t>Пальоха Тетяна Петрівна</t>
  </si>
  <si>
    <t>Матухно Іван Григорович</t>
  </si>
  <si>
    <t>Гармаш Віктор Іванович</t>
  </si>
  <si>
    <t>Борсук Юрій Миколайович</t>
  </si>
  <si>
    <t>Рибальченко Максим Володимирович</t>
  </si>
  <si>
    <t>Макух Богдан Володимирович</t>
  </si>
  <si>
    <t>Небрат Василь Іванович</t>
  </si>
  <si>
    <t>Бойко Валентина Дмитрівна</t>
  </si>
  <si>
    <t>Костін Андрій Анатолійович</t>
  </si>
  <si>
    <t>Холявінська Олена Миколаївна</t>
  </si>
  <si>
    <t>Неліпа Віталій Михайлович</t>
  </si>
  <si>
    <t>№ рішення</t>
  </si>
  <si>
    <t>Про затвердження проектів землеустрою щодо відведення земельних ділянок та передачу їх у власність</t>
  </si>
  <si>
    <t>Про затвердження технічних документацій із землеустрою щодо встановлення (відновлення) меж земельних ділянок в натурі (на місцевості)  Ткачова, Сідько, Ломака</t>
  </si>
  <si>
    <t>Про надання дозволів на розроблення технічних документацій із землеустрою щодо встановлення (відновлення) меж земельних ділянок в натурі (на місцевості) Степурко, Засоба, Кочерга</t>
  </si>
  <si>
    <t>Про надання дозволів на розроблення проектів землеустрою щодо відведення земельних ділянок (Литвиненко, Лісовські)</t>
  </si>
  <si>
    <t>Про припинення права користування земельною ділянкою</t>
  </si>
  <si>
    <t>Про надання дозволу на розроблення проекту землеустрою щодо відведення земельної ділянки (Лісовський)</t>
  </si>
  <si>
    <t>Про надання дозволу на розроблення проекту землеустрою щодо відведення земельної ділянки (Балаба)</t>
  </si>
  <si>
    <t>Про надання дозволу на розроблення проекту землеустрою щодо відведення земельної ділянки (Науменко)</t>
  </si>
  <si>
    <t>Про надання дозволу на розроблення проекту землеустрою щодо відведення земельної ділянки (Онищенко)</t>
  </si>
  <si>
    <t>Про надання дозволу на розроблення проекту землеустрою щодо відведення земельної ділянки (Деревко)</t>
  </si>
  <si>
    <t>Про надання дозволу на розроблення проекту землеустрою щодо відведення земельної ділянки (Шавро)</t>
  </si>
  <si>
    <t>Про надання дозволу на розроблення проекту землеустрою щодо відведення земельної ділянки (Дончак)</t>
  </si>
  <si>
    <t>Про надання дозволу на розроблення проекту землеустрою щодо відведення земельної ділянки (Стоян)</t>
  </si>
  <si>
    <t>Про надання дозволу на розроблення проекту землеустрою щодо відведення земельної ділянки (Вюницький)</t>
  </si>
  <si>
    <t>Про надання дозволу на розроблення проекту землеустрою щодо відведення земельної ділянки (Кива)</t>
  </si>
  <si>
    <t>Про надання дозволу на розроблення проекту землеустрою щодо відведення земельної ділянки (Бобошко)</t>
  </si>
  <si>
    <t>Про надання дозволу на розроблення проекту землеустрою щодо відведення земельної ділянки (Цопа І)</t>
  </si>
  <si>
    <t>Про надання дозволу на розроблення проекту землеустрою щодо відведення земельної ділянки (Цопа)</t>
  </si>
  <si>
    <t>Про надання дозволів на розроблення проектів землеустрою щодо відведення земельних ділянок (Небрат, Міщук, Міщук)</t>
  </si>
  <si>
    <t>Про поновлення договору оренди на земельну ділянку (Гайдай)</t>
  </si>
  <si>
    <t>Про поновлення договору оренди на земельну ділянку (Капко)</t>
  </si>
  <si>
    <t>Про поновлення договору оренди на земельну ділянку (Рокочий)</t>
  </si>
  <si>
    <t>Про розірвання договору оренди на земельну ділянку та передачу її в оренду (Доля)</t>
  </si>
  <si>
    <t>Про надання дозволу на розроблення технічної документації із землеустрою щодо поділу земельної ділянки комунальної власності (Матухно)</t>
  </si>
  <si>
    <t>Про надання дозволу на розроблення технічної документації із землеустрою щодо поділу земельної ділянки комунальної власності (Мрія)</t>
  </si>
  <si>
    <t>Про проведення земельних торгів у формі аукціону</t>
  </si>
  <si>
    <t>Про надання дозволу на розроблення технічної документації із землеустрою щодо поділу земельної ділянки</t>
  </si>
  <si>
    <t>Про внесення змін до договорів оренди земельних ділянок</t>
  </si>
  <si>
    <t>Про внесення змін до діючих договорів оренди земельних ділянок (Однолько, Дружба нова)</t>
  </si>
  <si>
    <t>Про внесення змін в право користування земельною ділянкою</t>
  </si>
  <si>
    <t>Про дозвіл на оформлення права постійного користування земельною ділянкою (Господар)</t>
  </si>
  <si>
    <t>Про звіт про виконання  селищного бюджету  за  2018 рік</t>
  </si>
  <si>
    <t>Про затвердження цільової Програми підвищення рівня безпеки дорожнього руху в населених пунктах Варвинської селищної ради на 2019-2020 роки</t>
  </si>
  <si>
    <t>Про виконання Програми благоустрою Варвинської селищної ради за  2018 рік</t>
  </si>
  <si>
    <t>Про  звіт директора КП «Господар» про підсумки роботи підприємства за 2018 рік</t>
  </si>
  <si>
    <t>Про передачу основних засобів до статутного капіталу КП «Господар»</t>
  </si>
  <si>
    <t>Про скасування державної реєстрації статуту територіальної громади селища Варва</t>
  </si>
  <si>
    <t>Про внесення змін до Плану (Програми)  соціально – економічного та культурного розвитку  Варвинської селищної  ради на 2019 рік</t>
  </si>
  <si>
    <t>Про звіт про діяльність у сфері охорони навколишнього природного середовища</t>
  </si>
  <si>
    <t>Про затвердження Програми  поводження з побутовими відходами на території Варвинської селищної ради на 2019-2020 роки</t>
  </si>
  <si>
    <t>Про внесення змін до рішення Варвинської селищної ради від 18 серпня 2016 року № 4-17/16</t>
  </si>
  <si>
    <t>Про затвердження акту приймання-передачі</t>
  </si>
  <si>
    <t>Про внесення змін до рішення Варвинської селищної ради від 20.09.2018 № 22-15/18отг</t>
  </si>
  <si>
    <t>Про затвердження Положення про преміювання та надання матеріальної допомоги працівникам відділу культури Варвинської селищної ради</t>
  </si>
  <si>
    <t>Про затвердження Положення про преміювання та надання матеріальної допомоги працівникам відділу освіти, дітей, молоді та спорту Варвинської селищної ради</t>
  </si>
  <si>
    <t>Про затвердження штатного розпису Варвинської селищної ради на 2019 рік в новій редакції</t>
  </si>
  <si>
    <t>Про внесення змін до структури апарату Варвинської селищної ради та інших виконавчих органів селищної ради</t>
  </si>
  <si>
    <t>Про внесення змін до рішення двадцять другої сесії сьомого скликання селищної ради від 20 грудня 2018 року  № 9-22/18отг «Про селищний бюджет  Варвинської селищної об`єднаної територіальної громади на 2019 рік»</t>
  </si>
  <si>
    <t>Про надання кімнати</t>
  </si>
  <si>
    <t>Про внесення змін до Плану діяльності з підготовки проектів регуляторних актів на 2019 календарний рік</t>
  </si>
  <si>
    <t>знято з розгляду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</si>
</sst>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scheme val="minor"/>
    </font>
    <font>
      <b/>
      <sz val="12"/>
      <color theme="1"/>
      <name val="Times New Roman"/>
    </font>
    <font>
      <sz val="12"/>
      <color rgb="FF000000"/>
      <name val="Times New Roman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3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8" fillId="0" borderId="0" xfId="0" applyFont="1"/>
    <xf numFmtId="0" fontId="6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/>
    <xf numFmtId="0" fontId="8" fillId="0" borderId="10" xfId="0" applyFont="1" applyBorder="1"/>
    <xf numFmtId="0" fontId="13" fillId="0" borderId="9" xfId="0" applyFont="1" applyBorder="1"/>
    <xf numFmtId="0" fontId="13" fillId="0" borderId="9" xfId="0" applyFont="1" applyBorder="1"/>
    <xf numFmtId="0" fontId="8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5" xfId="0" applyFont="1" applyBorder="1" applyAlignment="1">
      <alignment vertical="center" wrapText="1"/>
    </xf>
    <xf numFmtId="0" fontId="17" fillId="0" borderId="0" xfId="0" applyFont="1"/>
    <xf numFmtId="0" fontId="16" fillId="0" borderId="0" xfId="0" applyFont="1"/>
    <xf numFmtId="0" fontId="12" fillId="0" borderId="6" xfId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5" fillId="0" borderId="1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0" xfId="1" applyAlignment="1">
      <alignment horizontal="left" vertical="top" wrapText="1"/>
    </xf>
    <xf numFmtId="0" fontId="12" fillId="0" borderId="0" xfId="1" applyAlignment="1">
      <alignment horizontal="center" wrapText="1"/>
    </xf>
    <xf numFmtId="0" fontId="12" fillId="0" borderId="0" xfId="1" applyAlignment="1">
      <alignment horizontal="left" vertical="top"/>
    </xf>
    <xf numFmtId="0" fontId="12" fillId="0" borderId="0" xfId="1" applyAlignment="1">
      <alignment horizontal="center" vertical="top" wrapText="1"/>
    </xf>
    <xf numFmtId="0" fontId="18" fillId="0" borderId="9" xfId="0" applyFont="1" applyBorder="1"/>
    <xf numFmtId="0" fontId="5" fillId="0" borderId="6" xfId="0" applyNumberFormat="1" applyFont="1" applyBorder="1"/>
    <xf numFmtId="0" fontId="19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1" fillId="0" borderId="9" xfId="0" applyFont="1" applyBorder="1"/>
    <xf numFmtId="0" fontId="21" fillId="0" borderId="10" xfId="0" applyFont="1" applyBorder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0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6;&#1110;&#1084;&#1077;&#1085;&#1085;&#1077;%20&#1075;&#1086;&#1083;&#1086;&#1089;&#1091;&#1074;&#1072;&#1085;&#1085;&#1103;%20&#1054;&#1058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вка"/>
      <sheetName val="Порядок денний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регламент"/>
      <sheetName val="лічильна комісія"/>
      <sheetName val="Секретар"/>
      <sheetName val="резерв"/>
      <sheetName val="За порядок денний"/>
      <sheetName val="дані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2:F30" totalsRowCount="1" tableBorderDxfId="1059">
  <autoFilter ref="A2:F29"/>
  <sortState ref="A3:F29">
    <sortCondition ref="F3:F29"/>
    <sortCondition descending="1" ref="D3:D29"/>
    <sortCondition ref="C3:C29"/>
  </sortState>
  <tableColumns count="6">
    <tableColumn id="1" name="№ п/п" totalsRowLabel="Всього" dataDxfId="1058" totalsRowDxfId="310">
      <calculatedColumnFormula>IF(ISBLANK(F3),"",COUNTA($F$3:F3))</calculatedColumnFormula>
    </tableColumn>
    <tableColumn id="2" name="Номер виборчого округу" dataDxfId="1057" totalsRowDxfId="309"/>
    <tableColumn id="3" name="Прізвище, власне ім’я (усі власні імена), по батькові (за наявності) обраного депутата" dataDxfId="313" totalsRowDxfId="308"/>
    <tableColumn id="4" name="явка" dataDxfId="312" totalsRowDxfId="307"/>
    <tableColumn id="6" name="кількість прибувших депутатів" totalsRowFunction="custom" dataDxfId="311" totalsRowDxfId="306">
      <calculatedColumnFormula>IF([1]!Таблица1[[#This Row],[явка]]="прибув",1,"")</calculatedColumnFormula>
      <totalsRowFormula>SUBTOTAL(109,[1]!Таблица1[кількість прибувших депутатів])-1</totalsRowFormula>
    </tableColumn>
    <tableColumn id="7" name="примітк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Таблица24567891011" displayName="Таблица24567891011" ref="A2:F30" totalsRowCount="1" headerRowDxfId="992" dataDxfId="991">
  <autoFilter ref="A2:F29"/>
  <sortState ref="A3:G28">
    <sortCondition descending="1" ref="B1:B27"/>
  </sortState>
  <tableColumns count="6">
    <tableColumn id="1" name="№ п/п" totalsRowLabel="Всього" dataDxfId="990" totalsRowDxfId="1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89" totalsRowDxfId="1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88" totalsRowDxfId="9"/>
    <tableColumn id="4" name="Проти" totalsRowFunction="sum" dataDxfId="987" totalsRowDxfId="8"/>
    <tableColumn id="5" name="Утрим" totalsRowFunction="sum" dataDxfId="986" totalsRowDxfId="7"/>
    <tableColumn id="6" name="не голосували" totalsRowFunction="sum" dataDxfId="985" totalsRowDxfId="6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16" name="Таблица2456789101117" displayName="Таблица2456789101117" ref="A2:F30" totalsRowCount="1" headerRowDxfId="984" dataDxfId="983">
  <autoFilter ref="A2:F29"/>
  <sortState ref="A3:G28">
    <sortCondition descending="1" ref="B1:B27"/>
  </sortState>
  <tableColumns count="6">
    <tableColumn id="1" name="№ п/п" totalsRowLabel="Всього" dataDxfId="982" totalsRowDxfId="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81" totalsRowDxfId="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80" totalsRowDxfId="3"/>
    <tableColumn id="4" name="Проти" totalsRowFunction="sum" dataDxfId="979" totalsRowDxfId="2"/>
    <tableColumn id="5" name="Утрим" totalsRowFunction="sum" dataDxfId="978" totalsRowDxfId="1"/>
    <tableColumn id="6" name="не голосували" totalsRowFunction="sum" dataDxfId="977" totalsRowDxfId="0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id="17" name="Таблица245678910111718" displayName="Таблица245678910111718" ref="A2:F30" totalsRowCount="1" headerRowDxfId="976" dataDxfId="975">
  <autoFilter ref="A2:F29"/>
  <sortState ref="A3:G28">
    <sortCondition descending="1" ref="B1:B27"/>
  </sortState>
  <tableColumns count="6">
    <tableColumn id="1" name="№ п/п" totalsRowLabel="Всього" dataDxfId="974" totalsRowDxfId="29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73" totalsRowDxfId="29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72" totalsRowDxfId="291"/>
    <tableColumn id="4" name="Проти" totalsRowFunction="sum" dataDxfId="971" totalsRowDxfId="290"/>
    <tableColumn id="5" name="Утрим" totalsRowFunction="sum" dataDxfId="970" totalsRowDxfId="289"/>
    <tableColumn id="6" name="не голосували" totalsRowFunction="sum" dataDxfId="969" totalsRowDxfId="288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id="18" name="Таблица24567891011171819" displayName="Таблица24567891011171819" ref="A2:F30" totalsRowCount="1" headerRowDxfId="968" dataDxfId="967">
  <autoFilter ref="A2:F29"/>
  <sortState ref="A3:G28">
    <sortCondition descending="1" ref="B1:B27"/>
  </sortState>
  <tableColumns count="6">
    <tableColumn id="1" name="№ п/п" totalsRowLabel="Всього" dataDxfId="966" totalsRowDxfId="28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65" totalsRowDxfId="28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64" totalsRowDxfId="285"/>
    <tableColumn id="4" name="Проти" totalsRowFunction="sum" dataDxfId="963" totalsRowDxfId="284"/>
    <tableColumn id="5" name="Утрим" totalsRowFunction="sum" dataDxfId="962" totalsRowDxfId="283"/>
    <tableColumn id="6" name="не голосували" totalsRowFunction="sum" dataDxfId="961" totalsRowDxfId="282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id="19" name="Таблица2456789101117181920" displayName="Таблица2456789101117181920" ref="A2:F30" totalsRowCount="1" headerRowDxfId="960" dataDxfId="959">
  <autoFilter ref="A2:F29"/>
  <sortState ref="A3:G28">
    <sortCondition descending="1" ref="B1:B27"/>
  </sortState>
  <tableColumns count="6">
    <tableColumn id="1" name="№ п/п" totalsRowLabel="Всього" dataDxfId="958" totalsRowDxfId="28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57" totalsRowDxfId="28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56" totalsRowDxfId="279"/>
    <tableColumn id="4" name="Проти" totalsRowFunction="sum" dataDxfId="955" totalsRowDxfId="278"/>
    <tableColumn id="5" name="Утрим" totalsRowFunction="sum" dataDxfId="954" totalsRowDxfId="277"/>
    <tableColumn id="6" name="не голосували" totalsRowFunction="sum" dataDxfId="953" totalsRowDxfId="276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id="20" name="Таблица245678910111718192021" displayName="Таблица245678910111718192021" ref="A2:F30" totalsRowCount="1" headerRowDxfId="952" dataDxfId="951">
  <autoFilter ref="A2:F29"/>
  <sortState ref="A3:G28">
    <sortCondition descending="1" ref="B1:B27"/>
  </sortState>
  <tableColumns count="6">
    <tableColumn id="1" name="№ п/п" totalsRowLabel="Всього" dataDxfId="950" totalsRowDxfId="27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49" totalsRowDxfId="27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48" totalsRowDxfId="273"/>
    <tableColumn id="4" name="Проти" totalsRowFunction="sum" dataDxfId="947" totalsRowDxfId="272"/>
    <tableColumn id="5" name="Утрим" totalsRowFunction="sum" dataDxfId="946" totalsRowDxfId="271"/>
    <tableColumn id="6" name="не голосували" totalsRowFunction="sum" dataDxfId="945" totalsRowDxfId="270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id="21" name="Таблица24567891011171819202122" displayName="Таблица24567891011171819202122" ref="A2:F30" totalsRowCount="1" headerRowDxfId="944" dataDxfId="943">
  <autoFilter ref="A2:F29"/>
  <sortState ref="A3:G28">
    <sortCondition descending="1" ref="B1:B27"/>
  </sortState>
  <tableColumns count="6">
    <tableColumn id="1" name="№ п/п" totalsRowLabel="Всього" dataDxfId="942" totalsRowDxfId="26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41" totalsRowDxfId="26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40" totalsRowDxfId="267"/>
    <tableColumn id="4" name="Проти" totalsRowFunction="sum" dataDxfId="939" totalsRowDxfId="266"/>
    <tableColumn id="5" name="Утрим" totalsRowFunction="sum" dataDxfId="938" totalsRowDxfId="265"/>
    <tableColumn id="6" name="не голосували" totalsRowFunction="sum" dataDxfId="937" totalsRowDxfId="264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id="22" name="Таблица2456789101117181920212223" displayName="Таблица2456789101117181920212223" ref="A2:F30" totalsRowCount="1" headerRowDxfId="936" dataDxfId="935">
  <autoFilter ref="A2:F29"/>
  <sortState ref="A3:G28">
    <sortCondition descending="1" ref="B1:B27"/>
  </sortState>
  <tableColumns count="6">
    <tableColumn id="1" name="№ п/п" totalsRowLabel="Всього" dataDxfId="934" totalsRowDxfId="26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33" totalsRowDxfId="26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32" totalsRowDxfId="261"/>
    <tableColumn id="4" name="Проти" totalsRowFunction="sum" dataDxfId="931" totalsRowDxfId="260"/>
    <tableColumn id="5" name="Утрим" totalsRowFunction="sum" dataDxfId="930" totalsRowDxfId="259"/>
    <tableColumn id="6" name="не голосували" dataDxfId="929" totalsRowDxfId="258"/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id="23" name="Таблица245678910111718192021222324" displayName="Таблица245678910111718192021222324" ref="A2:F30" totalsRowCount="1" headerRowDxfId="928" dataDxfId="927">
  <autoFilter ref="A2:F29"/>
  <sortState ref="A3:G28">
    <sortCondition descending="1" ref="B1:B27"/>
  </sortState>
  <tableColumns count="6">
    <tableColumn id="1" name="№ п/п" totalsRowLabel="Всього" dataDxfId="926" totalsRowDxfId="25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25" totalsRowDxfId="25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24" totalsRowDxfId="255"/>
    <tableColumn id="4" name="Проти" totalsRowFunction="sum" dataDxfId="923" totalsRowDxfId="254"/>
    <tableColumn id="5" name="Утрим" totalsRowFunction="sum" dataDxfId="922" totalsRowDxfId="253"/>
    <tableColumn id="6" name="не голосували" totalsRowFunction="sum" dataDxfId="921" totalsRowDxfId="252"/>
  </tableColumns>
  <tableStyleInfo name="TableStyleLight2" showFirstColumn="0" showLastColumn="0" showRowStripes="1" showColumnStripes="0"/>
</table>
</file>

<file path=xl/tables/table19.xml><?xml version="1.0" encoding="utf-8"?>
<table xmlns="http://schemas.openxmlformats.org/spreadsheetml/2006/main" id="24" name="Таблица24567891011171819202122232425" displayName="Таблица24567891011171819202122232425" ref="A2:F30" totalsRowCount="1" headerRowDxfId="920" dataDxfId="919">
  <autoFilter ref="A2:F29"/>
  <sortState ref="A3:G28">
    <sortCondition descending="1" ref="B1:B27"/>
  </sortState>
  <tableColumns count="6">
    <tableColumn id="1" name="№ п/п" totalsRowLabel="Всього" dataDxfId="918" totalsRowDxfId="25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17" totalsRowDxfId="25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16" totalsRowDxfId="249"/>
    <tableColumn id="4" name="Проти" totalsRowFunction="sum" dataDxfId="915" totalsRowDxfId="248"/>
    <tableColumn id="5" name="Утрим" totalsRowFunction="sum" dataDxfId="914" totalsRowDxfId="247"/>
    <tableColumn id="6" name="не голосували" totalsRowFunction="sum" dataDxfId="913" totalsRowDxfId="246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F30" totalsRowCount="1" headerRowDxfId="1056" dataDxfId="1055">
  <autoFilter ref="A2:F29"/>
  <sortState ref="A2:G27">
    <sortCondition descending="1" ref="B1:B27"/>
  </sortState>
  <tableColumns count="6">
    <tableColumn id="1" name="№ п/п" totalsRowLabel="Всього" dataDxfId="1054" totalsRowDxfId="41"/>
    <tableColumn id="2" name="Прізвище, власне ім’я (усі власні імена), по батькові (за наявності) обраного депутата" dataDxfId="1053" totalsRowDxfId="4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52" totalsRowDxfId="39"/>
    <tableColumn id="4" name="Проти" totalsRowFunction="sum" dataDxfId="1051" totalsRowDxfId="38"/>
    <tableColumn id="5" name="Утрим" totalsRowFunction="sum" dataDxfId="1050" totalsRowDxfId="37"/>
    <tableColumn id="6" name="не голосували" totalsRowFunction="sum" dataDxfId="1049" totalsRowDxfId="36"/>
  </tableColumns>
  <tableStyleInfo name="TableStyleLight2" showFirstColumn="0" showLastColumn="0" showRowStripes="1" showColumnStripes="0"/>
</table>
</file>

<file path=xl/tables/table20.xml><?xml version="1.0" encoding="utf-8"?>
<table xmlns="http://schemas.openxmlformats.org/spreadsheetml/2006/main" id="25" name="Таблица2456789101117181920212223242526" displayName="Таблица2456789101117181920212223242526" ref="A2:F30" totalsRowCount="1" headerRowDxfId="912" dataDxfId="911">
  <autoFilter ref="A2:F29"/>
  <sortState ref="A3:G28">
    <sortCondition descending="1" ref="B1:B27"/>
  </sortState>
  <tableColumns count="6">
    <tableColumn id="1" name="№ п/п" totalsRowLabel="Всього" dataDxfId="910" totalsRowDxfId="24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09" totalsRowDxfId="24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08" totalsRowDxfId="243"/>
    <tableColumn id="4" name="Проти" totalsRowFunction="sum" dataDxfId="907" totalsRowDxfId="242"/>
    <tableColumn id="5" name="Утрим" totalsRowFunction="sum" dataDxfId="906" totalsRowDxfId="241"/>
    <tableColumn id="6" name="не голосували" totalsRowFunction="sum" dataDxfId="905" totalsRowDxfId="240"/>
  </tableColumns>
  <tableStyleInfo name="TableStyleLight2" showFirstColumn="0" showLastColumn="0" showRowStripes="1" showColumnStripes="0"/>
</table>
</file>

<file path=xl/tables/table21.xml><?xml version="1.0" encoding="utf-8"?>
<table xmlns="http://schemas.openxmlformats.org/spreadsheetml/2006/main" id="26" name="Таблица245678910111718192021222324252627" displayName="Таблица245678910111718192021222324252627" ref="A2:F30" totalsRowCount="1" headerRowDxfId="904" dataDxfId="903">
  <autoFilter ref="A2:F29"/>
  <sortState ref="A3:G28">
    <sortCondition descending="1" ref="B1:B27"/>
  </sortState>
  <tableColumns count="6">
    <tableColumn id="1" name="№ п/п" totalsRowLabel="Всього" dataDxfId="902" totalsRowDxfId="23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01" totalsRowDxfId="23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00" totalsRowDxfId="237"/>
    <tableColumn id="4" name="Проти" totalsRowFunction="sum" dataDxfId="899" totalsRowDxfId="236"/>
    <tableColumn id="5" name="Утрим" totalsRowFunction="sum" dataDxfId="898" totalsRowDxfId="235"/>
    <tableColumn id="6" name="не голосували" totalsRowFunction="sum" dataDxfId="897" totalsRowDxfId="234"/>
  </tableColumns>
  <tableStyleInfo name="TableStyleLight2" showFirstColumn="0" showLastColumn="0" showRowStripes="1" showColumnStripes="0"/>
</table>
</file>

<file path=xl/tables/table22.xml><?xml version="1.0" encoding="utf-8"?>
<table xmlns="http://schemas.openxmlformats.org/spreadsheetml/2006/main" id="27" name="Таблица24567891011171819202122232425262728" displayName="Таблица24567891011171819202122232425262728" ref="A2:F30" totalsRowCount="1" headerRowDxfId="896" dataDxfId="895">
  <autoFilter ref="A2:F29"/>
  <sortState ref="A3:G28">
    <sortCondition descending="1" ref="B1:B27"/>
  </sortState>
  <tableColumns count="6">
    <tableColumn id="1" name="№ п/п" totalsRowLabel="Всього" dataDxfId="894" totalsRowDxfId="23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93" totalsRowDxfId="23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92" totalsRowDxfId="231"/>
    <tableColumn id="4" name="Проти" totalsRowFunction="sum" dataDxfId="891" totalsRowDxfId="230"/>
    <tableColumn id="5" name="Утрим" totalsRowFunction="sum" dataDxfId="890" totalsRowDxfId="229"/>
    <tableColumn id="6" name="не голосували" totalsRowFunction="sum" dataDxfId="889" totalsRowDxfId="228"/>
  </tableColumns>
  <tableStyleInfo name="TableStyleLight2" showFirstColumn="0" showLastColumn="0" showRowStripes="1" showColumnStripes="0"/>
</table>
</file>

<file path=xl/tables/table23.xml><?xml version="1.0" encoding="utf-8"?>
<table xmlns="http://schemas.openxmlformats.org/spreadsheetml/2006/main" id="28" name="Таблица2456789101117181920212223242526272829" displayName="Таблица2456789101117181920212223242526272829" ref="A2:F30" totalsRowCount="1" headerRowDxfId="880" dataDxfId="879">
  <autoFilter ref="A2:F29"/>
  <sortState ref="A3:G28">
    <sortCondition descending="1" ref="B1:B27"/>
  </sortState>
  <tableColumns count="6">
    <tableColumn id="1" name="№ п/п" totalsRowLabel="Всього" dataDxfId="878" totalsRowDxfId="22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77" totalsRowDxfId="22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76" totalsRowDxfId="225"/>
    <tableColumn id="4" name="Проти" totalsRowFunction="sum" dataDxfId="875" totalsRowDxfId="224"/>
    <tableColumn id="5" name="Утрим" totalsRowFunction="sum" dataDxfId="874" totalsRowDxfId="223"/>
    <tableColumn id="6" name="не голосували" totalsRowFunction="sum" dataDxfId="873" totalsRowDxfId="222"/>
  </tableColumns>
  <tableStyleInfo name="TableStyleLight2" showFirstColumn="0" showLastColumn="0" showRowStripes="1" showColumnStripes="0"/>
</table>
</file>

<file path=xl/tables/table24.xml><?xml version="1.0" encoding="utf-8"?>
<table xmlns="http://schemas.openxmlformats.org/spreadsheetml/2006/main" id="29" name="Таблица245678910111718192021222324252627282930" displayName="Таблица245678910111718192021222324252627282930" ref="A2:F30" totalsRowCount="1" headerRowDxfId="872" dataDxfId="871">
  <autoFilter ref="A2:F29"/>
  <sortState ref="A3:G28">
    <sortCondition descending="1" ref="B1:B27"/>
  </sortState>
  <tableColumns count="6">
    <tableColumn id="1" name="№ п/п" totalsRowLabel="Всього" dataDxfId="870" totalsRowDxfId="22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69" totalsRowDxfId="22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68" totalsRowDxfId="219"/>
    <tableColumn id="4" name="Проти" totalsRowFunction="sum" dataDxfId="867" totalsRowDxfId="218"/>
    <tableColumn id="5" name="Утрим" totalsRowFunction="sum" dataDxfId="866" totalsRowDxfId="217"/>
    <tableColumn id="6" name="не голосували" totalsRowFunction="sum" dataDxfId="865" totalsRowDxfId="216"/>
  </tableColumns>
  <tableStyleInfo name="TableStyleLight2" showFirstColumn="0" showLastColumn="0" showRowStripes="1" showColumnStripes="0"/>
</table>
</file>

<file path=xl/tables/table25.xml><?xml version="1.0" encoding="utf-8"?>
<table xmlns="http://schemas.openxmlformats.org/spreadsheetml/2006/main" id="30" name="Таблица24567891011171819202122232425262728293031" displayName="Таблица24567891011171819202122232425262728293031" ref="A2:F30" totalsRowCount="1" headerRowDxfId="864" dataDxfId="863">
  <autoFilter ref="A2:F29"/>
  <sortState ref="A3:G28">
    <sortCondition descending="1" ref="B1:B27"/>
  </sortState>
  <tableColumns count="6">
    <tableColumn id="1" name="№ п/п" totalsRowLabel="Всього" dataDxfId="862" totalsRowDxfId="21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61" totalsRowDxfId="21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60" totalsRowDxfId="213"/>
    <tableColumn id="4" name="Проти" totalsRowFunction="sum" dataDxfId="859" totalsRowDxfId="212"/>
    <tableColumn id="5" name="Утрим" totalsRowFunction="sum" dataDxfId="858" totalsRowDxfId="211"/>
    <tableColumn id="6" name="не голосували" totalsRowFunction="sum" dataDxfId="857" totalsRowDxfId="210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id="31" name="Таблица2456789101117181920212223242526272829303132" displayName="Таблица2456789101117181920212223242526272829303132" ref="A2:F30" totalsRowCount="1" headerRowDxfId="856" dataDxfId="855">
  <autoFilter ref="A2:F29"/>
  <sortState ref="A3:G28">
    <sortCondition descending="1" ref="B1:B27"/>
  </sortState>
  <tableColumns count="6">
    <tableColumn id="1" name="№ п/п" totalsRowLabel="Всього" dataDxfId="854" totalsRowDxfId="20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53" totalsRowDxfId="20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52" totalsRowDxfId="207"/>
    <tableColumn id="4" name="Проти" totalsRowFunction="sum" dataDxfId="851" totalsRowDxfId="206"/>
    <tableColumn id="5" name="Утрим" totalsRowFunction="sum" dataDxfId="850" totalsRowDxfId="205"/>
    <tableColumn id="6" name="не голосували" totalsRowFunction="sum" dataDxfId="849" totalsRowDxfId="204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id="32" name="Таблица245678910111718192021222324252627282930313233" displayName="Таблица245678910111718192021222324252627282930313233" ref="A2:F30" totalsRowCount="1" headerRowDxfId="848" dataDxfId="847">
  <autoFilter ref="A2:F29"/>
  <sortState ref="A3:G28">
    <sortCondition descending="1" ref="B1:B27"/>
  </sortState>
  <tableColumns count="6">
    <tableColumn id="1" name="№ п/п" totalsRowLabel="Всього" dataDxfId="846" totalsRowDxfId="20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45" totalsRowDxfId="20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44" totalsRowDxfId="201"/>
    <tableColumn id="4" name="Проти" totalsRowFunction="sum" dataDxfId="843" totalsRowDxfId="200"/>
    <tableColumn id="5" name="Утрим" totalsRowFunction="sum" dataDxfId="842" totalsRowDxfId="199"/>
    <tableColumn id="6" name="не голосували" totalsRowFunction="sum" dataDxfId="841" totalsRowDxfId="198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id="33" name="Таблица24567891011171819202122232425262728293031323334" displayName="Таблица24567891011171819202122232425262728293031323334" ref="A2:F30" totalsRowCount="1" headerRowDxfId="888" dataDxfId="887">
  <autoFilter ref="A2:F29"/>
  <sortState ref="A3:G28">
    <sortCondition descending="1" ref="B1:B27"/>
  </sortState>
  <tableColumns count="6">
    <tableColumn id="1" name="№ п/п" totalsRowLabel="Всього" dataDxfId="886" totalsRowDxfId="19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85" totalsRowDxfId="19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84" totalsRowDxfId="195"/>
    <tableColumn id="4" name="Проти" totalsRowFunction="sum" dataDxfId="883" totalsRowDxfId="194"/>
    <tableColumn id="5" name="Утрим" totalsRowFunction="sum" dataDxfId="882" totalsRowDxfId="193"/>
    <tableColumn id="6" name="не голосували" totalsRowFunction="sum" dataDxfId="881" totalsRowDxfId="192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id="34" name="Таблица2456789101117181920212223242526272829303132333435" displayName="Таблица2456789101117181920212223242526272829303132333435" ref="A2:F30" totalsRowCount="1" headerRowDxfId="840" dataDxfId="839">
  <autoFilter ref="A2:F29"/>
  <sortState ref="A3:G28">
    <sortCondition descending="1" ref="B1:B27"/>
  </sortState>
  <tableColumns count="6">
    <tableColumn id="1" name="№ п/п" totalsRowLabel="Всього" dataDxfId="838" totalsRowDxfId="19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37" totalsRowDxfId="19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36" totalsRowDxfId="189"/>
    <tableColumn id="4" name="Проти" totalsRowFunction="sum" dataDxfId="835" totalsRowDxfId="188"/>
    <tableColumn id="5" name="Утрим" totalsRowFunction="sum" dataDxfId="834" totalsRowDxfId="187"/>
    <tableColumn id="6" name="не голосували" totalsRowFunction="sum" dataDxfId="833" totalsRowDxfId="18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Таблица24" displayName="Таблица24" ref="A2:F30" totalsRowCount="1" headerRowDxfId="1048" dataDxfId="1047">
  <autoFilter ref="A2:F29"/>
  <sortState ref="A3:G28">
    <sortCondition descending="1" ref="B1:B27"/>
  </sortState>
  <tableColumns count="6">
    <tableColumn id="1" name="№ п/п" totalsRowLabel="Всього" dataDxfId="1046" totalsRowDxfId="3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45" totalsRowDxfId="3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44" totalsRowDxfId="33"/>
    <tableColumn id="4" name="Проти" totalsRowFunction="sum" dataDxfId="1043" totalsRowDxfId="32"/>
    <tableColumn id="5" name="Утрим" totalsRowFunction="sum" dataDxfId="1042" totalsRowDxfId="31"/>
    <tableColumn id="6" name="не голосували" totalsRowFunction="sum" dataDxfId="1041" totalsRowDxfId="30"/>
  </tableColumns>
  <tableStyleInfo name="TableStyleLight2" showFirstColumn="0" showLastColumn="0" showRowStripes="1" showColumnStripes="0"/>
</table>
</file>

<file path=xl/tables/table30.xml><?xml version="1.0" encoding="utf-8"?>
<table xmlns="http://schemas.openxmlformats.org/spreadsheetml/2006/main" id="35" name="Таблица245678910111718192021222324252627282930313233343536" displayName="Таблица245678910111718192021222324252627282930313233343536" ref="A2:F30" totalsRowCount="1" headerRowDxfId="832" dataDxfId="831">
  <autoFilter ref="A2:F29"/>
  <sortState ref="A3:G28">
    <sortCondition descending="1" ref="B1:B27"/>
  </sortState>
  <tableColumns count="6">
    <tableColumn id="1" name="№ п/п" totalsRowLabel="Всього" dataDxfId="830" totalsRowDxfId="18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29" totalsRowDxfId="18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28" totalsRowDxfId="183"/>
    <tableColumn id="4" name="Проти" totalsRowFunction="sum" dataDxfId="827" totalsRowDxfId="182"/>
    <tableColumn id="5" name="Утрим" totalsRowFunction="sum" dataDxfId="826" totalsRowDxfId="181"/>
    <tableColumn id="6" name="не голосували" totalsRowFunction="sum" dataDxfId="825" totalsRowDxfId="180"/>
  </tableColumns>
  <tableStyleInfo name="TableStyleLight2" showFirstColumn="0" showLastColumn="0" showRowStripes="1" showColumnStripes="0"/>
</table>
</file>

<file path=xl/tables/table31.xml><?xml version="1.0" encoding="utf-8"?>
<table xmlns="http://schemas.openxmlformats.org/spreadsheetml/2006/main" id="36" name="Таблица24567891011171819202122232425262728293031323334353637" displayName="Таблица24567891011171819202122232425262728293031323334353637" ref="A2:F30" totalsRowCount="1" headerRowDxfId="824" dataDxfId="823">
  <autoFilter ref="A2:F29"/>
  <sortState ref="A3:G28">
    <sortCondition descending="1" ref="B1:B27"/>
  </sortState>
  <tableColumns count="6">
    <tableColumn id="1" name="№ п/п" totalsRowLabel="Всього" dataDxfId="822" totalsRowDxfId="17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21" totalsRowDxfId="17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20" totalsRowDxfId="177"/>
    <tableColumn id="4" name="Проти" totalsRowFunction="sum" dataDxfId="819" totalsRowDxfId="176"/>
    <tableColumn id="5" name="Утрим" totalsRowFunction="sum" dataDxfId="818" totalsRowDxfId="175"/>
    <tableColumn id="6" name="не голосували" totalsRowFunction="sum" dataDxfId="817" totalsRowDxfId="174"/>
  </tableColumns>
  <tableStyleInfo name="TableStyleLight2" showFirstColumn="0" showLastColumn="0" showRowStripes="1" showColumnStripes="0"/>
</table>
</file>

<file path=xl/tables/table32.xml><?xml version="1.0" encoding="utf-8"?>
<table xmlns="http://schemas.openxmlformats.org/spreadsheetml/2006/main" id="37" name="Таблица2456789101117181920212223242526272829303132333435363738" displayName="Таблица2456789101117181920212223242526272829303132333435363738" ref="A2:F30" totalsRowCount="1" headerRowDxfId="816" dataDxfId="815">
  <autoFilter ref="A2:F29"/>
  <sortState ref="A3:G28">
    <sortCondition descending="1" ref="B1:B27"/>
  </sortState>
  <tableColumns count="6">
    <tableColumn id="1" name="№ п/п" totalsRowLabel="Всього" dataDxfId="814" totalsRowDxfId="17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13" totalsRowDxfId="17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12" totalsRowDxfId="171"/>
    <tableColumn id="4" name="Проти" totalsRowFunction="sum" dataDxfId="811" totalsRowDxfId="170"/>
    <tableColumn id="5" name="Утрим" totalsRowFunction="sum" dataDxfId="810" totalsRowDxfId="169"/>
    <tableColumn id="6" name="не голосували" totalsRowFunction="sum" dataDxfId="809" totalsRowDxfId="168"/>
  </tableColumns>
  <tableStyleInfo name="TableStyleLight2" showFirstColumn="0" showLastColumn="0" showRowStripes="1" showColumnStripes="0"/>
</table>
</file>

<file path=xl/tables/table33.xml><?xml version="1.0" encoding="utf-8"?>
<table xmlns="http://schemas.openxmlformats.org/spreadsheetml/2006/main" id="38" name="Таблица245678910111718192021222324252627282930313233343536373839" displayName="Таблица245678910111718192021222324252627282930313233343536373839" ref="A2:F30" totalsRowCount="1" headerRowDxfId="808" dataDxfId="807">
  <autoFilter ref="A2:F29"/>
  <sortState ref="A3:G28">
    <sortCondition descending="1" ref="B1:B27"/>
  </sortState>
  <tableColumns count="6">
    <tableColumn id="1" name="№ п/п" totalsRowLabel="Всього" dataDxfId="806" totalsRowDxfId="16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05" totalsRowDxfId="16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04" totalsRowDxfId="165"/>
    <tableColumn id="4" name="Проти" totalsRowFunction="sum" dataDxfId="803" totalsRowDxfId="164"/>
    <tableColumn id="5" name="Утрим" totalsRowFunction="sum" dataDxfId="802" totalsRowDxfId="163"/>
    <tableColumn id="6" name="не голосували" totalsRowFunction="sum" dataDxfId="801" totalsRowDxfId="162"/>
  </tableColumns>
  <tableStyleInfo name="TableStyleLight2" showFirstColumn="0" showLastColumn="0" showRowStripes="1" showColumnStripes="0"/>
</table>
</file>

<file path=xl/tables/table34.xml><?xml version="1.0" encoding="utf-8"?>
<table xmlns="http://schemas.openxmlformats.org/spreadsheetml/2006/main" id="39" name="Таблица24567891011171819202122232425262728293031323334353637383940" displayName="Таблица24567891011171819202122232425262728293031323334353637383940" ref="A2:F30" totalsRowCount="1" headerRowDxfId="800" dataDxfId="799">
  <autoFilter ref="A2:F29"/>
  <sortState ref="A3:G28">
    <sortCondition descending="1" ref="B1:B27"/>
  </sortState>
  <tableColumns count="6">
    <tableColumn id="1" name="№ п/п" totalsRowLabel="Всього" dataDxfId="798" totalsRowDxfId="16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97" totalsRowDxfId="16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96" totalsRowDxfId="159"/>
    <tableColumn id="4" name="Проти" totalsRowFunction="sum" dataDxfId="795" totalsRowDxfId="158"/>
    <tableColumn id="5" name="Утрим" totalsRowFunction="sum" dataDxfId="794" totalsRowDxfId="157"/>
    <tableColumn id="6" name="не голосували" totalsRowFunction="sum" dataDxfId="793" totalsRowDxfId="156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id="40" name="Таблица2456789101117181920212223242526272829303132333435363738394041" displayName="Таблица2456789101117181920212223242526272829303132333435363738394041" ref="A2:F30" totalsRowCount="1" headerRowDxfId="792" dataDxfId="791">
  <autoFilter ref="A2:F29"/>
  <sortState ref="A3:G28">
    <sortCondition descending="1" ref="B1:B27"/>
  </sortState>
  <tableColumns count="6">
    <tableColumn id="1" name="№ п/п" totalsRowLabel="Всього" dataDxfId="790" totalsRowDxfId="15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89" totalsRowDxfId="15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88" totalsRowDxfId="153"/>
    <tableColumn id="4" name="Проти" totalsRowFunction="sum" dataDxfId="787" totalsRowDxfId="152"/>
    <tableColumn id="5" name="Утрим" totalsRowFunction="sum" dataDxfId="786" totalsRowDxfId="151"/>
    <tableColumn id="6" name="не голосували" totalsRowFunction="sum" dataDxfId="785" totalsRowDxfId="150"/>
  </tableColumns>
  <tableStyleInfo name="TableStyleLight2" showFirstColumn="0" showLastColumn="0" showRowStripes="1" showColumnStripes="0"/>
</table>
</file>

<file path=xl/tables/table36.xml><?xml version="1.0" encoding="utf-8"?>
<table xmlns="http://schemas.openxmlformats.org/spreadsheetml/2006/main" id="41" name="Таблица245678910111718192021222324252627282930313233343536373839404142" displayName="Таблица245678910111718192021222324252627282930313233343536373839404142" ref="A2:F30" totalsRowCount="1" headerRowDxfId="784" dataDxfId="783">
  <autoFilter ref="A2:F29"/>
  <sortState ref="A3:G28">
    <sortCondition descending="1" ref="B1:B27"/>
  </sortState>
  <tableColumns count="6">
    <tableColumn id="1" name="№ п/п" totalsRowLabel="Всього" dataDxfId="782" totalsRowDxfId="14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81" totalsRowDxfId="14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80" totalsRowDxfId="147"/>
    <tableColumn id="4" name="Проти" totalsRowFunction="sum" dataDxfId="779" totalsRowDxfId="146"/>
    <tableColumn id="5" name="Утрим" totalsRowFunction="sum" dataDxfId="778" totalsRowDxfId="145"/>
    <tableColumn id="6" name="не голосували" totalsRowFunction="sum" dataDxfId="777" totalsRowDxfId="144"/>
  </tableColumns>
  <tableStyleInfo name="TableStyleLight2" showFirstColumn="0" showLastColumn="0" showRowStripes="1" showColumnStripes="0"/>
</table>
</file>

<file path=xl/tables/table37.xml><?xml version="1.0" encoding="utf-8"?>
<table xmlns="http://schemas.openxmlformats.org/spreadsheetml/2006/main" id="42" name="Таблица24567891011171819202122232425262728293031323334353637383940414243" displayName="Таблица24567891011171819202122232425262728293031323334353637383940414243" ref="A2:F30" totalsRowCount="1" headerRowDxfId="776" dataDxfId="775">
  <autoFilter ref="A2:F29"/>
  <sortState ref="A3:G28">
    <sortCondition descending="1" ref="B1:B27"/>
  </sortState>
  <tableColumns count="6">
    <tableColumn id="1" name="№ п/п" totalsRowLabel="Всього" dataDxfId="774" totalsRowDxfId="14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73" totalsRowDxfId="14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72" totalsRowDxfId="141"/>
    <tableColumn id="4" name="Проти" totalsRowFunction="sum" dataDxfId="771" totalsRowDxfId="140"/>
    <tableColumn id="5" name="Утрим" totalsRowFunction="sum" dataDxfId="770" totalsRowDxfId="139"/>
    <tableColumn id="6" name="не голосували" totalsRowFunction="sum" dataDxfId="769" totalsRowDxfId="138"/>
  </tableColumns>
  <tableStyleInfo name="TableStyleLight2" showFirstColumn="0" showLastColumn="0" showRowStripes="1" showColumnStripes="0"/>
</table>
</file>

<file path=xl/tables/table38.xml><?xml version="1.0" encoding="utf-8"?>
<table xmlns="http://schemas.openxmlformats.org/spreadsheetml/2006/main" id="43" name="Таблица2456789101117181920212223242526272829303132333435363738394041424344" displayName="Таблица2456789101117181920212223242526272829303132333435363738394041424344" ref="A2:F30" totalsRowCount="1" headerRowDxfId="768" dataDxfId="767">
  <autoFilter ref="A2:F29"/>
  <sortState ref="A3:G28">
    <sortCondition descending="1" ref="B1:B27"/>
  </sortState>
  <tableColumns count="6">
    <tableColumn id="1" name="№ п/п" totalsRowLabel="Всього" dataDxfId="766" totalsRowDxfId="13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65" totalsRowDxfId="13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64" totalsRowDxfId="135"/>
    <tableColumn id="4" name="Проти" totalsRowFunction="sum" dataDxfId="763" totalsRowDxfId="134"/>
    <tableColumn id="5" name="Утрим" totalsRowFunction="sum" dataDxfId="762" totalsRowDxfId="133"/>
    <tableColumn id="6" name="не голосували" totalsRowFunction="sum" dataDxfId="761" totalsRowDxfId="132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id="44" name="Таблица245678910111718192021222324252627282930313233343536373839404142434445" displayName="Таблица245678910111718192021222324252627282930313233343536373839404142434445" ref="A2:F30" totalsRowCount="1" headerRowDxfId="760" dataDxfId="759">
  <autoFilter ref="A2:F29"/>
  <sortState ref="A3:G28">
    <sortCondition descending="1" ref="B1:B27"/>
  </sortState>
  <tableColumns count="6">
    <tableColumn id="1" name="№ п/п" totalsRowLabel="Всього" dataDxfId="758" totalsRowDxfId="13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57" totalsRowDxfId="13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56" totalsRowDxfId="129"/>
    <tableColumn id="4" name="Проти" totalsRowFunction="sum" dataDxfId="755" totalsRowDxfId="128"/>
    <tableColumn id="5" name="Утрим" totalsRowFunction="sum" dataDxfId="754" totalsRowDxfId="127"/>
    <tableColumn id="6" name="не голосували" totalsRowFunction="sum" dataDxfId="753" totalsRowDxfId="126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Таблица245" displayName="Таблица245" ref="A2:F30" totalsRowCount="1" headerRowDxfId="1040" dataDxfId="1039">
  <autoFilter ref="A2:F29"/>
  <sortState ref="A3:G28">
    <sortCondition descending="1" ref="B1:B27"/>
  </sortState>
  <tableColumns count="6">
    <tableColumn id="1" name="№ п/п" totalsRowLabel="Всього" dataDxfId="1038" totalsRowDxfId="2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37" totalsRowDxfId="2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36" totalsRowDxfId="27"/>
    <tableColumn id="4" name="Проти" totalsRowFunction="sum" dataDxfId="1035" totalsRowDxfId="26"/>
    <tableColumn id="5" name="Утрим" totalsRowFunction="sum" dataDxfId="1034" totalsRowDxfId="25"/>
    <tableColumn id="6" name="не голосували" totalsRowFunction="sum" dataDxfId="1033" totalsRowDxfId="24"/>
  </tableColumns>
  <tableStyleInfo name="TableStyleLight2" showFirstColumn="0" showLastColumn="0" showRowStripes="1" showColumnStripes="0"/>
</table>
</file>

<file path=xl/tables/table40.xml><?xml version="1.0" encoding="utf-8"?>
<table xmlns="http://schemas.openxmlformats.org/spreadsheetml/2006/main" id="45" name="Таблица24567891011171819202122232425262728293031323334353637383940414243444546" displayName="Таблица24567891011171819202122232425262728293031323334353637383940414243444546" ref="A2:F30" totalsRowCount="1" headerRowDxfId="752" dataDxfId="751">
  <autoFilter ref="A2:F29"/>
  <sortState ref="A3:G28">
    <sortCondition descending="1" ref="B1:B27"/>
  </sortState>
  <tableColumns count="6">
    <tableColumn id="1" name="№ п/п" totalsRowLabel="Всього" dataDxfId="750" totalsRowDxfId="12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49" totalsRowDxfId="12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48" totalsRowDxfId="123"/>
    <tableColumn id="4" name="Проти" totalsRowFunction="sum" dataDxfId="747" totalsRowDxfId="122"/>
    <tableColumn id="5" name="Утрим" totalsRowFunction="sum" dataDxfId="746" totalsRowDxfId="121"/>
    <tableColumn id="6" name="не голосували" totalsRowFunction="sum" dataDxfId="745" totalsRowDxfId="120"/>
  </tableColumns>
  <tableStyleInfo name="TableStyleLight2" showFirstColumn="0" showLastColumn="0" showRowStripes="1" showColumnStripes="0"/>
</table>
</file>

<file path=xl/tables/table41.xml><?xml version="1.0" encoding="utf-8"?>
<table xmlns="http://schemas.openxmlformats.org/spreadsheetml/2006/main" id="46" name="Таблица2456789101117181920212223242526272829303132333435363738394041424344454647" displayName="Таблица2456789101117181920212223242526272829303132333435363738394041424344454647" ref="A2:F30" totalsRowCount="1" headerRowDxfId="744" dataDxfId="743">
  <autoFilter ref="A2:F29"/>
  <sortState ref="A3:G28">
    <sortCondition descending="1" ref="B1:B27"/>
  </sortState>
  <tableColumns count="6">
    <tableColumn id="1" name="№ п/п" totalsRowLabel="Всього" dataDxfId="742" totalsRowDxfId="11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41" totalsRowDxfId="11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40" totalsRowDxfId="117"/>
    <tableColumn id="4" name="Проти" totalsRowFunction="sum" dataDxfId="739" totalsRowDxfId="116"/>
    <tableColumn id="5" name="Утрим" totalsRowFunction="sum" dataDxfId="738" totalsRowDxfId="115"/>
    <tableColumn id="6" name="не голосували" totalsRowFunction="sum" dataDxfId="737" totalsRowDxfId="114"/>
  </tableColumns>
  <tableStyleInfo name="TableStyleLight2" showFirstColumn="0" showLastColumn="0" showRowStripes="1" showColumnStripes="0"/>
</table>
</file>

<file path=xl/tables/table42.xml><?xml version="1.0" encoding="utf-8"?>
<table xmlns="http://schemas.openxmlformats.org/spreadsheetml/2006/main" id="47" name="Таблица245678910111718192021222324252627282930313233343536373839404142434445464748" displayName="Таблица245678910111718192021222324252627282930313233343536373839404142434445464748" ref="A2:F30" totalsRowCount="1" headerRowDxfId="736" dataDxfId="735">
  <autoFilter ref="A2:F29"/>
  <sortState ref="A3:G28">
    <sortCondition descending="1" ref="B1:B27"/>
  </sortState>
  <tableColumns count="6">
    <tableColumn id="1" name="№ п/п" totalsRowLabel="Всього" dataDxfId="734" totalsRowDxfId="11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33" totalsRowDxfId="11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32" totalsRowDxfId="111"/>
    <tableColumn id="4" name="Проти" totalsRowFunction="sum" dataDxfId="731" totalsRowDxfId="110"/>
    <tableColumn id="5" name="Утрим" totalsRowFunction="sum" dataDxfId="730" totalsRowDxfId="109"/>
    <tableColumn id="6" name="не голосували" totalsRowFunction="sum" dataDxfId="729" totalsRowDxfId="108"/>
  </tableColumns>
  <tableStyleInfo name="TableStyleLight2" showFirstColumn="0" showLastColumn="0" showRowStripes="1" showColumnStripes="0"/>
</table>
</file>

<file path=xl/tables/table43.xml><?xml version="1.0" encoding="utf-8"?>
<table xmlns="http://schemas.openxmlformats.org/spreadsheetml/2006/main" id="48" name="Таблица24567891011171819202122232425262728293031323334353637383940414243444546474849" displayName="Таблица24567891011171819202122232425262728293031323334353637383940414243444546474849" ref="A2:F30" totalsRowCount="1" headerRowDxfId="728" dataDxfId="727">
  <autoFilter ref="A2:F29"/>
  <sortState ref="A3:G28">
    <sortCondition descending="1" ref="B1:B27"/>
  </sortState>
  <tableColumns count="6">
    <tableColumn id="1" name="№ п/п" totalsRowLabel="Всього" dataDxfId="726" totalsRowDxfId="10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25" totalsRowDxfId="10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24" totalsRowDxfId="105"/>
    <tableColumn id="4" name="Проти" totalsRowFunction="sum" dataDxfId="723" totalsRowDxfId="104"/>
    <tableColumn id="5" name="Утрим" totalsRowFunction="sum" dataDxfId="722" totalsRowDxfId="103"/>
    <tableColumn id="6" name="не голосували" totalsRowFunction="sum" dataDxfId="721" totalsRowDxfId="102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id="49" name="Таблица2456789101117181920212223242526272829303132333435363738394041424344454647484950" displayName="Таблица2456789101117181920212223242526272829303132333435363738394041424344454647484950" ref="A2:F30" totalsRowCount="1" headerRowDxfId="720" dataDxfId="719">
  <autoFilter ref="A2:F29"/>
  <sortState ref="A3:G28">
    <sortCondition descending="1" ref="B1:B27"/>
  </sortState>
  <tableColumns count="6">
    <tableColumn id="1" name="№ п/п" totalsRowLabel="Всього" dataDxfId="718" totalsRowDxfId="10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17" totalsRowDxfId="10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16" totalsRowDxfId="99"/>
    <tableColumn id="4" name="Проти" totalsRowFunction="sum" dataDxfId="715" totalsRowDxfId="98"/>
    <tableColumn id="5" name="Утрим" totalsRowFunction="sum" dataDxfId="714" totalsRowDxfId="97"/>
    <tableColumn id="6" name="не голосували" totalsRowFunction="sum" dataDxfId="713" totalsRowDxfId="96"/>
  </tableColumns>
  <tableStyleInfo name="TableStyleLight2" showFirstColumn="0" showLastColumn="0" showRowStripes="1" showColumnStripes="0"/>
</table>
</file>

<file path=xl/tables/table45.xml><?xml version="1.0" encoding="utf-8"?>
<table xmlns="http://schemas.openxmlformats.org/spreadsheetml/2006/main" id="50" name="Таблица245678910111718192021222324252627282930313233343536373839404142434445464748495051" displayName="Таблица245678910111718192021222324252627282930313233343536373839404142434445464748495051" ref="A2:F30" totalsRowCount="1" headerRowDxfId="712" dataDxfId="711">
  <autoFilter ref="A2:F29"/>
  <sortState ref="A3:G28">
    <sortCondition descending="1" ref="B1:B27"/>
  </sortState>
  <tableColumns count="6">
    <tableColumn id="1" name="№ п/п" totalsRowLabel="Всього" dataDxfId="710" totalsRowDxfId="9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09" totalsRowDxfId="9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08" totalsRowDxfId="93"/>
    <tableColumn id="4" name="Проти" totalsRowFunction="sum" dataDxfId="707" totalsRowDxfId="92"/>
    <tableColumn id="5" name="Утрим" totalsRowFunction="sum" dataDxfId="706" totalsRowDxfId="91"/>
    <tableColumn id="6" name="не голосували" totalsRowFunction="sum" dataDxfId="705" totalsRowDxfId="90"/>
  </tableColumns>
  <tableStyleInfo name="TableStyleLight2" showFirstColumn="0" showLastColumn="0" showRowStripes="1" showColumnStripes="0"/>
</table>
</file>

<file path=xl/tables/table46.xml><?xml version="1.0" encoding="utf-8"?>
<table xmlns="http://schemas.openxmlformats.org/spreadsheetml/2006/main" id="51" name="Таблица24567891011171819202122232425262728293031323334353637383940414243444546474849505152" displayName="Таблица24567891011171819202122232425262728293031323334353637383940414243444546474849505152" ref="A2:F30" totalsRowCount="1" headerRowDxfId="704" dataDxfId="703">
  <autoFilter ref="A2:F29"/>
  <sortState ref="A3:G28">
    <sortCondition descending="1" ref="B1:B27"/>
  </sortState>
  <tableColumns count="6">
    <tableColumn id="1" name="№ п/п" totalsRowLabel="Всього" dataDxfId="702" totalsRowDxfId="8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01" totalsRowDxfId="8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00" totalsRowDxfId="87"/>
    <tableColumn id="4" name="Проти" totalsRowFunction="sum" dataDxfId="699" totalsRowDxfId="86"/>
    <tableColumn id="5" name="Утрим" totalsRowFunction="sum" dataDxfId="698" totalsRowDxfId="85"/>
    <tableColumn id="6" name="не голосували" totalsRowFunction="sum" dataDxfId="697" totalsRowDxfId="84"/>
  </tableColumns>
  <tableStyleInfo name="TableStyleLight2" showFirstColumn="0" showLastColumn="0" showRowStripes="1" showColumnStripes="0"/>
</table>
</file>

<file path=xl/tables/table47.xml><?xml version="1.0" encoding="utf-8"?>
<table xmlns="http://schemas.openxmlformats.org/spreadsheetml/2006/main" id="52" name="Таблица2456789101117181920212223242526272829303132333435363738394041424344454647484950515253" displayName="Таблица2456789101117181920212223242526272829303132333435363738394041424344454647484950515253" ref="A2:F30" totalsRowCount="1" headerRowDxfId="696" dataDxfId="695">
  <autoFilter ref="A2:F29"/>
  <sortState ref="A3:G28">
    <sortCondition descending="1" ref="B1:B27"/>
  </sortState>
  <tableColumns count="6">
    <tableColumn id="1" name="№ п/п" totalsRowLabel="Всього" dataDxfId="694" totalsRowDxfId="8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93" totalsRowDxfId="8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92" totalsRowDxfId="81"/>
    <tableColumn id="4" name="Проти" totalsRowFunction="sum" dataDxfId="691" totalsRowDxfId="80"/>
    <tableColumn id="5" name="Утрим" totalsRowFunction="sum" dataDxfId="690" totalsRowDxfId="79"/>
    <tableColumn id="6" name="не голосували" totalsRowFunction="sum" dataDxfId="689" totalsRowDxfId="78"/>
  </tableColumns>
  <tableStyleInfo name="TableStyleLight2" showFirstColumn="0" showLastColumn="0" showRowStripes="1" showColumnStripes="0"/>
</table>
</file>

<file path=xl/tables/table48.xml><?xml version="1.0" encoding="utf-8"?>
<table xmlns="http://schemas.openxmlformats.org/spreadsheetml/2006/main" id="53" name="Таблица245678910111718192021222324252627282930313233343536373839404142434445464748495051525354" displayName="Таблица245678910111718192021222324252627282930313233343536373839404142434445464748495051525354" ref="A2:F30" totalsRowCount="1" headerRowDxfId="688" dataDxfId="687">
  <autoFilter ref="A2:F29"/>
  <sortState ref="A3:G28">
    <sortCondition descending="1" ref="B1:B27"/>
  </sortState>
  <tableColumns count="6">
    <tableColumn id="1" name="№ п/п" totalsRowLabel="Всього" dataDxfId="686" totalsRowDxfId="7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85" totalsRowDxfId="7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84" totalsRowDxfId="75"/>
    <tableColumn id="4" name="Проти" totalsRowFunction="sum" dataDxfId="683" totalsRowDxfId="74"/>
    <tableColumn id="5" name="Утрим" totalsRowFunction="sum" dataDxfId="682" totalsRowDxfId="73"/>
    <tableColumn id="6" name="не голосували" totalsRowFunction="sum" dataDxfId="681" totalsRowDxfId="72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id="54" name="Таблица24567891011171819202122232425262728293031323334353637383940414243444546474849505152535455" displayName="Таблица24567891011171819202122232425262728293031323334353637383940414243444546474849505152535455" ref="A2:F30" totalsRowCount="1" headerRowDxfId="680" dataDxfId="679">
  <autoFilter ref="A2:F29"/>
  <sortState ref="A3:G28">
    <sortCondition descending="1" ref="B1:B27"/>
  </sortState>
  <tableColumns count="6">
    <tableColumn id="1" name="№ п/п" totalsRowLabel="Всього" dataDxfId="678" totalsRowDxfId="7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77" totalsRowDxfId="7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76" totalsRowDxfId="69"/>
    <tableColumn id="4" name="Проти" totalsRowFunction="sum" dataDxfId="675" totalsRowDxfId="68"/>
    <tableColumn id="5" name="Утрим" totalsRowFunction="sum" dataDxfId="674" totalsRowDxfId="67"/>
    <tableColumn id="6" name="не голосували" totalsRowFunction="sum" dataDxfId="673" totalsRowDxfId="66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Таблица2456" displayName="Таблица2456" ref="A2:F30" totalsRowCount="1" headerRowDxfId="1032" dataDxfId="1031">
  <autoFilter ref="A2:F29"/>
  <sortState ref="A3:G28">
    <sortCondition descending="1" ref="B1:B27"/>
  </sortState>
  <tableColumns count="6">
    <tableColumn id="1" name="№ п/п" totalsRowLabel="Всього" dataDxfId="1030" totalsRowDxfId="4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29" totalsRowDxfId="4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28" totalsRowDxfId="45"/>
    <tableColumn id="4" name="Проти" totalsRowFunction="sum" dataDxfId="1027" totalsRowDxfId="44"/>
    <tableColumn id="5" name="Утрим" totalsRowFunction="sum" dataDxfId="1026" totalsRowDxfId="43"/>
    <tableColumn id="6" name="не голосували" totalsRowFunction="sum" dataDxfId="1025" totalsRowDxfId="42"/>
  </tableColumns>
  <tableStyleInfo name="TableStyleLight2" showFirstColumn="0" showLastColumn="0" showRowStripes="1" showColumnStripes="0"/>
</table>
</file>

<file path=xl/tables/table50.xml><?xml version="1.0" encoding="utf-8"?>
<table xmlns="http://schemas.openxmlformats.org/spreadsheetml/2006/main" id="55" name="Таблица2456789101117181920212223242526272829303132333435363738394041424344454647484950515253545556" displayName="Таблица2456789101117181920212223242526272829303132333435363738394041424344454647484950515253545556" ref="A2:F30" totalsRowCount="1" headerRowDxfId="672" dataDxfId="671">
  <autoFilter ref="A2:F29"/>
  <sortState ref="A3:G28">
    <sortCondition descending="1" ref="B1:B27"/>
  </sortState>
  <tableColumns count="6">
    <tableColumn id="1" name="№ п/п" totalsRowLabel="Всього" dataDxfId="670" totalsRowDxfId="6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69" totalsRowDxfId="6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68" totalsRowDxfId="63"/>
    <tableColumn id="4" name="Проти" totalsRowFunction="sum" dataDxfId="667" totalsRowDxfId="62"/>
    <tableColumn id="5" name="Утрим" totalsRowFunction="sum" dataDxfId="666" totalsRowDxfId="61"/>
    <tableColumn id="6" name="не голосували" totalsRowFunction="sum" dataDxfId="665" totalsRowDxfId="60"/>
  </tableColumns>
  <tableStyleInfo name="TableStyleLight2" showFirstColumn="0" showLastColumn="0" showRowStripes="1" showColumnStripes="0"/>
</table>
</file>

<file path=xl/tables/table51.xml><?xml version="1.0" encoding="utf-8"?>
<table xmlns="http://schemas.openxmlformats.org/spreadsheetml/2006/main" id="56" name="Таблица245678910111718192021222324252627282930313233343536373839404142434445464748495051525354555657" displayName="Таблица245678910111718192021222324252627282930313233343536373839404142434445464748495051525354555657" ref="A2:F30" totalsRowCount="1" headerRowDxfId="664" dataDxfId="663">
  <autoFilter ref="A2:F29"/>
  <sortState ref="A3:G28">
    <sortCondition descending="1" ref="B1:B27"/>
  </sortState>
  <tableColumns count="6">
    <tableColumn id="1" name="№ п/п" totalsRowLabel="Всього" dataDxfId="662" totalsRowDxfId="5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61" totalsRowDxfId="5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60" totalsRowDxfId="57"/>
    <tableColumn id="4" name="Проти" totalsRowFunction="sum" dataDxfId="659" totalsRowDxfId="56"/>
    <tableColumn id="5" name="Утрим" totalsRowFunction="sum" dataDxfId="658" totalsRowDxfId="55"/>
    <tableColumn id="6" name="не голосували" totalsRowFunction="sum" dataDxfId="657" totalsRowDxfId="54"/>
  </tableColumns>
  <tableStyleInfo name="TableStyleLight2" showFirstColumn="0" showLastColumn="0" showRowStripes="1" showColumnStripes="0"/>
</table>
</file>

<file path=xl/tables/table52.xml><?xml version="1.0" encoding="utf-8"?>
<table xmlns="http://schemas.openxmlformats.org/spreadsheetml/2006/main" id="57" name="Таблица24567891011171819202122232425262728293031323334353637383940414243444546474849505152535455565758" displayName="Таблица24567891011171819202122232425262728293031323334353637383940414243444546474849505152535455565758" ref="A2:F30" totalsRowCount="1" headerRowDxfId="656" dataDxfId="655">
  <autoFilter ref="A2:F29"/>
  <sortState ref="A3:G28">
    <sortCondition descending="1" ref="B1:B27"/>
  </sortState>
  <tableColumns count="6">
    <tableColumn id="1" name="№ п/п" totalsRowLabel="Всього" dataDxfId="654" totalsRowDxfId="65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52" totalsRowDxfId="651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50" totalsRowDxfId="649"/>
    <tableColumn id="4" name="Проти" totalsRowFunction="sum" dataDxfId="648" totalsRowDxfId="647"/>
    <tableColumn id="5" name="Утрим" totalsRowFunction="sum" dataDxfId="646" totalsRowDxfId="645"/>
    <tableColumn id="6" name="не голосували" totalsRowFunction="sum" dataDxfId="644" totalsRowDxfId="643"/>
  </tableColumns>
  <tableStyleInfo name="TableStyleLight2" showFirstColumn="0" showLastColumn="0" showRowStripes="1" showColumnStripes="0"/>
</table>
</file>

<file path=xl/tables/table53.xml><?xml version="1.0" encoding="utf-8"?>
<table xmlns="http://schemas.openxmlformats.org/spreadsheetml/2006/main" id="58" name="Таблица2456789101117181920212223242526272829303132333435363738394041424344454647484950515253545556575859" displayName="Таблица2456789101117181920212223242526272829303132333435363738394041424344454647484950515253545556575859" ref="A2:F30" totalsRowCount="1" headerRowDxfId="642" dataDxfId="641">
  <autoFilter ref="A2:F29"/>
  <sortState ref="A3:G28">
    <sortCondition descending="1" ref="B1:B27"/>
  </sortState>
  <tableColumns count="6">
    <tableColumn id="1" name="№ п/п" totalsRowLabel="Всього" dataDxfId="640" totalsRowDxfId="5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39" totalsRowDxfId="5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38" totalsRowDxfId="51"/>
    <tableColumn id="4" name="Проти" totalsRowFunction="sum" dataDxfId="637" totalsRowDxfId="50"/>
    <tableColumn id="5" name="Утрим" totalsRowFunction="sum" dataDxfId="636" totalsRowDxfId="49"/>
    <tableColumn id="6" name="не голосували" totalsRowFunction="sum" dataDxfId="635" totalsRowDxfId="48"/>
  </tableColumns>
  <tableStyleInfo name="TableStyleLight2" showFirstColumn="0" showLastColumn="0" showRowStripes="1" showColumnStripes="0"/>
</table>
</file>

<file path=xl/tables/table54.xml><?xml version="1.0" encoding="utf-8"?>
<table xmlns="http://schemas.openxmlformats.org/spreadsheetml/2006/main" id="59" name="Таблица245678910111718192021222324252627282930313233343536373839404142434445464748495051525354555657585960" displayName="Таблица245678910111718192021222324252627282930313233343536373839404142434445464748495051525354555657585960" ref="A2:F30" totalsRowCount="1" headerRowDxfId="634" dataDxfId="633">
  <autoFilter ref="A2:F29"/>
  <sortState ref="A3:G28">
    <sortCondition descending="1" ref="B1:B27"/>
  </sortState>
  <tableColumns count="6">
    <tableColumn id="1" name="№ п/п" totalsRowLabel="Всього" dataDxfId="632" totalsRowDxfId="63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30" totalsRowDxfId="629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28" totalsRowDxfId="627"/>
    <tableColumn id="4" name="Проти" totalsRowFunction="sum" dataDxfId="626" totalsRowDxfId="625"/>
    <tableColumn id="5" name="Утрим" totalsRowFunction="sum" dataDxfId="624" totalsRowDxfId="623"/>
    <tableColumn id="6" name="не голосували" totalsRowFunction="sum" dataDxfId="622" totalsRowDxfId="621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id="60" name="Таблица24567891011171819202122232425262728293031323334353637383940414243444546474849505152535455565758596061" displayName="Таблица24567891011171819202122232425262728293031323334353637383940414243444546474849505152535455565758596061" ref="A2:F30" totalsRowCount="1" headerRowDxfId="620" dataDxfId="619">
  <autoFilter ref="A2:F29"/>
  <sortState ref="A3:G28">
    <sortCondition descending="1" ref="B1:B27"/>
  </sortState>
  <tableColumns count="6">
    <tableColumn id="1" name="№ п/п" totalsRowLabel="Всього" dataDxfId="618" totalsRowDxfId="61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16" totalsRowDxfId="615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14" totalsRowDxfId="613"/>
    <tableColumn id="4" name="Проти" totalsRowFunction="sum" dataDxfId="612" totalsRowDxfId="611"/>
    <tableColumn id="5" name="Утрим" totalsRowFunction="sum" dataDxfId="610" totalsRowDxfId="609"/>
    <tableColumn id="6" name="не голосували" totalsRowFunction="sum" dataDxfId="608" totalsRowDxfId="607"/>
  </tableColumns>
  <tableStyleInfo name="TableStyleLight2" showFirstColumn="0" showLastColumn="0" showRowStripes="1" showColumnStripes="0"/>
</table>
</file>

<file path=xl/tables/table56.xml><?xml version="1.0" encoding="utf-8"?>
<table xmlns="http://schemas.openxmlformats.org/spreadsheetml/2006/main" id="61" name="Таблица2456789101117181920212223242526272829303132333435363738394041424344454647484950515253545556575859606162" displayName="Таблица2456789101117181920212223242526272829303132333435363738394041424344454647484950515253545556575859606162" ref="A2:F30" totalsRowCount="1" headerRowDxfId="606" dataDxfId="605">
  <autoFilter ref="A2:F29"/>
  <sortState ref="A3:G28">
    <sortCondition descending="1" ref="B1:B27"/>
  </sortState>
  <tableColumns count="6">
    <tableColumn id="1" name="№ п/п" totalsRowLabel="Всього" dataDxfId="604" totalsRowDxfId="60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02" totalsRowDxfId="601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00" totalsRowDxfId="599"/>
    <tableColumn id="4" name="Проти" totalsRowFunction="sum" dataDxfId="598" totalsRowDxfId="597"/>
    <tableColumn id="5" name="Утрим" totalsRowFunction="sum" dataDxfId="596" totalsRowDxfId="595"/>
    <tableColumn id="6" name="не голосували" totalsRowFunction="sum" dataDxfId="594" totalsRowDxfId="593"/>
  </tableColumns>
  <tableStyleInfo name="TableStyleLight2" showFirstColumn="0" showLastColumn="0" showRowStripes="1" showColumnStripes="0"/>
</table>
</file>

<file path=xl/tables/table57.xml><?xml version="1.0" encoding="utf-8"?>
<table xmlns="http://schemas.openxmlformats.org/spreadsheetml/2006/main" id="62" name="Таблица245678910111718192021222324252627282930313233343536373839404142434445464748495051525354555657585960616263" displayName="Таблица245678910111718192021222324252627282930313233343536373839404142434445464748495051525354555657585960616263" ref="A2:F30" totalsRowCount="1" headerRowDxfId="592" dataDxfId="591">
  <autoFilter ref="A2:F29"/>
  <sortState ref="A3:G28">
    <sortCondition descending="1" ref="B1:B27"/>
  </sortState>
  <tableColumns count="6">
    <tableColumn id="1" name="№ п/п" totalsRowLabel="Всього" dataDxfId="590" totalsRowDxfId="58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88" totalsRowDxfId="587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86" totalsRowDxfId="585"/>
    <tableColumn id="4" name="Проти" totalsRowFunction="sum" dataDxfId="584" totalsRowDxfId="583"/>
    <tableColumn id="5" name="Утрим" totalsRowFunction="sum" dataDxfId="582" totalsRowDxfId="581"/>
    <tableColumn id="6" name="не голосували" totalsRowFunction="sum" dataDxfId="580" totalsRowDxfId="579"/>
  </tableColumns>
  <tableStyleInfo name="TableStyleLight2" showFirstColumn="0" showLastColumn="0" showRowStripes="1" showColumnStripes="0"/>
</table>
</file>

<file path=xl/tables/table58.xml><?xml version="1.0" encoding="utf-8"?>
<table xmlns="http://schemas.openxmlformats.org/spreadsheetml/2006/main" id="64" name="Таблица2456789101117181920212223242526272829303132333435363738394041424344454647484950515253545556575859606162636465" displayName="Таблица2456789101117181920212223242526272829303132333435363738394041424344454647484950515253545556575859606162636465" ref="A2:F30" totalsRowCount="1" headerRowDxfId="578" dataDxfId="577">
  <autoFilter ref="A2:F29"/>
  <sortState ref="A3:G28">
    <sortCondition descending="1" ref="B1:B27"/>
  </sortState>
  <tableColumns count="6">
    <tableColumn id="1" name="№ п/п" totalsRowLabel="Всього" dataDxfId="576" totalsRowDxfId="57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74" totalsRowDxfId="573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72" totalsRowDxfId="571"/>
    <tableColumn id="4" name="Проти" totalsRowFunction="sum" dataDxfId="570" totalsRowDxfId="569"/>
    <tableColumn id="5" name="Утрим" totalsRowFunction="sum" dataDxfId="568" totalsRowDxfId="567"/>
    <tableColumn id="6" name="не голосували" totalsRowFunction="sum" dataDxfId="566" totalsRowDxfId="565"/>
  </tableColumns>
  <tableStyleInfo name="TableStyleLight2" showFirstColumn="0" showLastColumn="0" showRowStripes="1" showColumnStripes="0"/>
</table>
</file>

<file path=xl/tables/table59.xml><?xml version="1.0" encoding="utf-8"?>
<table xmlns="http://schemas.openxmlformats.org/spreadsheetml/2006/main" id="63" name="Таблица24567891011171819202122232425262728293031323334353637383940414243444546474849505152535455565758596061626364" displayName="Таблица24567891011171819202122232425262728293031323334353637383940414243444546474849505152535455565758596061626364" ref="A2:F30" totalsRowCount="1" headerRowDxfId="564" dataDxfId="563">
  <autoFilter ref="A2:F29"/>
  <sortState ref="A3:G28">
    <sortCondition descending="1" ref="B1:B27"/>
  </sortState>
  <tableColumns count="6">
    <tableColumn id="1" name="№ п/п" totalsRowLabel="Всього" dataDxfId="562" totalsRowDxfId="56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60" totalsRowDxfId="559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58" totalsRowDxfId="557"/>
    <tableColumn id="4" name="Проти" totalsRowFunction="sum" dataDxfId="556" totalsRowDxfId="555"/>
    <tableColumn id="5" name="Утрим" totalsRowFunction="sum" dataDxfId="554" totalsRowDxfId="553"/>
    <tableColumn id="6" name="не голосували" totalsRowFunction="sum" dataDxfId="552" totalsRowDxfId="551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Таблица24567" displayName="Таблица24567" ref="A2:F30" totalsRowCount="1" headerRowDxfId="1024" dataDxfId="1023">
  <autoFilter ref="A2:F29"/>
  <sortState ref="A3:G28">
    <sortCondition descending="1" ref="B1:B27"/>
  </sortState>
  <tableColumns count="6">
    <tableColumn id="1" name="№ п/п" totalsRowLabel="Всього" dataDxfId="1022" totalsRowDxfId="30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21" totalsRowDxfId="30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20" totalsRowDxfId="303"/>
    <tableColumn id="4" name="Проти" totalsRowFunction="sum" dataDxfId="1019" totalsRowDxfId="302"/>
    <tableColumn id="5" name="Утрим" totalsRowFunction="sum" dataDxfId="1018" totalsRowDxfId="301"/>
    <tableColumn id="6" name="не голосували" totalsRowFunction="sum" dataDxfId="1017" totalsRowDxfId="300"/>
  </tableColumns>
  <tableStyleInfo name="TableStyleLight2" showFirstColumn="0" showLastColumn="0" showRowStripes="1" showColumnStripes="0"/>
</table>
</file>

<file path=xl/tables/table60.xml><?xml version="1.0" encoding="utf-8"?>
<table xmlns="http://schemas.openxmlformats.org/spreadsheetml/2006/main" id="65" name="Таблица2456789101117181920212223242526272829303132333435363738394041424344454647484950515253545556575859606162636466" displayName="Таблица2456789101117181920212223242526272829303132333435363738394041424344454647484950515253545556575859606162636466" ref="A2:F30" totalsRowCount="1" headerRowDxfId="550" dataDxfId="549">
  <autoFilter ref="A2:F29"/>
  <sortState ref="A3:G28">
    <sortCondition descending="1" ref="B1:B27"/>
  </sortState>
  <tableColumns count="6">
    <tableColumn id="1" name="№ п/п" totalsRowLabel="Всього" dataDxfId="548" totalsRowDxfId="54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46" totalsRowDxfId="545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44" totalsRowDxfId="543"/>
    <tableColumn id="4" name="Проти" totalsRowFunction="sum" dataDxfId="542" totalsRowDxfId="541"/>
    <tableColumn id="5" name="Утрим" totalsRowFunction="sum" dataDxfId="540" totalsRowDxfId="539"/>
    <tableColumn id="6" name="не голосували" totalsRowFunction="sum" dataDxfId="538" totalsRowDxfId="537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id="66" name="Таблица245678910111718192021222324252627282930313233343536373839404142434445464748495051525354555657585960616263646667" displayName="Таблица245678910111718192021222324252627282930313233343536373839404142434445464748495051525354555657585960616263646667" ref="A2:F30" totalsRowCount="1" headerRowDxfId="536" dataDxfId="535">
  <autoFilter ref="A2:F29"/>
  <sortState ref="A3:G28">
    <sortCondition descending="1" ref="B1:B27"/>
  </sortState>
  <tableColumns count="6">
    <tableColumn id="1" name="№ п/п" totalsRowLabel="Всього" dataDxfId="534" totalsRowDxfId="53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32" totalsRowDxfId="531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30" totalsRowDxfId="529"/>
    <tableColumn id="4" name="Проти" totalsRowFunction="sum" dataDxfId="528" totalsRowDxfId="527"/>
    <tableColumn id="5" name="Утрим" totalsRowFunction="sum" dataDxfId="526" totalsRowDxfId="525"/>
    <tableColumn id="6" name="не голосували" totalsRowFunction="sum" dataDxfId="524" totalsRowDxfId="523"/>
  </tableColumns>
  <tableStyleInfo name="TableStyleLight2" showFirstColumn="0" showLastColumn="0" showRowStripes="1" showColumnStripes="0"/>
</table>
</file>

<file path=xl/tables/table62.xml><?xml version="1.0" encoding="utf-8"?>
<table xmlns="http://schemas.openxmlformats.org/spreadsheetml/2006/main" id="67" name="Таблица24567891011171819202122232425262728293031323334353637383940414243444546474849505152535455565758596061626364666768" displayName="Таблица24567891011171819202122232425262728293031323334353637383940414243444546474849505152535455565758596061626364666768" ref="A2:F30" totalsRowCount="1" headerRowDxfId="522" dataDxfId="521">
  <autoFilter ref="A2:F29"/>
  <sortState ref="A3:G28">
    <sortCondition descending="1" ref="B1:B27"/>
  </sortState>
  <tableColumns count="6">
    <tableColumn id="1" name="№ п/п" totalsRowLabel="Всього" dataDxfId="520" totalsRowDxfId="51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18" totalsRowDxfId="517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16" totalsRowDxfId="515"/>
    <tableColumn id="4" name="Проти" totalsRowFunction="sum" dataDxfId="514" totalsRowDxfId="513"/>
    <tableColumn id="5" name="Утрим" totalsRowFunction="sum" dataDxfId="512" totalsRowDxfId="511"/>
    <tableColumn id="6" name="не голосували" totalsRowFunction="sum" dataDxfId="510" totalsRowDxfId="509"/>
  </tableColumns>
  <tableStyleInfo name="TableStyleLight2" showFirstColumn="0" showLastColumn="0" showRowStripes="1" showColumnStripes="0"/>
</table>
</file>

<file path=xl/tables/table63.xml><?xml version="1.0" encoding="utf-8"?>
<table xmlns="http://schemas.openxmlformats.org/spreadsheetml/2006/main" id="68" name="Таблица2456789101117181920212223242526272829303132333435363738394041424344454647484950515253545556575859606162636466676869" displayName="Таблица2456789101117181920212223242526272829303132333435363738394041424344454647484950515253545556575859606162636466676869" ref="A2:F30" totalsRowCount="1" headerRowDxfId="508" dataDxfId="507">
  <autoFilter ref="A2:F29"/>
  <sortState ref="A3:G28">
    <sortCondition descending="1" ref="B1:B27"/>
  </sortState>
  <tableColumns count="6">
    <tableColumn id="1" name="№ п/п" totalsRowLabel="Всього" dataDxfId="506" totalsRowDxfId="50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04" totalsRowDxfId="503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02" totalsRowDxfId="501"/>
    <tableColumn id="4" name="Проти" totalsRowFunction="sum" dataDxfId="500" totalsRowDxfId="499"/>
    <tableColumn id="5" name="Утрим" totalsRowFunction="sum" dataDxfId="498" totalsRowDxfId="497"/>
    <tableColumn id="6" name="не голосували" totalsRowFunction="sum" dataDxfId="496" totalsRowDxfId="495"/>
  </tableColumns>
  <tableStyleInfo name="TableStyleLight2" showFirstColumn="0" showLastColumn="0" showRowStripes="1" showColumnStripes="0"/>
</table>
</file>

<file path=xl/tables/table64.xml><?xml version="1.0" encoding="utf-8"?>
<table xmlns="http://schemas.openxmlformats.org/spreadsheetml/2006/main" id="69" name="Таблица245678910111718192021222324252627282930313233343536373839404142434445464748495051525354555657585960616263646667686970" displayName="Таблица245678910111718192021222324252627282930313233343536373839404142434445464748495051525354555657585960616263646667686970" ref="A2:F30" totalsRowCount="1" headerRowDxfId="494" dataDxfId="493">
  <autoFilter ref="A2:F29"/>
  <sortState ref="A3:G28">
    <sortCondition descending="1" ref="B1:B27"/>
  </sortState>
  <tableColumns count="6">
    <tableColumn id="1" name="№ п/п" totalsRowLabel="Всього" dataDxfId="492" totalsRowDxfId="49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90" totalsRowDxfId="489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88" totalsRowDxfId="487"/>
    <tableColumn id="4" name="Проти" totalsRowFunction="sum" dataDxfId="486" totalsRowDxfId="485"/>
    <tableColumn id="5" name="Утрим" totalsRowFunction="sum" dataDxfId="484" totalsRowDxfId="483"/>
    <tableColumn id="6" name="не голосували" totalsRowFunction="sum" dataDxfId="482" totalsRowDxfId="481"/>
  </tableColumns>
  <tableStyleInfo name="TableStyleLight2" showFirstColumn="0" showLastColumn="0" showRowStripes="1" showColumnStripes="0"/>
</table>
</file>

<file path=xl/tables/table65.xml><?xml version="1.0" encoding="utf-8"?>
<table xmlns="http://schemas.openxmlformats.org/spreadsheetml/2006/main" id="70" name="Таблица24567891011171819202122232425262728293031323334353637383940414243444546474849505152535455565758596061626364666768697071" displayName="Таблица24567891011171819202122232425262728293031323334353637383940414243444546474849505152535455565758596061626364666768697071" ref="A2:F30" totalsRowCount="1" headerRowDxfId="480" dataDxfId="479">
  <autoFilter ref="A2:F29"/>
  <sortState ref="A3:G28">
    <sortCondition descending="1" ref="B1:B27"/>
  </sortState>
  <tableColumns count="6">
    <tableColumn id="1" name="№ п/п" totalsRowLabel="Всього" dataDxfId="478" totalsRowDxfId="47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76" totalsRowDxfId="475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74" totalsRowDxfId="473"/>
    <tableColumn id="4" name="Проти" totalsRowFunction="sum" dataDxfId="472" totalsRowDxfId="471"/>
    <tableColumn id="5" name="Утрим" totalsRowFunction="sum" dataDxfId="470" totalsRowDxfId="469"/>
    <tableColumn id="6" name="не голосували" totalsRowFunction="sum" dataDxfId="468" totalsRowDxfId="467"/>
  </tableColumns>
  <tableStyleInfo name="TableStyleLight2" showFirstColumn="0" showLastColumn="0" showRowStripes="1" showColumnStripes="0"/>
</table>
</file>

<file path=xl/tables/table66.xml><?xml version="1.0" encoding="utf-8"?>
<table xmlns="http://schemas.openxmlformats.org/spreadsheetml/2006/main" id="72" name="Таблица2456789101117181920212223242526272829303132333435363738394041424344454647484950515253545556575859606162636466676869707173" displayName="Таблица2456789101117181920212223242526272829303132333435363738394041424344454647484950515253545556575859606162636466676869707173" ref="A2:F30" totalsRowCount="1" headerRowDxfId="466" dataDxfId="465">
  <autoFilter ref="A2:F29"/>
  <sortState ref="A3:G28">
    <sortCondition descending="1" ref="B1:B27"/>
  </sortState>
  <tableColumns count="6">
    <tableColumn id="1" name="№ п/п" totalsRowLabel="Всього" dataDxfId="464" totalsRowDxfId="46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62" totalsRowDxfId="461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60" totalsRowDxfId="459"/>
    <tableColumn id="4" name="Проти" totalsRowFunction="sum" dataDxfId="458" totalsRowDxfId="457"/>
    <tableColumn id="5" name="Утрим" totalsRowFunction="sum" dataDxfId="456" totalsRowDxfId="455"/>
    <tableColumn id="6" name="не голосували" totalsRowFunction="sum" dataDxfId="454" totalsRowDxfId="453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id="73" name="Таблица245678910111718192021222324252627282930313233343536373839404142434445464748495051525354555657585960616263646667686970717374" displayName="Таблица245678910111718192021222324252627282930313233343536373839404142434445464748495051525354555657585960616263646667686970717374" ref="A2:F30" totalsRowCount="1" headerRowDxfId="452" dataDxfId="451">
  <autoFilter ref="A2:F29"/>
  <sortState ref="A3:G28">
    <sortCondition descending="1" ref="B1:B27"/>
  </sortState>
  <tableColumns count="6">
    <tableColumn id="1" name="№ п/п" totalsRowLabel="Всього" dataDxfId="450" totalsRowDxfId="44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48" totalsRowDxfId="447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46" totalsRowDxfId="445"/>
    <tableColumn id="4" name="Проти" totalsRowFunction="sum" dataDxfId="444" totalsRowDxfId="443"/>
    <tableColumn id="5" name="Утрим" totalsRowFunction="sum" dataDxfId="442" totalsRowDxfId="441"/>
    <tableColumn id="6" name="не голосували" totalsRowFunction="sum" dataDxfId="440" totalsRowDxfId="439"/>
  </tableColumns>
  <tableStyleInfo name="TableStyleLight2" showFirstColumn="0" showLastColumn="0" showRowStripes="1" showColumnStripes="0"/>
</table>
</file>

<file path=xl/tables/table68.xml><?xml version="1.0" encoding="utf-8"?>
<table xmlns="http://schemas.openxmlformats.org/spreadsheetml/2006/main" id="71" name="Таблица24567891011171819202122232425262728293031323334353637383940414243444546474849505152535455565758596061626364666768697071737472" displayName="Таблица24567891011171819202122232425262728293031323334353637383940414243444546474849505152535455565758596061626364666768697071737472" ref="A2:F30" totalsRowCount="1" headerRowDxfId="438" dataDxfId="437">
  <autoFilter ref="A2:F29"/>
  <sortState ref="A3:G28">
    <sortCondition descending="1" ref="B1:B27"/>
  </sortState>
  <tableColumns count="6">
    <tableColumn id="1" name="№ п/п" totalsRowLabel="Всього" dataDxfId="436" totalsRowDxfId="43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34" totalsRowDxfId="433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32" totalsRowDxfId="431"/>
    <tableColumn id="4" name="Проти" totalsRowFunction="sum" dataDxfId="430" totalsRowDxfId="429"/>
    <tableColumn id="5" name="Утрим" totalsRowFunction="sum" dataDxfId="428" totalsRowDxfId="427"/>
    <tableColumn id="6" name="не голосували" totalsRowFunction="sum" dataDxfId="426" totalsRowDxfId="425"/>
  </tableColumns>
  <tableStyleInfo name="TableStyleLight2" showFirstColumn="0" showLastColumn="0" showRowStripes="1" showColumnStripes="0"/>
</table>
</file>

<file path=xl/tables/table69.xml><?xml version="1.0" encoding="utf-8"?>
<table xmlns="http://schemas.openxmlformats.org/spreadsheetml/2006/main" id="74" name="Таблица2456789101117181920212223242526272829303132333435363738394041424344454647484950515253545556575859606162636466676869707173747275" displayName="Таблица2456789101117181920212223242526272829303132333435363738394041424344454647484950515253545556575859606162636466676869707173747275" ref="A2:F30" totalsRowCount="1" headerRowDxfId="424" dataDxfId="423">
  <autoFilter ref="A2:F29"/>
  <sortState ref="A3:G28">
    <sortCondition descending="1" ref="B1:B27"/>
  </sortState>
  <tableColumns count="6">
    <tableColumn id="1" name="№ п/п" totalsRowLabel="Всього" dataDxfId="422" totalsRowDxfId="42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20" totalsRowDxfId="419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18" totalsRowDxfId="417"/>
    <tableColumn id="4" name="Проти" totalsRowFunction="sum" dataDxfId="416" totalsRowDxfId="415"/>
    <tableColumn id="5" name="Утрим" totalsRowFunction="sum" dataDxfId="414" totalsRowDxfId="413"/>
    <tableColumn id="6" name="не голосували" totalsRowFunction="sum" dataDxfId="412" totalsRowDxfId="411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Таблица245678" displayName="Таблица245678" ref="A2:F30" totalsRowCount="1" headerRowDxfId="1016" dataDxfId="1015">
  <autoFilter ref="A2:F29"/>
  <sortState ref="A3:G28">
    <sortCondition descending="1" ref="B1:B27"/>
  </sortState>
  <tableColumns count="6">
    <tableColumn id="1" name="№ п/п" totalsRowLabel="Всього" dataDxfId="1014" totalsRowDxfId="29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13" totalsRowDxfId="29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12" totalsRowDxfId="297"/>
    <tableColumn id="4" name="Проти" totalsRowFunction="sum" dataDxfId="1011" totalsRowDxfId="296"/>
    <tableColumn id="5" name="Утрим" totalsRowFunction="sum" dataDxfId="1010" totalsRowDxfId="295"/>
    <tableColumn id="6" name="не голосували" totalsRowFunction="sum" dataDxfId="1009" totalsRowDxfId="294"/>
  </tableColumns>
  <tableStyleInfo name="TableStyleLight2" showFirstColumn="0" showLastColumn="0" showRowStripes="1" showColumnStripes="0"/>
</table>
</file>

<file path=xl/tables/table70.xml><?xml version="1.0" encoding="utf-8"?>
<table xmlns="http://schemas.openxmlformats.org/spreadsheetml/2006/main" id="75" name="Таблица245678910111718192021222324252627282930313233343536373839404142434445464748495051525354555657585960616263646667686970717374727576" displayName="Таблица245678910111718192021222324252627282930313233343536373839404142434445464748495051525354555657585960616263646667686970717374727576" ref="A2:F30" totalsRowCount="1" headerRowDxfId="410" dataDxfId="409">
  <autoFilter ref="A2:F29"/>
  <sortState ref="A3:G28">
    <sortCondition descending="1" ref="B1:B27"/>
  </sortState>
  <tableColumns count="6">
    <tableColumn id="1" name="№ п/п" totalsRowLabel="Всього" dataDxfId="408" totalsRowDxfId="40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406" totalsRowDxfId="405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404" totalsRowDxfId="403"/>
    <tableColumn id="4" name="Проти" totalsRowFunction="sum" dataDxfId="402" totalsRowDxfId="401"/>
    <tableColumn id="5" name="Утрим" totalsRowFunction="sum" dataDxfId="400" totalsRowDxfId="399"/>
    <tableColumn id="6" name="не голосували" totalsRowFunction="sum" dataDxfId="398" totalsRowDxfId="397"/>
  </tableColumns>
  <tableStyleInfo name="TableStyleLight2" showFirstColumn="0" showLastColumn="0" showRowStripes="1" showColumnStripes="0"/>
</table>
</file>

<file path=xl/tables/table71.xml><?xml version="1.0" encoding="utf-8"?>
<table xmlns="http://schemas.openxmlformats.org/spreadsheetml/2006/main" id="76" name="Таблица24567891011171819202122232425262728293031323334353637383940414243444546474849505152535455565758596061626364666768697071737472757677" displayName="Таблица24567891011171819202122232425262728293031323334353637383940414243444546474849505152535455565758596061626364666768697071737472757677" ref="A2:F30" totalsRowCount="1" headerRowDxfId="396" dataDxfId="395">
  <autoFilter ref="A2:F29"/>
  <sortState ref="A3:G28">
    <sortCondition descending="1" ref="B1:B27"/>
  </sortState>
  <tableColumns count="6">
    <tableColumn id="1" name="№ п/п" totalsRowLabel="Всього" dataDxfId="394" totalsRowDxfId="39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92" totalsRowDxfId="391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90" totalsRowDxfId="389"/>
    <tableColumn id="4" name="Проти" totalsRowFunction="sum" dataDxfId="388" totalsRowDxfId="387"/>
    <tableColumn id="5" name="Утрим" totalsRowFunction="sum" dataDxfId="386" totalsRowDxfId="385"/>
    <tableColumn id="6" name="не голосували" totalsRowFunction="sum" dataDxfId="384" totalsRowDxfId="383"/>
  </tableColumns>
  <tableStyleInfo name="TableStyleLight2" showFirstColumn="0" showLastColumn="0" showRowStripes="1" showColumnStripes="0"/>
</table>
</file>

<file path=xl/tables/table72.xml><?xml version="1.0" encoding="utf-8"?>
<table xmlns="http://schemas.openxmlformats.org/spreadsheetml/2006/main" id="11" name="Таблица256789101112" displayName="Таблица256789101112" ref="A2:F30" totalsRowCount="1" headerRowDxfId="382" dataDxfId="381">
  <autoFilter ref="A2:F29"/>
  <sortState ref="A2:G27">
    <sortCondition descending="1" ref="B1:B27"/>
  </sortState>
  <tableColumns count="6">
    <tableColumn id="1" name="№ п/п" totalsRowLabel="Всього" dataDxfId="380" totalsRowDxfId="37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7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77" totalsRowDxfId="376"/>
    <tableColumn id="4" name="Проти" totalsRowFunction="sum" dataDxfId="375" totalsRowDxfId="374"/>
    <tableColumn id="5" name="Утрим" totalsRowFunction="sum" dataDxfId="373" totalsRowDxfId="372"/>
    <tableColumn id="6" name="не голосували" totalsRowFunction="sum" dataDxfId="371" totalsRowDxfId="370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id="14" name="Таблица256789101112131415" displayName="Таблица256789101112131415" ref="A2:F30" totalsRowCount="1" headerRowDxfId="369" dataDxfId="368">
  <autoFilter ref="A2:F29"/>
  <sortState ref="A2:G27">
    <sortCondition descending="1" ref="B1:B27"/>
  </sortState>
  <tableColumns count="6">
    <tableColumn id="1" name="№ п/п" totalsRowLabel="Всього" dataDxfId="367" totalsRowDxfId="366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65" totalsRowDxfId="36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63" totalsRowDxfId="362"/>
    <tableColumn id="4" name="Проти" totalsRowFunction="sum" dataDxfId="361" totalsRowDxfId="360"/>
    <tableColumn id="5" name="Утрим" totalsRowFunction="sum" dataDxfId="359" totalsRowDxfId="358"/>
    <tableColumn id="6" name="не голосували" totalsRowFunction="sum" dataDxfId="357" totalsRowDxfId="356"/>
  </tableColumns>
  <tableStyleInfo name="TableStyleLight2" showFirstColumn="0" showLastColumn="0" showRowStripes="1" showColumnStripes="0"/>
</table>
</file>

<file path=xl/tables/table74.xml><?xml version="1.0" encoding="utf-8"?>
<table xmlns="http://schemas.openxmlformats.org/spreadsheetml/2006/main" id="13" name="Таблица2567891011121314" displayName="Таблица2567891011121314" ref="A2:F30" totalsRowCount="1" headerRowDxfId="355" dataDxfId="354">
  <autoFilter ref="A2:F29"/>
  <sortState ref="A2:G27">
    <sortCondition descending="1" ref="B1:B27"/>
  </sortState>
  <tableColumns count="6">
    <tableColumn id="1" name="№ п/п" totalsRowLabel="Всього" dataDxfId="353" totalsRowDxfId="352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51" totalsRowDxfId="35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49" totalsRowDxfId="348"/>
    <tableColumn id="4" name="Проти" totalsRowFunction="sum" dataDxfId="347" totalsRowDxfId="346"/>
    <tableColumn id="5" name="Утрим" totalsRowFunction="sum" dataDxfId="345" totalsRowDxfId="344"/>
    <tableColumn id="6" name="не голосували" totalsRowFunction="sum" dataDxfId="343" totalsRowDxfId="342"/>
  </tableColumns>
  <tableStyleInfo name="TableStyleLight2" showFirstColumn="0" showLastColumn="0" showRowStripes="1" showColumnStripes="0"/>
</table>
</file>

<file path=xl/tables/table75.xml><?xml version="1.0" encoding="utf-8"?>
<table xmlns="http://schemas.openxmlformats.org/spreadsheetml/2006/main" id="15" name="Таблица2567891011121316" displayName="Таблица2567891011121316" ref="A2:F30" totalsRowCount="1" headerRowDxfId="341" dataDxfId="340">
  <autoFilter ref="A2:F29"/>
  <sortState ref="A2:G27">
    <sortCondition descending="1" ref="B1:B27"/>
  </sortState>
  <tableColumns count="6">
    <tableColumn id="1" name="№ п/п" totalsRowLabel="Всього" dataDxfId="339" totalsRowDxfId="338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37" totalsRowDxfId="33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35" totalsRowDxfId="334"/>
    <tableColumn id="4" name="Проти" totalsRowFunction="sum" dataDxfId="333" totalsRowDxfId="332"/>
    <tableColumn id="5" name="Утрим" totalsRowFunction="sum" dataDxfId="331" totalsRowDxfId="330"/>
    <tableColumn id="6" name="не голосували" totalsRowFunction="sum" dataDxfId="329" totalsRowDxfId="328"/>
  </tableColumns>
  <tableStyleInfo name="TableStyleLight2" showFirstColumn="0" showLastColumn="0" showRowStripes="1" showColumnStripes="0"/>
</table>
</file>

<file path=xl/tables/table76.xml><?xml version="1.0" encoding="utf-8"?>
<table xmlns="http://schemas.openxmlformats.org/spreadsheetml/2006/main" id="12" name="Таблица25678910111213" displayName="Таблица25678910111213" ref="A2:F30" totalsRowCount="1" headerRowDxfId="327" dataDxfId="326">
  <autoFilter ref="A2:F29"/>
  <sortState ref="A2:G27">
    <sortCondition descending="1" ref="B1:B27"/>
  </sortState>
  <tableColumns count="6">
    <tableColumn id="1" name="№ п/п" totalsRowLabel="Всього" dataDxfId="325" totalsRowDxfId="324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323" totalsRowDxfId="32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321" totalsRowDxfId="320"/>
    <tableColumn id="4" name="Проти" totalsRowFunction="sum" dataDxfId="319" totalsRowDxfId="318"/>
    <tableColumn id="5" name="Утрим" totalsRowFunction="sum" dataDxfId="317" totalsRowDxfId="316"/>
    <tableColumn id="6" name="не голосували" totalsRowFunction="sum" dataDxfId="315" totalsRowDxfId="314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8" name="Таблица2456789" displayName="Таблица2456789" ref="A2:F30" totalsRowCount="1" headerRowDxfId="1008" dataDxfId="1007">
  <autoFilter ref="A2:F29"/>
  <sortState ref="A3:G28">
    <sortCondition descending="1" ref="B1:B27"/>
  </sortState>
  <tableColumns count="6">
    <tableColumn id="1" name="№ п/п" totalsRowLabel="Всього" dataDxfId="1006" totalsRowDxfId="2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1005" totalsRowDxfId="2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1004" totalsRowDxfId="21"/>
    <tableColumn id="4" name="Проти" totalsRowFunction="sum" dataDxfId="1003" totalsRowDxfId="20"/>
    <tableColumn id="5" name="Утрим" totalsRowFunction="sum" dataDxfId="1002" totalsRowDxfId="19"/>
    <tableColumn id="6" name="не голосували" totalsRowFunction="sum" dataDxfId="1001" totalsRowDxfId="18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9" name="Таблица245678910" displayName="Таблица245678910" ref="A2:F30" totalsRowCount="1" headerRowDxfId="1000" dataDxfId="999">
  <autoFilter ref="A2:F29"/>
  <sortState ref="A3:G28">
    <sortCondition descending="1" ref="B1:B27"/>
  </sortState>
  <tableColumns count="6">
    <tableColumn id="1" name="№ п/п" totalsRowLabel="Всього" dataDxfId="998" totalsRowDxfId="1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97" totalsRowDxfId="1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96" totalsRowDxfId="15"/>
    <tableColumn id="4" name="Проти" totalsRowFunction="sum" dataDxfId="995" totalsRowDxfId="14"/>
    <tableColumn id="5" name="Утрим" totalsRowFunction="sum" dataDxfId="994" totalsRowDxfId="13"/>
    <tableColumn id="6" name="не голосували" totalsRowFunction="sum" dataDxfId="993" totalsRowDxfId="1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view="pageBreakPreview" zoomScale="70" zoomScaleNormal="100" zoomScaleSheetLayoutView="70" workbookViewId="0">
      <selection activeCell="C3" sqref="C3:E30"/>
    </sheetView>
  </sheetViews>
  <sheetFormatPr defaultRowHeight="15" x14ac:dyDescent="0.25"/>
  <cols>
    <col min="3" max="3" width="44.140625" customWidth="1"/>
    <col min="4" max="4" width="11.85546875" customWidth="1"/>
    <col min="5" max="5" width="11.42578125" bestFit="1" customWidth="1"/>
    <col min="6" max="6" width="25.28515625" customWidth="1"/>
  </cols>
  <sheetData>
    <row r="2" spans="1:6" ht="35.2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t="s">
        <v>17</v>
      </c>
    </row>
    <row r="3" spans="1:6" ht="16.5" thickBot="1" x14ac:dyDescent="0.3">
      <c r="A3" s="6">
        <f>IF(ISBLANK(F3),"",COUNTA($F$3:F3))</f>
        <v>1</v>
      </c>
      <c r="B3" s="7"/>
      <c r="C3" s="34" t="s">
        <v>15</v>
      </c>
      <c r="D3" s="8" t="s">
        <v>6</v>
      </c>
      <c r="E3" s="47">
        <f>IF([1]!Таблица1[[#This Row],[явка]]="прибув",1,"")</f>
        <v>1</v>
      </c>
      <c r="F3" s="18" t="s">
        <v>16</v>
      </c>
    </row>
    <row r="4" spans="1:6" ht="16.5" thickBot="1" x14ac:dyDescent="0.3">
      <c r="A4" s="6">
        <f>IF(ISBLANK(B4),"",COUNTA($B$3:B4))</f>
        <v>1</v>
      </c>
      <c r="B4" s="7">
        <v>5</v>
      </c>
      <c r="C4" s="34" t="s">
        <v>30</v>
      </c>
      <c r="D4" s="8" t="s">
        <v>6</v>
      </c>
      <c r="E4" s="8">
        <f>IF([1]!Таблица1[[#This Row],[явка]]="прибув",1,"")</f>
        <v>1</v>
      </c>
      <c r="F4" s="18"/>
    </row>
    <row r="5" spans="1:6" ht="16.5" thickBot="1" x14ac:dyDescent="0.3">
      <c r="A5" s="6">
        <f>IF(ISBLANK(B5),"",COUNTA($B$3:B5))</f>
        <v>2</v>
      </c>
      <c r="B5" s="7">
        <v>23</v>
      </c>
      <c r="C5" s="34" t="s">
        <v>42</v>
      </c>
      <c r="D5" s="8" t="s">
        <v>6</v>
      </c>
      <c r="E5" s="8">
        <f>IF([1]!Таблица1[[#This Row],[явка]]="прибув",1,"")</f>
        <v>1</v>
      </c>
      <c r="F5" s="18"/>
    </row>
    <row r="6" spans="1:6" ht="16.5" thickBot="1" x14ac:dyDescent="0.3">
      <c r="A6" s="6">
        <f>IF(ISBLANK(B6),"",COUNTA($B$3:B6))</f>
        <v>3</v>
      </c>
      <c r="B6" s="7">
        <v>19</v>
      </c>
      <c r="C6" s="34" t="s">
        <v>34</v>
      </c>
      <c r="D6" s="8" t="s">
        <v>6</v>
      </c>
      <c r="E6" s="8">
        <f>IF([1]!Таблица1[[#This Row],[явка]]="прибув",1,"")</f>
        <v>1</v>
      </c>
      <c r="F6" s="18"/>
    </row>
    <row r="7" spans="1:6" ht="16.5" thickBot="1" x14ac:dyDescent="0.3">
      <c r="A7" s="6">
        <f>IF(ISBLANK(B7),"",COUNTA($B$3:B7))</f>
        <v>4</v>
      </c>
      <c r="B7" s="7">
        <v>11</v>
      </c>
      <c r="C7" s="34" t="s">
        <v>38</v>
      </c>
      <c r="D7" s="8" t="s">
        <v>6</v>
      </c>
      <c r="E7" s="8">
        <f>IF([1]!Таблица1[[#This Row],[явка]]="прибув",1,"")</f>
        <v>1</v>
      </c>
      <c r="F7" s="18"/>
    </row>
    <row r="8" spans="1:6" ht="16.5" thickBot="1" x14ac:dyDescent="0.3">
      <c r="A8" s="6">
        <f>IF(ISBLANK(B8),"",COUNTA($B$3:B8))</f>
        <v>5</v>
      </c>
      <c r="B8" s="7">
        <v>15</v>
      </c>
      <c r="C8" s="34" t="s">
        <v>41</v>
      </c>
      <c r="D8" s="8" t="s">
        <v>6</v>
      </c>
      <c r="E8" s="8">
        <f>IF([1]!Таблица1[[#This Row],[явка]]="прибув",1,"")</f>
        <v>1</v>
      </c>
      <c r="F8" s="18"/>
    </row>
    <row r="9" spans="1:6" ht="16.5" thickBot="1" x14ac:dyDescent="0.3">
      <c r="A9" s="6">
        <f>IF(ISBLANK(B9),"",COUNTA($B$3:B9))</f>
        <v>6</v>
      </c>
      <c r="B9" s="7">
        <v>18</v>
      </c>
      <c r="C9" s="34" t="s">
        <v>28</v>
      </c>
      <c r="D9" s="8" t="s">
        <v>6</v>
      </c>
      <c r="E9" s="8">
        <f>IF([1]!Таблица1[[#This Row],[явка]]="прибув",1,"")</f>
        <v>1</v>
      </c>
      <c r="F9" s="18"/>
    </row>
    <row r="10" spans="1:6" ht="16.5" thickBot="1" x14ac:dyDescent="0.3">
      <c r="A10" s="6">
        <f>IF(ISBLANK(B10),"",COUNTA($B$3:B10))</f>
        <v>7</v>
      </c>
      <c r="B10" s="7">
        <v>3</v>
      </c>
      <c r="C10" s="34" t="s">
        <v>47</v>
      </c>
      <c r="D10" s="8" t="s">
        <v>6</v>
      </c>
      <c r="E10" s="8">
        <f>IF([1]!Таблица1[[#This Row],[явка]]="прибув",1,"")</f>
        <v>1</v>
      </c>
      <c r="F10" s="18"/>
    </row>
    <row r="11" spans="1:6" ht="16.5" thickBot="1" x14ac:dyDescent="0.3">
      <c r="A11" s="6">
        <f>IF(ISBLANK(B11),"",COUNTA($B$3:B11))</f>
        <v>8</v>
      </c>
      <c r="B11" s="7">
        <v>24</v>
      </c>
      <c r="C11" s="34" t="s">
        <v>32</v>
      </c>
      <c r="D11" s="8" t="s">
        <v>6</v>
      </c>
      <c r="E11" s="8">
        <f>IF([1]!Таблица1[[#This Row],[явка]]="прибув",1,"")</f>
        <v>1</v>
      </c>
      <c r="F11" s="18"/>
    </row>
    <row r="12" spans="1:6" ht="16.5" thickBot="1" x14ac:dyDescent="0.3">
      <c r="A12" s="6">
        <f>IF(ISBLANK(B12),"",COUNTA($B$3:B12))</f>
        <v>9</v>
      </c>
      <c r="B12" s="7">
        <v>8</v>
      </c>
      <c r="C12" s="34" t="s">
        <v>45</v>
      </c>
      <c r="D12" s="8" t="s">
        <v>9</v>
      </c>
      <c r="E12" s="8" t="str">
        <f>IF([1]!Таблица1[[#This Row],[явка]]="прибув",1,"")</f>
        <v/>
      </c>
      <c r="F12" s="18"/>
    </row>
    <row r="13" spans="1:6" ht="16.5" thickBot="1" x14ac:dyDescent="0.3">
      <c r="A13" s="6">
        <f>IF(ISBLANK(B13),"",COUNTA($B$3:B13))</f>
        <v>10</v>
      </c>
      <c r="B13" s="7">
        <v>21</v>
      </c>
      <c r="C13" s="34" t="s">
        <v>31</v>
      </c>
      <c r="D13" s="8" t="s">
        <v>6</v>
      </c>
      <c r="E13" s="8">
        <f>IF([1]!Таблица1[[#This Row],[явка]]="прибув",1,"")</f>
        <v>1</v>
      </c>
      <c r="F13" s="18"/>
    </row>
    <row r="14" spans="1:6" ht="16.5" thickBot="1" x14ac:dyDescent="0.3">
      <c r="A14" s="6">
        <f>IF(ISBLANK(B14),"",COUNTA($B$3:B14))</f>
        <v>11</v>
      </c>
      <c r="B14" s="7">
        <v>17</v>
      </c>
      <c r="C14" s="34" t="s">
        <v>49</v>
      </c>
      <c r="D14" s="8" t="s">
        <v>6</v>
      </c>
      <c r="E14" s="8">
        <f>IF([1]!Таблица1[[#This Row],[явка]]="прибув",1,"")</f>
        <v>1</v>
      </c>
      <c r="F14" s="18"/>
    </row>
    <row r="15" spans="1:6" ht="16.5" thickBot="1" x14ac:dyDescent="0.3">
      <c r="A15" s="6">
        <f>IF(ISBLANK(B15),"",COUNTA($B$3:B15))</f>
        <v>12</v>
      </c>
      <c r="B15" s="7">
        <v>6</v>
      </c>
      <c r="C15" s="34" t="s">
        <v>39</v>
      </c>
      <c r="D15" s="8" t="s">
        <v>6</v>
      </c>
      <c r="E15" s="8">
        <f>IF([1]!Таблица1[[#This Row],[явка]]="прибув",1,"")</f>
        <v>1</v>
      </c>
      <c r="F15" s="18"/>
    </row>
    <row r="16" spans="1:6" ht="16.5" thickBot="1" x14ac:dyDescent="0.3">
      <c r="A16" s="6">
        <f>IF(ISBLANK(B16),"",COUNTA($B$3:B16))</f>
        <v>13</v>
      </c>
      <c r="B16" s="7">
        <v>4</v>
      </c>
      <c r="C16" s="34" t="s">
        <v>5</v>
      </c>
      <c r="D16" s="8" t="s">
        <v>6</v>
      </c>
      <c r="E16" s="8">
        <f>IF([1]!Таблица1[[#This Row],[явка]]="прибув",1,"")</f>
        <v>1</v>
      </c>
      <c r="F16" s="18"/>
    </row>
    <row r="17" spans="1:6" ht="16.5" thickBot="1" x14ac:dyDescent="0.3">
      <c r="A17" s="6">
        <f>IF(ISBLANK(B17),"",COUNTA($B$3:B17))</f>
        <v>14</v>
      </c>
      <c r="B17" s="7">
        <v>22</v>
      </c>
      <c r="C17" s="34" t="s">
        <v>35</v>
      </c>
      <c r="D17" s="8" t="s">
        <v>6</v>
      </c>
      <c r="E17" s="8">
        <f>IF([1]!Таблица1[[#This Row],[явка]]="прибув",1,"")</f>
        <v>1</v>
      </c>
      <c r="F17" s="18"/>
    </row>
    <row r="18" spans="1:6" ht="16.5" thickBot="1" x14ac:dyDescent="0.3">
      <c r="A18" s="6">
        <f>IF(ISBLANK(B18),"",COUNTA($B$3:B18))</f>
        <v>15</v>
      </c>
      <c r="B18" s="7">
        <v>7</v>
      </c>
      <c r="C18" s="34" t="s">
        <v>43</v>
      </c>
      <c r="D18" s="8" t="s">
        <v>6</v>
      </c>
      <c r="E18" s="8">
        <f>IF([1]!Таблица1[[#This Row],[явка]]="прибув",1,"")</f>
        <v>1</v>
      </c>
      <c r="F18" s="18"/>
    </row>
    <row r="19" spans="1:6" ht="16.5" thickBot="1" x14ac:dyDescent="0.3">
      <c r="A19" s="6">
        <f>IF(ISBLANK(B19),"",COUNTA($B$3:B19))</f>
        <v>16</v>
      </c>
      <c r="B19" s="7">
        <v>26</v>
      </c>
      <c r="C19" s="34" t="s">
        <v>8</v>
      </c>
      <c r="D19" s="8" t="s">
        <v>6</v>
      </c>
      <c r="E19" s="8">
        <f>IF([1]!Таблица1[[#This Row],[явка]]="прибув",1,"")</f>
        <v>1</v>
      </c>
      <c r="F19" s="18"/>
    </row>
    <row r="20" spans="1:6" ht="16.5" thickBot="1" x14ac:dyDescent="0.3">
      <c r="A20" s="6">
        <f>IF(ISBLANK(B20),"",COUNTA($B$3:B20))</f>
        <v>17</v>
      </c>
      <c r="B20" s="7">
        <v>16</v>
      </c>
      <c r="C20" s="34" t="s">
        <v>36</v>
      </c>
      <c r="D20" s="8" t="s">
        <v>6</v>
      </c>
      <c r="E20" s="8">
        <f>IF([1]!Таблица1[[#This Row],[явка]]="прибув",1,"")</f>
        <v>1</v>
      </c>
      <c r="F20" s="18"/>
    </row>
    <row r="21" spans="1:6" ht="16.5" thickBot="1" x14ac:dyDescent="0.3">
      <c r="A21" s="6">
        <f>IF(ISBLANK(B21),"",COUNTA($B$3:B21))</f>
        <v>18</v>
      </c>
      <c r="B21" s="17">
        <v>1</v>
      </c>
      <c r="C21" s="34" t="s">
        <v>48</v>
      </c>
      <c r="D21" s="8" t="s">
        <v>6</v>
      </c>
      <c r="E21" s="8">
        <f>IF([1]!Таблица1[[#This Row],[явка]]="прибув",1,"")</f>
        <v>1</v>
      </c>
      <c r="F21" s="18"/>
    </row>
    <row r="22" spans="1:6" ht="16.5" thickBot="1" x14ac:dyDescent="0.3">
      <c r="A22" s="6">
        <f>IF(ISBLANK(B22),"",COUNTA($B$3:B22))</f>
        <v>19</v>
      </c>
      <c r="B22" s="7">
        <v>12</v>
      </c>
      <c r="C22" s="34" t="s">
        <v>37</v>
      </c>
      <c r="D22" s="8" t="s">
        <v>6</v>
      </c>
      <c r="E22" s="8">
        <f>IF([1]!Таблица1[[#This Row],[явка]]="прибув",1,"")</f>
        <v>1</v>
      </c>
      <c r="F22" s="18"/>
    </row>
    <row r="23" spans="1:6" ht="16.5" thickBot="1" x14ac:dyDescent="0.3">
      <c r="A23" s="6">
        <f>IF(ISBLANK(B23),"",COUNTA($B$3:B23))</f>
        <v>20</v>
      </c>
      <c r="B23" s="7">
        <v>20</v>
      </c>
      <c r="C23" s="34" t="s">
        <v>46</v>
      </c>
      <c r="D23" s="8" t="s">
        <v>9</v>
      </c>
      <c r="E23" s="8" t="str">
        <f>IF([1]!Таблица1[[#This Row],[явка]]="прибув",1,"")</f>
        <v/>
      </c>
      <c r="F23" s="18"/>
    </row>
    <row r="24" spans="1:6" ht="16.5" thickBot="1" x14ac:dyDescent="0.3">
      <c r="A24" s="6">
        <f>IF(ISBLANK(B24),"",COUNTA($B$3:B24))</f>
        <v>21</v>
      </c>
      <c r="B24" s="7">
        <v>10</v>
      </c>
      <c r="C24" s="34" t="s">
        <v>44</v>
      </c>
      <c r="D24" s="8" t="s">
        <v>9</v>
      </c>
      <c r="E24" s="8" t="str">
        <f>IF([1]!Таблица1[[#This Row],[явка]]="прибув",1,"")</f>
        <v/>
      </c>
      <c r="F24" s="18"/>
    </row>
    <row r="25" spans="1:6" ht="16.5" thickBot="1" x14ac:dyDescent="0.3">
      <c r="A25" s="6">
        <f>IF(ISBLANK(B25),"",COUNTA($B$3:B25))</f>
        <v>22</v>
      </c>
      <c r="B25" s="7">
        <v>13</v>
      </c>
      <c r="C25" s="34" t="s">
        <v>40</v>
      </c>
      <c r="D25" s="8" t="s">
        <v>9</v>
      </c>
      <c r="E25" s="8" t="str">
        <f>IF([1]!Таблица1[[#This Row],[явка]]="прибув",1,"")</f>
        <v/>
      </c>
      <c r="F25" s="18"/>
    </row>
    <row r="26" spans="1:6" ht="16.5" thickBot="1" x14ac:dyDescent="0.3">
      <c r="A26" s="6">
        <f>IF(ISBLANK(B26),"",COUNTA($B$3:B26))</f>
        <v>23</v>
      </c>
      <c r="B26" s="7">
        <v>25</v>
      </c>
      <c r="C26" s="34" t="s">
        <v>7</v>
      </c>
      <c r="D26" s="8" t="s">
        <v>9</v>
      </c>
      <c r="E26" s="8" t="str">
        <f>IF([1]!Таблица1[[#This Row],[явка]]="прибув",1,"")</f>
        <v/>
      </c>
      <c r="F26" s="18"/>
    </row>
    <row r="27" spans="1:6" ht="16.5" thickBot="1" x14ac:dyDescent="0.3">
      <c r="A27" s="6">
        <f>IF(ISBLANK(B27),"",COUNTA($B$3:B27))</f>
        <v>24</v>
      </c>
      <c r="B27" s="7">
        <v>2</v>
      </c>
      <c r="C27" s="34" t="s">
        <v>29</v>
      </c>
      <c r="D27" s="8" t="s">
        <v>9</v>
      </c>
      <c r="E27" s="8" t="str">
        <f>IF([1]!Таблица1[[#This Row],[явка]]="прибув",1,"")</f>
        <v/>
      </c>
      <c r="F27" s="18"/>
    </row>
    <row r="28" spans="1:6" ht="16.5" thickBot="1" x14ac:dyDescent="0.3">
      <c r="A28" s="6">
        <f>IF(ISBLANK(B28),"",COUNTA($B$3:B28))</f>
        <v>25</v>
      </c>
      <c r="B28" s="7">
        <v>9</v>
      </c>
      <c r="C28" s="34" t="s">
        <v>10</v>
      </c>
      <c r="D28" s="8" t="s">
        <v>6</v>
      </c>
      <c r="E28" s="8">
        <f>IF([1]!Таблица1[[#This Row],[явка]]="прибув",1,"")</f>
        <v>1</v>
      </c>
      <c r="F28" s="18"/>
    </row>
    <row r="29" spans="1:6" ht="16.5" thickBot="1" x14ac:dyDescent="0.3">
      <c r="A29" s="6">
        <f>IF(ISBLANK(B29),"",COUNTA($B$3:B29))</f>
        <v>26</v>
      </c>
      <c r="B29" s="7">
        <v>14</v>
      </c>
      <c r="C29" s="34" t="s">
        <v>33</v>
      </c>
      <c r="D29" s="8" t="s">
        <v>9</v>
      </c>
      <c r="E29" s="8" t="str">
        <f>IF([1]!Таблица1[[#This Row],[явка]]="прибув",1,"")</f>
        <v/>
      </c>
      <c r="F29" s="18"/>
    </row>
    <row r="30" spans="1:6" ht="15.75" x14ac:dyDescent="0.25">
      <c r="A30" s="48" t="s">
        <v>11</v>
      </c>
      <c r="B30" s="48"/>
      <c r="C30" s="49"/>
      <c r="D30" s="50"/>
      <c r="E30" s="51">
        <f>SUBTOTAL(109,[1]!Таблица1[кількість прибувших депутатів])-1</f>
        <v>19</v>
      </c>
    </row>
  </sheetData>
  <sheetProtection selectLockedCells="1" selectUnlockedCells="1"/>
  <pageMargins left="0.7" right="0.7" top="0.75" bottom="0.75" header="0.3" footer="0.3"/>
  <pageSetup paperSize="9" scale="73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'C:\Users\user\Desktop\26 сесія чергова 21 лютого 2019 року\[поіменне голосування ОТГ.xlsx]дані'!#REF!</xm:f>
          </x14:formula1>
          <xm:sqref>D3:D29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H19" sqref="H1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9.75" customHeight="1" x14ac:dyDescent="0.25">
      <c r="B1" s="42" t="str">
        <f>'Порядок денний '!B9</f>
        <v>Про надання дозволу на розроблення проекту землеустрою щодо відведення земельної ділянки (Науменко)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>
        <v>1</v>
      </c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SUBTOTAL(109,Таблица245678910[За])</f>
        <v>18</v>
      </c>
      <c r="D30" s="28">
        <f>SUBTOTAL(109,Таблица245678910[Проти])</f>
        <v>0</v>
      </c>
      <c r="E30" s="28">
        <f>SUBTOTAL(109,Таблица245678910[Утрим])</f>
        <v>0</v>
      </c>
      <c r="F30" s="28">
        <f>SUBTOTAL(109,Таблица245678910[не голосували])</f>
        <v>1</v>
      </c>
    </row>
    <row r="31" spans="1:7" x14ac:dyDescent="0.25">
      <c r="B31" t="str">
        <f>IF(Таблица245678910[[#Totals],[За]]&gt;13,"Рішення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F2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2.25" customHeight="1" x14ac:dyDescent="0.25">
      <c r="B1" s="42" t="str">
        <f>'Порядок денний '!B10</f>
        <v>Про надання дозволу на розроблення проекту землеустрою щодо відведення земельної ділянки (Онищенко)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>
        <v>1</v>
      </c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SUBTOTAL(109,Таблица24567891011[За])</f>
        <v>19</v>
      </c>
      <c r="D30" s="46">
        <f>SUBTOTAL(109,Таблица24567891011[Проти])</f>
        <v>0</v>
      </c>
      <c r="E30" s="46">
        <f>SUBTOTAL(109,Таблица24567891011[Утрим])</f>
        <v>0</v>
      </c>
      <c r="F30" s="46">
        <f>SUBTOTAL(109,Таблица24567891011[не голосували])</f>
        <v>1</v>
      </c>
    </row>
    <row r="31" spans="1:7" x14ac:dyDescent="0.25">
      <c r="B31" t="str">
        <f>IF(Таблица24567891011[[#Totals],[За]]&gt;13,"Рішення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F2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'!B11</f>
        <v>Про надання дозволу на розроблення проекту землеустрою щодо відведення земельної ділянки (Онищенко)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>
        <v>1</v>
      </c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SUBTOTAL(109,Таблица2456789101117[За])</f>
        <v>19</v>
      </c>
      <c r="D30" s="46">
        <f>SUBTOTAL(109,Таблица2456789101117[Проти])</f>
        <v>0</v>
      </c>
      <c r="E30" s="46">
        <f>SUBTOTAL(109,Таблица2456789101117[Утрим])</f>
        <v>0</v>
      </c>
      <c r="F30" s="46">
        <f>SUBTOTAL(109,Таблица2456789101117[не голосували])</f>
        <v>1</v>
      </c>
    </row>
    <row r="31" spans="1:7" x14ac:dyDescent="0.25">
      <c r="B31" t="str">
        <f>IF(Таблица2456789101117[[#Totals],[За]]&gt;13,"Рішення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L15" sqref="L15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41.25" customHeight="1" x14ac:dyDescent="0.25">
      <c r="B1" s="42" t="str">
        <f>'Порядок денний '!B12</f>
        <v>Про надання дозволу на розроблення проекту землеустрою щодо відведення земельної ділянки (Деревко)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>
        <v>1</v>
      </c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>
        <v>1</v>
      </c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>
        <v>1</v>
      </c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>
        <v>1</v>
      </c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>
        <v>1</v>
      </c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>
        <v>1</v>
      </c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>
        <v>1</v>
      </c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>
        <v>1</v>
      </c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>
        <v>1</v>
      </c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>
        <v>1</v>
      </c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>
        <v>1</v>
      </c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>
        <v>1</v>
      </c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>
        <v>1</v>
      </c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>
        <v>1</v>
      </c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>
        <v>1</v>
      </c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>
        <v>1</v>
      </c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>
        <v>1</v>
      </c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SUBTOTAL(109,Таблица245678910111718[За])</f>
        <v>2</v>
      </c>
      <c r="D30" s="46">
        <f>SUBTOTAL(109,Таблица245678910111718[Проти])</f>
        <v>4</v>
      </c>
      <c r="E30" s="46">
        <f>SUBTOTAL(109,Таблица245678910111718[Утрим])</f>
        <v>13</v>
      </c>
      <c r="F30" s="46">
        <f>SUBTOTAL(109,Таблица245678910111718[не голосували])</f>
        <v>0</v>
      </c>
    </row>
    <row r="31" spans="1:7" x14ac:dyDescent="0.25">
      <c r="B31" t="str">
        <f>IF(Таблица245678910111718[[#Totals],[За]]&gt;13,"Рішення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5.25" customHeight="1" x14ac:dyDescent="0.25">
      <c r="B1" s="42" t="str">
        <f>'Порядок денний '!B13</f>
        <v>Про надання дозволу на розроблення проекту землеустрою щодо відведення земельної ділянки (Шавро)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SUBTOTAL(109,Таблица24567891011171819[За])</f>
        <v>19</v>
      </c>
      <c r="D30" s="46">
        <f>SUBTOTAL(109,Таблица24567891011171819[Проти])</f>
        <v>0</v>
      </c>
      <c r="E30" s="46">
        <f>SUBTOTAL(109,Таблица24567891011171819[Утрим])</f>
        <v>0</v>
      </c>
      <c r="F30" s="46">
        <f>SUBTOTAL(109,Таблица24567891011171819[не голосували])</f>
        <v>0</v>
      </c>
    </row>
    <row r="31" spans="1:7" x14ac:dyDescent="0.25">
      <c r="B31" t="str">
        <f>IF(Таблица24567891011171819[[#Totals],[За]]&gt;13,"Рішення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2.25" customHeight="1" x14ac:dyDescent="0.25">
      <c r="B1" s="42" t="str">
        <f>'Порядок денний '!B14</f>
        <v>Про надання дозволу на розроблення проекту землеустрою щодо відведення земельної ділянки (Дончак)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SUBTOTAL(109,Таблица2456789101117181920[За])</f>
        <v>19</v>
      </c>
      <c r="D30" s="46">
        <f>SUBTOTAL(109,Таблица2456789101117181920[Проти])</f>
        <v>0</v>
      </c>
      <c r="E30" s="46">
        <f>SUBTOTAL(109,Таблица2456789101117181920[Утрим])</f>
        <v>0</v>
      </c>
      <c r="F30" s="46">
        <f>SUBTOTAL(109,Таблица2456789101117181920[не голосували])</f>
        <v>0</v>
      </c>
    </row>
    <row r="31" spans="1:7" x14ac:dyDescent="0.25">
      <c r="B31" t="str">
        <f>IF(Таблица2456789101117181920[[#Totals],[За]]&gt;13,"Рішення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1.5" customHeight="1" x14ac:dyDescent="0.25">
      <c r="B1" s="42" t="str">
        <f>'Порядок денний '!B15</f>
        <v>Про надання дозволу на розроблення проекту землеустрою щодо відведення земельної ділянки (Стоян)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SUBTOTAL(109,Таблица245678910111718192021[За])</f>
        <v>19</v>
      </c>
      <c r="D30" s="46">
        <f>SUBTOTAL(109,Таблица245678910111718192021[Проти])</f>
        <v>0</v>
      </c>
      <c r="E30" s="46">
        <f>SUBTOTAL(109,Таблица245678910111718192021[Утрим])</f>
        <v>0</v>
      </c>
      <c r="F30" s="46">
        <f>SUBTOTAL(109,Таблица245678910111718192021[не голосували])</f>
        <v>0</v>
      </c>
    </row>
    <row r="31" spans="1:7" x14ac:dyDescent="0.25">
      <c r="B31" t="str">
        <f>IF(Таблица245678910111718192021[[#Totals],[За]]&gt;13,"Рішення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9.75" customHeight="1" x14ac:dyDescent="0.25">
      <c r="B1" s="42" t="str">
        <f>'Порядок денний '!B16</f>
        <v>Про надання дозволу на розроблення проекту землеустрою щодо відведення земельної ділянки (Вюницький)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SUBTOTAL(109,Таблица24567891011171819202122[За])</f>
        <v>19</v>
      </c>
      <c r="D30" s="46">
        <f>SUBTOTAL(109,Таблица24567891011171819202122[Проти])</f>
        <v>0</v>
      </c>
      <c r="E30" s="46">
        <f>SUBTOTAL(109,Таблица24567891011171819202122[Утрим])</f>
        <v>0</v>
      </c>
      <c r="F30" s="46">
        <f>SUBTOTAL(109,Таблица24567891011171819202122[не голосували])</f>
        <v>0</v>
      </c>
    </row>
    <row r="31" spans="1:7" x14ac:dyDescent="0.25">
      <c r="B31" t="str">
        <f>IF(Таблица24567891011171819202122[[#Totals],[За]]&gt;13,"Рішення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E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'!B17</f>
        <v>Про надання дозволу на розроблення проекту землеустрою щодо відведення земельної ділянки (Кива)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>
        <v>1</v>
      </c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>
        <v>1</v>
      </c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>
        <v>1</v>
      </c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>
        <v>1</v>
      </c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>
        <v>1</v>
      </c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>
        <v>1</v>
      </c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SUBTOTAL(109,Таблица2456789101117181920212223[За])</f>
        <v>13</v>
      </c>
      <c r="D30" s="46">
        <f>SUBTOTAL(109,Таблица2456789101117181920212223[Проти])</f>
        <v>1</v>
      </c>
      <c r="E30" s="46">
        <f>SUBTOTAL(109,Таблица2456789101117181920212223[Утрим])</f>
        <v>5</v>
      </c>
      <c r="F30" s="46"/>
    </row>
    <row r="31" spans="1:7" x14ac:dyDescent="0.25">
      <c r="B31" t="str">
        <f>IF(Таблица2456789101117181920212223[[#Totals],[За]]&gt;13,"Рішення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E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'!B18</f>
        <v>Про надання дозволу на розроблення проекту землеустрою щодо відведення земельної ділянки (Бобошко)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SUBTOTAL(109,Таблица245678910111718192021222324[За])</f>
        <v>19</v>
      </c>
      <c r="D30" s="46">
        <f>SUBTOTAL(109,Таблица245678910111718192021222324[Проти])</f>
        <v>0</v>
      </c>
      <c r="E30" s="46">
        <f>SUBTOTAL(109,Таблица245678910111718192021222324[Утрим])</f>
        <v>0</v>
      </c>
      <c r="F30" s="46">
        <f>SUBTOTAL(109,Таблица245678910111718192021222324[не голосували])</f>
        <v>0</v>
      </c>
    </row>
    <row r="31" spans="1:7" x14ac:dyDescent="0.25">
      <c r="B31" t="str">
        <f>IF(Таблица245678910111718192021222324[[#Totals],[За]]&gt;13,"Рішення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Normal="100" zoomScaleSheetLayoutView="100" workbookViewId="0">
      <selection activeCell="H2" sqref="H2:H53"/>
    </sheetView>
  </sheetViews>
  <sheetFormatPr defaultRowHeight="15" x14ac:dyDescent="0.25"/>
  <cols>
    <col min="1" max="1" width="7.28515625" style="29" bestFit="1" customWidth="1"/>
    <col min="2" max="2" width="69.42578125" style="16" customWidth="1"/>
    <col min="3" max="4" width="9.140625" style="20"/>
    <col min="5" max="5" width="14.85546875" style="20" customWidth="1"/>
    <col min="6" max="6" width="17.28515625" style="20" customWidth="1"/>
    <col min="7" max="7" width="23.85546875" style="33" customWidth="1"/>
    <col min="8" max="8" width="10.140625" customWidth="1"/>
  </cols>
  <sheetData>
    <row r="1" spans="1:8" s="24" customFormat="1" ht="32.25" thickBot="1" x14ac:dyDescent="0.3">
      <c r="A1" s="30" t="s">
        <v>0</v>
      </c>
      <c r="B1" s="21" t="s">
        <v>26</v>
      </c>
      <c r="C1" s="22" t="s">
        <v>22</v>
      </c>
      <c r="D1" s="22" t="s">
        <v>23</v>
      </c>
      <c r="E1" s="23" t="s">
        <v>24</v>
      </c>
      <c r="F1" s="21" t="s">
        <v>27</v>
      </c>
      <c r="G1" s="31" t="s">
        <v>25</v>
      </c>
      <c r="H1" s="52" t="s">
        <v>50</v>
      </c>
    </row>
    <row r="2" spans="1:8" ht="32.25" thickBot="1" x14ac:dyDescent="0.3">
      <c r="A2" s="37">
        <f>IF(ISBLANK(B2),"",COUNTA($B$2:B2))</f>
        <v>1</v>
      </c>
      <c r="B2" s="40" t="s">
        <v>51</v>
      </c>
      <c r="C2" s="19">
        <f>Таблица2[[#Totals],[За]]</f>
        <v>18</v>
      </c>
      <c r="D2" s="19">
        <f>Таблица2[[#Totals],[Проти]]</f>
        <v>0</v>
      </c>
      <c r="E2" s="19">
        <f>Таблица2[[#Totals],[Утрим]]</f>
        <v>0</v>
      </c>
      <c r="F2" s="38">
        <f>Таблица2[[#Totals],[не голосували]]</f>
        <v>1</v>
      </c>
      <c r="G2" s="32" t="str">
        <f>'1'!$B$31</f>
        <v>Рішення прийнято</v>
      </c>
      <c r="H2" s="53">
        <v>29</v>
      </c>
    </row>
    <row r="3" spans="1:8" ht="48" thickBot="1" x14ac:dyDescent="0.3">
      <c r="A3" s="37">
        <f>IF(ISBLANK(B3),"",COUNTA($B$2:B3))</f>
        <v>2</v>
      </c>
      <c r="B3" s="41" t="s">
        <v>52</v>
      </c>
      <c r="C3" s="19">
        <f>Таблица24[[#Totals],[За]]</f>
        <v>17</v>
      </c>
      <c r="D3" s="19">
        <f>Таблица24[[#Totals],[Проти]]</f>
        <v>0</v>
      </c>
      <c r="E3" s="19">
        <f>Таблица24[[#Totals],[Утрим]]</f>
        <v>1</v>
      </c>
      <c r="F3" s="38">
        <f>Таблица24[[#Totals],[не голосували]]</f>
        <v>1</v>
      </c>
      <c r="G3" s="32" t="str">
        <f>'2'!$B$31</f>
        <v>Рішення прийнято</v>
      </c>
      <c r="H3" s="53">
        <v>30</v>
      </c>
    </row>
    <row r="4" spans="1:8" ht="48" thickBot="1" x14ac:dyDescent="0.3">
      <c r="A4" s="37">
        <f>IF(ISBLANK(B4),"",COUNTA($B$2:B4))</f>
        <v>3</v>
      </c>
      <c r="B4" s="40" t="s">
        <v>53</v>
      </c>
      <c r="C4" s="19">
        <f>Таблица245[[#Totals],[За]]</f>
        <v>20</v>
      </c>
      <c r="D4" s="19">
        <f>Таблица245[[#Totals],[Проти]]</f>
        <v>0</v>
      </c>
      <c r="E4" s="19">
        <f>Таблица245[[#Totals],[Утрим]]</f>
        <v>0</v>
      </c>
      <c r="F4" s="38">
        <f>Таблица245[[#Totals],[не голосували]]</f>
        <v>0</v>
      </c>
      <c r="G4" s="32" t="str">
        <f>'3'!$B$31</f>
        <v>Рішення прийнято</v>
      </c>
      <c r="H4" s="53">
        <v>31</v>
      </c>
    </row>
    <row r="5" spans="1:8" ht="32.25" thickBot="1" x14ac:dyDescent="0.3">
      <c r="A5" s="37">
        <f>IF(ISBLANK(B5),"",COUNTA($B$2:B5))</f>
        <v>4</v>
      </c>
      <c r="B5" s="41" t="s">
        <v>54</v>
      </c>
      <c r="C5" s="19">
        <f>Таблица2456[[#Totals],[За]]</f>
        <v>20</v>
      </c>
      <c r="D5" s="19">
        <f>Таблица2456[[#Totals],[Проти]]</f>
        <v>0</v>
      </c>
      <c r="E5" s="19">
        <f>Таблица2456[[#Totals],[Утрим]]</f>
        <v>0</v>
      </c>
      <c r="F5" s="38">
        <f>Таблица2456[[#Totals],[не голосували]]</f>
        <v>0</v>
      </c>
      <c r="G5" s="32" t="str">
        <f>'4'!$B$31</f>
        <v>Рішення прийнято</v>
      </c>
      <c r="H5" s="53">
        <v>32</v>
      </c>
    </row>
    <row r="6" spans="1:8" ht="16.5" thickBot="1" x14ac:dyDescent="0.3">
      <c r="A6" s="37">
        <f>IF(ISBLANK(B6),"",COUNTA($B$2:B6))</f>
        <v>5</v>
      </c>
      <c r="B6" s="40" t="s">
        <v>55</v>
      </c>
      <c r="C6" s="19">
        <f>Таблица24567[[#Totals],[За]]</f>
        <v>20</v>
      </c>
      <c r="D6" s="19">
        <f>Таблица24567[[#Totals],[Проти]]</f>
        <v>0</v>
      </c>
      <c r="E6" s="19">
        <f>Таблица24567[[#Totals],[Утрим]]</f>
        <v>0</v>
      </c>
      <c r="F6" s="38">
        <f>Таблица24567[[#Totals],[не голосували]]</f>
        <v>0</v>
      </c>
      <c r="G6" s="32" t="str">
        <f>'5'!$B$31</f>
        <v>Рішення прийнято</v>
      </c>
      <c r="H6" s="53">
        <v>33</v>
      </c>
    </row>
    <row r="7" spans="1:8" ht="32.25" thickBot="1" x14ac:dyDescent="0.3">
      <c r="A7" s="37">
        <f>IF(ISBLANK(B7),"",COUNTA($B$2:B7))</f>
        <v>6</v>
      </c>
      <c r="B7" s="41" t="s">
        <v>56</v>
      </c>
      <c r="C7" s="19">
        <f>Таблица245678[[#Totals],[За]]</f>
        <v>0</v>
      </c>
      <c r="D7" s="19">
        <f>Таблица245678[[#Totals],[Проти]]</f>
        <v>12</v>
      </c>
      <c r="E7" s="19">
        <f>Таблица245678[[#Totals],[Утрим]]</f>
        <v>7</v>
      </c>
      <c r="F7" s="38">
        <f>Таблица245678[[#Totals],[не голосували]]</f>
        <v>1</v>
      </c>
      <c r="G7" s="32" t="str">
        <f>'6'!$B$31</f>
        <v>Рішення не прийнято</v>
      </c>
      <c r="H7" s="53" t="str">
        <f t="shared" ref="H7:H12" si="0">IF(G7="Рішення прийнято",1,"")</f>
        <v/>
      </c>
    </row>
    <row r="8" spans="1:8" ht="32.25" thickBot="1" x14ac:dyDescent="0.3">
      <c r="A8" s="37">
        <f>IF(ISBLANK(B8),"",COUNTA($B$2:B8))</f>
        <v>7</v>
      </c>
      <c r="B8" s="40" t="s">
        <v>57</v>
      </c>
      <c r="C8" s="19">
        <f>Таблица2456789[[#Totals],[За]]</f>
        <v>20</v>
      </c>
      <c r="D8" s="19">
        <f>Таблица2456789[[#Totals],[Проти]]</f>
        <v>0</v>
      </c>
      <c r="E8" s="19">
        <f>Таблица2456789[[#Totals],[Утрим]]</f>
        <v>0</v>
      </c>
      <c r="F8" s="38">
        <f>Таблица2456789[[#Totals],[не голосували]]</f>
        <v>0</v>
      </c>
      <c r="G8" s="32" t="str">
        <f>'7'!$B$31</f>
        <v>Рішення прийнято</v>
      </c>
      <c r="H8" s="53">
        <v>34</v>
      </c>
    </row>
    <row r="9" spans="1:8" ht="32.25" thickBot="1" x14ac:dyDescent="0.3">
      <c r="A9" s="37">
        <f>IF(ISBLANK(B9),"",COUNTA($B$2:B9))</f>
        <v>8</v>
      </c>
      <c r="B9" s="41" t="s">
        <v>58</v>
      </c>
      <c r="C9" s="19">
        <f>Таблица245678910[[#Totals],[За]]</f>
        <v>18</v>
      </c>
      <c r="D9" s="19">
        <f>Таблица245678910[[#Totals],[Проти]]</f>
        <v>0</v>
      </c>
      <c r="E9" s="19">
        <f>Таблица245678910[[#Totals],[Утрим]]</f>
        <v>0</v>
      </c>
      <c r="F9" s="38">
        <f>Таблица245678910[[#Totals],[не голосували]]</f>
        <v>1</v>
      </c>
      <c r="G9" s="32" t="str">
        <f>'8'!$B$31</f>
        <v>Рішення прийнято</v>
      </c>
      <c r="H9" s="53">
        <v>35</v>
      </c>
    </row>
    <row r="10" spans="1:8" ht="32.25" thickBot="1" x14ac:dyDescent="0.3">
      <c r="A10" s="37">
        <f>IF(ISBLANK(B10),"",COUNTA($B$2:B10))</f>
        <v>9</v>
      </c>
      <c r="B10" s="40" t="s">
        <v>59</v>
      </c>
      <c r="C10" s="19">
        <f>Таблица24567891011[[#Totals],[За]]</f>
        <v>19</v>
      </c>
      <c r="D10" s="19">
        <f>Таблица24567891011[[#Totals],[Проти]]</f>
        <v>0</v>
      </c>
      <c r="E10" s="19">
        <f>Таблица24567891011[[#Totals],[Утрим]]</f>
        <v>0</v>
      </c>
      <c r="F10" s="38">
        <f>Таблица24567891011[[#Totals],[не голосували]]</f>
        <v>1</v>
      </c>
      <c r="G10" s="32" t="str">
        <f>'9'!$B$31</f>
        <v>Рішення прийнято</v>
      </c>
      <c r="H10" s="53">
        <v>36</v>
      </c>
    </row>
    <row r="11" spans="1:8" ht="32.25" thickBot="1" x14ac:dyDescent="0.3">
      <c r="A11" s="37">
        <f>IF(ISBLANK(B11),"",COUNTA($B$2:B11))</f>
        <v>10</v>
      </c>
      <c r="B11" s="41" t="s">
        <v>59</v>
      </c>
      <c r="C11" s="19">
        <f>Таблица2456789101117[[#Totals],[За]]</f>
        <v>19</v>
      </c>
      <c r="D11" s="19">
        <f>Таблица2456789101117[[#Totals],[Проти]]</f>
        <v>0</v>
      </c>
      <c r="E11" s="19">
        <f>Таблица2456789101117[[#Totals],[Утрим]]</f>
        <v>0</v>
      </c>
      <c r="F11" s="38">
        <f>Таблица2456789101117[[#Totals],[не голосували]]</f>
        <v>1</v>
      </c>
      <c r="G11" s="32" t="str">
        <f>'10'!$B$31</f>
        <v>Рішення прийнято</v>
      </c>
      <c r="H11" s="53">
        <v>37</v>
      </c>
    </row>
    <row r="12" spans="1:8" ht="32.25" thickBot="1" x14ac:dyDescent="0.3">
      <c r="A12" s="37">
        <f>IF(ISBLANK(B12),"",COUNTA($B$2:B12))</f>
        <v>11</v>
      </c>
      <c r="B12" s="40" t="s">
        <v>60</v>
      </c>
      <c r="C12" s="19">
        <f>Таблица245678910111718[[#Totals],[За]]</f>
        <v>2</v>
      </c>
      <c r="D12" s="19">
        <f>Таблица245678910111718[[#Totals],[Проти]]</f>
        <v>4</v>
      </c>
      <c r="E12" s="19">
        <f>Таблица245678910111718[[#Totals],[Утрим]]</f>
        <v>13</v>
      </c>
      <c r="F12" s="38">
        <f>Таблица245678910111718[[#Totals],[не голосували]]</f>
        <v>0</v>
      </c>
      <c r="G12" s="32" t="str">
        <f>'11'!$B$31</f>
        <v>Рішення не прийнято</v>
      </c>
      <c r="H12" s="53" t="str">
        <f t="shared" si="0"/>
        <v/>
      </c>
    </row>
    <row r="13" spans="1:8" ht="32.25" thickBot="1" x14ac:dyDescent="0.3">
      <c r="A13" s="37">
        <f>IF(ISBLANK(B13),"",COUNTA($B$2:B13))</f>
        <v>12</v>
      </c>
      <c r="B13" s="41" t="s">
        <v>61</v>
      </c>
      <c r="C13" s="19">
        <f>Таблица24567891011171819[[#Totals],[За]]</f>
        <v>19</v>
      </c>
      <c r="D13" s="19">
        <f>Таблица24567891011171819[[#Totals],[Проти]]</f>
        <v>0</v>
      </c>
      <c r="E13" s="19">
        <f>Таблица24567891011171819[[#Totals],[Утрим]]</f>
        <v>0</v>
      </c>
      <c r="F13" s="38">
        <f>Таблица24567891011171819[[#Totals],[не голосували]]</f>
        <v>0</v>
      </c>
      <c r="G13" s="32" t="str">
        <f>'12'!$B$31</f>
        <v>Рішення прийнято</v>
      </c>
      <c r="H13" s="53">
        <v>38</v>
      </c>
    </row>
    <row r="14" spans="1:8" ht="32.25" thickBot="1" x14ac:dyDescent="0.3">
      <c r="A14" s="37">
        <f>IF(ISBLANK(B14),"",COUNTA($B$2:B14))</f>
        <v>13</v>
      </c>
      <c r="B14" s="40" t="s">
        <v>62</v>
      </c>
      <c r="C14" s="19">
        <f>Таблица2456789101117181920[[#Totals],[За]]</f>
        <v>19</v>
      </c>
      <c r="D14" s="19">
        <f>Таблица2456789101117181920[[#Totals],[Проти]]</f>
        <v>0</v>
      </c>
      <c r="E14" s="19">
        <f>Таблица2456789101117181920[[#Totals],[Утрим]]</f>
        <v>0</v>
      </c>
      <c r="F14" s="38">
        <f>Таблица2456789101117181920[[#Totals],[не голосували]]</f>
        <v>0</v>
      </c>
      <c r="G14" s="32" t="str">
        <f>'13'!$B$31</f>
        <v>Рішення прийнято</v>
      </c>
      <c r="H14" s="53">
        <v>39</v>
      </c>
    </row>
    <row r="15" spans="1:8" ht="32.25" thickBot="1" x14ac:dyDescent="0.3">
      <c r="A15" s="37">
        <f>IF(ISBLANK(B15),"",COUNTA($B$2:B15))</f>
        <v>14</v>
      </c>
      <c r="B15" s="41" t="s">
        <v>63</v>
      </c>
      <c r="C15" s="19">
        <f>Таблица245678910111718192021[[#Totals],[За]]</f>
        <v>19</v>
      </c>
      <c r="D15" s="19">
        <f>Таблица245678910111718192021[[#Totals],[Проти]]</f>
        <v>0</v>
      </c>
      <c r="E15" s="19">
        <f>Таблица245678910111718192021[[#Totals],[Утрим]]</f>
        <v>0</v>
      </c>
      <c r="F15" s="38">
        <f>Таблица245678910111718192021[[#Totals],[не голосували]]</f>
        <v>0</v>
      </c>
      <c r="G15" s="32" t="str">
        <f>'14'!$B$31</f>
        <v>Рішення прийнято</v>
      </c>
      <c r="H15" s="53">
        <v>40</v>
      </c>
    </row>
    <row r="16" spans="1:8" ht="32.25" thickBot="1" x14ac:dyDescent="0.3">
      <c r="A16" s="37">
        <f>IF(ISBLANK(B16),"",COUNTA($B$2:B16))</f>
        <v>15</v>
      </c>
      <c r="B16" s="40" t="s">
        <v>64</v>
      </c>
      <c r="C16" s="19">
        <f>Таблица24567891011171819202122[[#Totals],[За]]</f>
        <v>19</v>
      </c>
      <c r="D16" s="19">
        <f>Таблица24567891011171819202122[[#Totals],[Проти]]</f>
        <v>0</v>
      </c>
      <c r="E16" s="19">
        <f>Таблица24567891011171819202122[[#Totals],[Утрим]]</f>
        <v>0</v>
      </c>
      <c r="F16" s="38">
        <f>Таблица24567891011171819202122[[#Totals],[не голосували]]</f>
        <v>0</v>
      </c>
      <c r="G16" s="32" t="str">
        <f>'15'!$B$31</f>
        <v>Рішення прийнято</v>
      </c>
      <c r="H16" s="53">
        <v>41</v>
      </c>
    </row>
    <row r="17" spans="1:8" ht="32.25" thickBot="1" x14ac:dyDescent="0.3">
      <c r="A17" s="37">
        <f>IF(ISBLANK(B17),"",COUNTA($B$2:B17))</f>
        <v>16</v>
      </c>
      <c r="B17" s="41" t="s">
        <v>65</v>
      </c>
      <c r="C17" s="19">
        <f>Таблица2456789101117181920212223[[#Totals],[За]]</f>
        <v>13</v>
      </c>
      <c r="D17" s="19">
        <f>Таблица2456789101117181920212223[[#Totals],[Проти]]</f>
        <v>1</v>
      </c>
      <c r="E17" s="19">
        <f>Таблица2456789101117181920212223[[#Totals],[Утрим]]</f>
        <v>5</v>
      </c>
      <c r="F17" s="38">
        <f>Таблица2456789101117181920212223[[#Totals],[не голосували]]</f>
        <v>0</v>
      </c>
      <c r="G17" s="32" t="str">
        <f>'16'!$B$31</f>
        <v>Рішення не прийнято</v>
      </c>
      <c r="H17" s="53"/>
    </row>
    <row r="18" spans="1:8" ht="32.25" thickBot="1" x14ac:dyDescent="0.3">
      <c r="A18" s="37">
        <f>IF(ISBLANK(B18),"",COUNTA($B$2:B18))</f>
        <v>17</v>
      </c>
      <c r="B18" s="40" t="s">
        <v>66</v>
      </c>
      <c r="C18" s="19">
        <f>Таблица245678910111718192021222324[[#Totals],[За]]</f>
        <v>19</v>
      </c>
      <c r="D18" s="19">
        <f>Таблица245678910111718192021222324[[#Totals],[Проти]]</f>
        <v>0</v>
      </c>
      <c r="E18" s="19">
        <f>Таблица245678910111718192021222324[[#Totals],[Утрим]]</f>
        <v>0</v>
      </c>
      <c r="F18" s="38">
        <f>Таблица245678910111718192021222324[[#Totals],[не голосували]]</f>
        <v>0</v>
      </c>
      <c r="G18" s="32" t="str">
        <f>'17'!$B$31</f>
        <v>Рішення прийнято</v>
      </c>
      <c r="H18" s="53">
        <v>42</v>
      </c>
    </row>
    <row r="19" spans="1:8" ht="32.25" thickBot="1" x14ac:dyDescent="0.3">
      <c r="A19" s="37">
        <f>IF(ISBLANK(B19),"",COUNTA($B$2:B19))</f>
        <v>18</v>
      </c>
      <c r="B19" s="41" t="s">
        <v>67</v>
      </c>
      <c r="C19" s="19">
        <f>Таблица24567891011171819202122232425[[#Totals],[За]]</f>
        <v>18</v>
      </c>
      <c r="D19" s="19">
        <f>Таблица24567891011171819202122232425[[#Totals],[Проти]]</f>
        <v>0</v>
      </c>
      <c r="E19" s="19">
        <f>Таблица24567891011171819202122232425[[#Totals],[Утрим]]</f>
        <v>0</v>
      </c>
      <c r="F19" s="38">
        <f>Таблица24567891011171819202122232425[[#Totals],[не голосували]]</f>
        <v>2</v>
      </c>
      <c r="G19" s="32" t="str">
        <f>'18'!$B$31</f>
        <v>Рішення прийнято</v>
      </c>
      <c r="H19" s="53">
        <v>43</v>
      </c>
    </row>
    <row r="20" spans="1:8" ht="32.25" thickBot="1" x14ac:dyDescent="0.3">
      <c r="A20" s="37">
        <f>IF(ISBLANK(B20),"",COUNTA($B$2:B20))</f>
        <v>19</v>
      </c>
      <c r="B20" s="40" t="s">
        <v>68</v>
      </c>
      <c r="C20" s="19">
        <f>Таблица2456789101117181920212223242526[[#Totals],[За]]</f>
        <v>18</v>
      </c>
      <c r="D20" s="19">
        <f>Таблица2456789101117181920212223242526[[#Totals],[Проти]]</f>
        <v>0</v>
      </c>
      <c r="E20" s="19">
        <f>Таблица2456789101117181920212223242526[[#Totals],[Утрим]]</f>
        <v>0</v>
      </c>
      <c r="F20" s="38">
        <f>Таблица2456789101117181920212223242526[[#Totals],[не голосували]]</f>
        <v>2</v>
      </c>
      <c r="G20" s="32" t="str">
        <f>'19'!$B$31</f>
        <v>Рішення прийнято</v>
      </c>
      <c r="H20" s="53">
        <v>44</v>
      </c>
    </row>
    <row r="21" spans="1:8" ht="32.25" thickBot="1" x14ac:dyDescent="0.3">
      <c r="A21" s="37">
        <f>IF(ISBLANK(B21),"",COUNTA($B$2:B21))</f>
        <v>20</v>
      </c>
      <c r="B21" s="41" t="s">
        <v>69</v>
      </c>
      <c r="C21" s="19">
        <f>Таблица245678910111718192021222324252627[[#Totals],[За]]</f>
        <v>20</v>
      </c>
      <c r="D21" s="19">
        <f>Таблица245678910111718192021222324252627[[#Totals],[Проти]]</f>
        <v>0</v>
      </c>
      <c r="E21" s="19">
        <f>Таблица245678910111718192021222324252627[[#Totals],[Утрим]]</f>
        <v>0</v>
      </c>
      <c r="F21" s="38">
        <f>Таблица245678910111718192021222324252627[[#Totals],[не голосували]]</f>
        <v>0</v>
      </c>
      <c r="G21" s="32" t="str">
        <f>'20'!$B$31</f>
        <v>Рішення прийнято</v>
      </c>
      <c r="H21" s="53">
        <v>45</v>
      </c>
    </row>
    <row r="22" spans="1:8" ht="16.5" thickBot="1" x14ac:dyDescent="0.3">
      <c r="A22" s="37">
        <f>IF(ISBLANK(B22),"",COUNTA($B$2:B22))</f>
        <v>21</v>
      </c>
      <c r="B22" s="40" t="s">
        <v>70</v>
      </c>
      <c r="C22" s="19">
        <f>Таблица24567891011171819202122232425262728[[#Totals],[За]]</f>
        <v>20</v>
      </c>
      <c r="D22" s="19">
        <f>Таблица24567891011171819202122232425262728[[#Totals],[Проти]]</f>
        <v>0</v>
      </c>
      <c r="E22" s="19">
        <f>Таблица24567891011171819202122232425262728[[#Totals],[Утрим]]</f>
        <v>0</v>
      </c>
      <c r="F22" s="38">
        <f>Таблица24567891011171819202122232425262728[[#Totals],[не голосували]]</f>
        <v>0</v>
      </c>
      <c r="G22" s="32" t="str">
        <f>'21'!$B$31</f>
        <v>Рішення прийнято</v>
      </c>
      <c r="H22" s="53">
        <v>46</v>
      </c>
    </row>
    <row r="23" spans="1:8" ht="16.5" thickBot="1" x14ac:dyDescent="0.3">
      <c r="A23" s="37">
        <f>IF(ISBLANK(B23),"",COUNTA($B$2:B23))</f>
        <v>22</v>
      </c>
      <c r="B23" s="41" t="s">
        <v>71</v>
      </c>
      <c r="C23" s="19">
        <f>Таблица2456789101117181920212223242526272829[[#Totals],[За]]</f>
        <v>19</v>
      </c>
      <c r="D23" s="19">
        <f>Таблица2456789101117181920212223242526272829[[#Totals],[Проти]]</f>
        <v>0</v>
      </c>
      <c r="E23" s="19">
        <f>Таблица2456789101117181920212223242526272829[[#Totals],[Утрим]]</f>
        <v>0</v>
      </c>
      <c r="F23" s="38">
        <f>Таблица2456789101117181920212223242526272829[[#Totals],[не голосували]]</f>
        <v>0</v>
      </c>
      <c r="G23" s="32" t="str">
        <f>'22'!$B$31</f>
        <v>Рішення прийнято</v>
      </c>
      <c r="H23" s="53">
        <v>47</v>
      </c>
    </row>
    <row r="24" spans="1:8" ht="16.5" thickBot="1" x14ac:dyDescent="0.3">
      <c r="A24" s="37">
        <f>IF(ISBLANK(B24),"",COUNTA($B$2:B24))</f>
        <v>23</v>
      </c>
      <c r="B24" s="40" t="s">
        <v>72</v>
      </c>
      <c r="C24" s="19">
        <f>Таблица245678910111718192021222324252627282930[[#Totals],[За]]</f>
        <v>19</v>
      </c>
      <c r="D24" s="19">
        <f>Таблица245678910111718192021222324252627282930[[#Totals],[Проти]]</f>
        <v>0</v>
      </c>
      <c r="E24" s="19">
        <f>Таблица245678910111718192021222324252627282930[[#Totals],[Утрим]]</f>
        <v>0</v>
      </c>
      <c r="F24" s="38">
        <f>Таблица245678910111718192021222324252627282930[[#Totals],[не голосували]]</f>
        <v>0</v>
      </c>
      <c r="G24" s="32" t="str">
        <f>'23'!$B$31</f>
        <v>Рішення прийнято</v>
      </c>
      <c r="H24" s="53">
        <v>48</v>
      </c>
    </row>
    <row r="25" spans="1:8" ht="32.25" thickBot="1" x14ac:dyDescent="0.3">
      <c r="A25" s="37">
        <f>IF(ISBLANK(B25),"",COUNTA($B$2:B25))</f>
        <v>24</v>
      </c>
      <c r="B25" s="41" t="s">
        <v>73</v>
      </c>
      <c r="C25" s="19">
        <f>Таблица24567891011171819202122232425262728293031[[#Totals],[За]]</f>
        <v>17</v>
      </c>
      <c r="D25" s="19">
        <f>Таблица24567891011171819202122232425262728293031[[#Totals],[Проти]]</f>
        <v>0</v>
      </c>
      <c r="E25" s="19">
        <f>Таблица24567891011171819202122232425262728293031[[#Totals],[Утрим]]</f>
        <v>0</v>
      </c>
      <c r="F25" s="38">
        <f>Таблица24567891011171819202122232425262728293031[[#Totals],[не голосували]]</f>
        <v>0</v>
      </c>
      <c r="G25" s="32" t="str">
        <f>'24'!$B$31</f>
        <v>Рішення прийнято</v>
      </c>
      <c r="H25" s="53">
        <v>49</v>
      </c>
    </row>
    <row r="26" spans="1:8" ht="48" thickBot="1" x14ac:dyDescent="0.3">
      <c r="A26" s="37">
        <f>IF(ISBLANK(B26),"",COUNTA($B$2:B26))</f>
        <v>25</v>
      </c>
      <c r="B26" s="40" t="s">
        <v>74</v>
      </c>
      <c r="C26" s="19">
        <f>Таблица2456789101117181920212223242526272829303132[[#Totals],[За]]</f>
        <v>19</v>
      </c>
      <c r="D26" s="19">
        <f>Таблица2456789101117181920212223242526272829303132[[#Totals],[Проти]]</f>
        <v>0</v>
      </c>
      <c r="E26" s="19">
        <f>Таблица2456789101117181920212223242526272829303132[[#Totals],[Утрим]]</f>
        <v>0</v>
      </c>
      <c r="F26" s="38">
        <f>Таблица2456789101117181920212223242526272829303132[[#Totals],[не голосували]]</f>
        <v>0</v>
      </c>
      <c r="G26" s="32" t="str">
        <f>'25'!$B$31</f>
        <v>Рішення прийнято</v>
      </c>
      <c r="H26" s="53">
        <v>50</v>
      </c>
    </row>
    <row r="27" spans="1:8" ht="48" thickBot="1" x14ac:dyDescent="0.3">
      <c r="A27" s="37">
        <f>IF(ISBLANK(B27),"",COUNTA($B$2:B27))</f>
        <v>26</v>
      </c>
      <c r="B27" s="41" t="s">
        <v>75</v>
      </c>
      <c r="C27" s="19">
        <f>Таблица245678910111718192021222324252627282930313233[[#Totals],[За]]</f>
        <v>19</v>
      </c>
      <c r="D27" s="19">
        <f>Таблица245678910111718192021222324252627282930313233[[#Totals],[Проти]]</f>
        <v>0</v>
      </c>
      <c r="E27" s="19">
        <f>Таблица245678910111718192021222324252627282930313233[[#Totals],[Утрим]]</f>
        <v>0</v>
      </c>
      <c r="F27" s="38">
        <f>Таблица245678910111718192021222324252627282930313233[[#Totals],[не голосували]]</f>
        <v>0</v>
      </c>
      <c r="G27" s="32" t="str">
        <f>'26'!$B$31</f>
        <v>Рішення прийнято</v>
      </c>
      <c r="H27" s="53">
        <v>51</v>
      </c>
    </row>
    <row r="28" spans="1:8" ht="16.5" thickBot="1" x14ac:dyDescent="0.3">
      <c r="A28" s="37">
        <f>IF(ISBLANK(B28),"",COUNTA($B$2:B28))</f>
        <v>27</v>
      </c>
      <c r="B28" s="40" t="s">
        <v>76</v>
      </c>
      <c r="C28" s="19">
        <f>Таблица24567891011171819202122232425262728293031323334[[#Totals],[За]]</f>
        <v>18</v>
      </c>
      <c r="D28" s="19">
        <f>Таблица24567891011171819202122232425262728293031323334[[#Totals],[Проти]]</f>
        <v>0</v>
      </c>
      <c r="E28" s="19">
        <f>Таблица24567891011171819202122232425262728293031323334[[#Totals],[Утрим]]</f>
        <v>0</v>
      </c>
      <c r="F28" s="38">
        <f>Таблица24567891011171819202122232425262728293031323334[[#Totals],[не голосували]]</f>
        <v>0</v>
      </c>
      <c r="G28" s="32" t="str">
        <f>'27'!$B$31</f>
        <v>Рішення прийнято</v>
      </c>
      <c r="H28" s="53">
        <v>52</v>
      </c>
    </row>
    <row r="29" spans="1:8" ht="16.5" thickBot="1" x14ac:dyDescent="0.3">
      <c r="A29" s="37">
        <f>IF(ISBLANK(B29),"",COUNTA($B$2:B29))</f>
        <v>28</v>
      </c>
      <c r="B29" s="41" t="s">
        <v>76</v>
      </c>
      <c r="C29" s="19">
        <f>Таблица2456789101117181920212223242526272829303132333435[[#Totals],[За]]</f>
        <v>19</v>
      </c>
      <c r="D29" s="19">
        <f>Таблица2456789101117181920212223242526272829303132333435[[#Totals],[Проти]]</f>
        <v>0</v>
      </c>
      <c r="E29" s="19">
        <f>Таблица2456789101117181920212223242526272829303132333435[[#Totals],[Утрим]]</f>
        <v>0</v>
      </c>
      <c r="F29" s="38">
        <f>Таблица2456789101117181920212223242526272829303132333435[[#Totals],[не голосували]]</f>
        <v>0</v>
      </c>
      <c r="G29" s="32" t="str">
        <f>'28'!$B$31</f>
        <v>Рішення прийнято</v>
      </c>
      <c r="H29" s="53">
        <v>53</v>
      </c>
    </row>
    <row r="30" spans="1:8" ht="32.25" thickBot="1" x14ac:dyDescent="0.3">
      <c r="A30" s="37">
        <f>IF(ISBLANK(B30),"",COUNTA($B$2:B30))</f>
        <v>29</v>
      </c>
      <c r="B30" s="40" t="s">
        <v>77</v>
      </c>
      <c r="C30" s="19">
        <f>Таблица245678910111718192021222324252627282930313233343536[[#Totals],[За]]</f>
        <v>19</v>
      </c>
      <c r="D30" s="19">
        <f>Таблица245678910111718192021222324252627282930313233343536[[#Totals],[Проти]]</f>
        <v>0</v>
      </c>
      <c r="E30" s="19">
        <f>Таблица245678910111718192021222324252627282930313233343536[[#Totals],[Утрим]]</f>
        <v>0</v>
      </c>
      <c r="F30" s="38">
        <f>Таблица245678910111718192021222324252627282930313233343536[[#Totals],[не голосували]]</f>
        <v>0</v>
      </c>
      <c r="G30" s="32" t="str">
        <f>'29'!$B$31</f>
        <v>Рішення прийнято</v>
      </c>
      <c r="H30" s="53">
        <v>54</v>
      </c>
    </row>
    <row r="31" spans="1:8" ht="16.5" thickBot="1" x14ac:dyDescent="0.3">
      <c r="A31" s="37">
        <f>IF(ISBLANK(B31),"",COUNTA($B$2:B31))</f>
        <v>30</v>
      </c>
      <c r="B31" s="41" t="s">
        <v>78</v>
      </c>
      <c r="C31" s="19">
        <f>Таблица24567891011171819202122232425262728293031323334353637[[#Totals],[За]]</f>
        <v>18</v>
      </c>
      <c r="D31" s="19">
        <f>Таблица24567891011171819202122232425262728293031323334353637[[#Totals],[Проти]]</f>
        <v>0</v>
      </c>
      <c r="E31" s="19">
        <f>Таблица24567891011171819202122232425262728293031323334353637[[#Totals],[Утрим]]</f>
        <v>0</v>
      </c>
      <c r="F31" s="38">
        <f>Таблица24567891011171819202122232425262728293031323334353637[[#Totals],[не голосували]]</f>
        <v>0</v>
      </c>
      <c r="G31" s="32" t="str">
        <f>'30'!$B$31</f>
        <v>Рішення прийнято</v>
      </c>
      <c r="H31" s="53">
        <v>55</v>
      </c>
    </row>
    <row r="32" spans="1:8" ht="32.25" thickBot="1" x14ac:dyDescent="0.3">
      <c r="A32" s="37">
        <f>IF(ISBLANK(B32),"",COUNTA($B$2:B32))</f>
        <v>31</v>
      </c>
      <c r="B32" s="40" t="s">
        <v>79</v>
      </c>
      <c r="C32" s="19">
        <f>Таблица2456789101117181920212223242526272829303132333435363738[[#Totals],[За]]</f>
        <v>20</v>
      </c>
      <c r="D32" s="19">
        <f>Таблица2456789101117181920212223242526272829303132333435363738[[#Totals],[Проти]]</f>
        <v>0</v>
      </c>
      <c r="E32" s="19">
        <f>Таблица2456789101117181920212223242526272829303132333435363738[[#Totals],[Утрим]]</f>
        <v>0</v>
      </c>
      <c r="F32" s="38">
        <f>Таблица2456789101117181920212223242526272829303132333435363738[[#Totals],[не голосували]]</f>
        <v>0</v>
      </c>
      <c r="G32" s="32" t="str">
        <f>'31'!$B$31</f>
        <v>Рішення прийнято</v>
      </c>
      <c r="H32" s="53">
        <v>56</v>
      </c>
    </row>
    <row r="33" spans="1:8" ht="16.5" thickBot="1" x14ac:dyDescent="0.3">
      <c r="A33" s="37">
        <f>IF(ISBLANK(B33),"",COUNTA($B$2:B33))</f>
        <v>32</v>
      </c>
      <c r="B33" s="41" t="s">
        <v>80</v>
      </c>
      <c r="C33" s="19">
        <f>Таблица245678910111718192021222324252627282930313233343536373839[[#Totals],[За]]</f>
        <v>20</v>
      </c>
      <c r="D33" s="19">
        <f>Таблица245678910111718192021222324252627282930313233343536373839[[#Totals],[Проти]]</f>
        <v>0</v>
      </c>
      <c r="E33" s="19">
        <f>Таблица245678910111718192021222324252627282930313233343536373839[[#Totals],[Утрим]]</f>
        <v>0</v>
      </c>
      <c r="F33" s="38">
        <f>Таблица245678910111718192021222324252627282930313233343536373839[[#Totals],[не голосували]]</f>
        <v>0</v>
      </c>
      <c r="G33" s="32" t="str">
        <f>'32'!$B$31</f>
        <v>Рішення прийнято</v>
      </c>
      <c r="H33" s="53">
        <v>57</v>
      </c>
    </row>
    <row r="34" spans="1:8" ht="32.25" thickBot="1" x14ac:dyDescent="0.3">
      <c r="A34" s="37">
        <f>IF(ISBLANK(B34),"",COUNTA($B$2:B34))</f>
        <v>33</v>
      </c>
      <c r="B34" s="40" t="s">
        <v>81</v>
      </c>
      <c r="C34" s="19">
        <f>Таблица24567891011171819202122232425262728293031323334353637383940[[#Totals],[За]]</f>
        <v>20</v>
      </c>
      <c r="D34" s="19">
        <f>Таблица24567891011171819202122232425262728293031323334353637383940[[#Totals],[Проти]]</f>
        <v>0</v>
      </c>
      <c r="E34" s="19">
        <f>Таблица24567891011171819202122232425262728293031323334353637383940[[#Totals],[Утрим]]</f>
        <v>0</v>
      </c>
      <c r="F34" s="38">
        <f>Таблица24567891011171819202122232425262728293031323334353637383940[[#Totals],[не голосували]]</f>
        <v>0</v>
      </c>
      <c r="G34" s="32" t="str">
        <f>'33'!$B$31</f>
        <v>Рішення прийнято</v>
      </c>
      <c r="H34" s="53">
        <v>58</v>
      </c>
    </row>
    <row r="35" spans="1:8" ht="16.5" thickBot="1" x14ac:dyDescent="0.3">
      <c r="A35" s="37">
        <f>IF(ISBLANK(B35),"",COUNTA($B$2:B35))</f>
        <v>34</v>
      </c>
      <c r="B35" s="41" t="s">
        <v>82</v>
      </c>
      <c r="C35" s="19">
        <f>Таблица2456789101117181920212223242526272829303132333435363738394041[[#Totals],[За]]</f>
        <v>20</v>
      </c>
      <c r="D35" s="19">
        <f>Таблица2456789101117181920212223242526272829303132333435363738394041[[#Totals],[Проти]]</f>
        <v>0</v>
      </c>
      <c r="E35" s="19">
        <f>Таблица2456789101117181920212223242526272829303132333435363738394041[[#Totals],[Утрим]]</f>
        <v>0</v>
      </c>
      <c r="F35" s="38">
        <f>Таблица2456789101117181920212223242526272829303132333435363738394041[[#Totals],[не голосували]]</f>
        <v>0</v>
      </c>
      <c r="G35" s="32" t="str">
        <f>'34'!$B$31</f>
        <v>Рішення прийнято</v>
      </c>
      <c r="H35" s="53">
        <v>59</v>
      </c>
    </row>
    <row r="36" spans="1:8" ht="48" thickBot="1" x14ac:dyDescent="0.3">
      <c r="A36" s="37">
        <f>IF(ISBLANK(B36),"",COUNTA($B$2:B36))</f>
        <v>35</v>
      </c>
      <c r="B36" s="40" t="s">
        <v>83</v>
      </c>
      <c r="C36" s="19">
        <f>Таблица245678910111718192021222324252627282930313233343536373839404142[[#Totals],[За]]</f>
        <v>20</v>
      </c>
      <c r="D36" s="19">
        <f>Таблица245678910111718192021222324252627282930313233343536373839404142[[#Totals],[Проти]]</f>
        <v>0</v>
      </c>
      <c r="E36" s="19">
        <f>Таблица245678910111718192021222324252627282930313233343536373839404142[[#Totals],[Утрим]]</f>
        <v>0</v>
      </c>
      <c r="F36" s="38">
        <f>Таблица245678910111718192021222324252627282930313233343536373839404142[[#Totals],[не голосували]]</f>
        <v>0</v>
      </c>
      <c r="G36" s="32" t="str">
        <f>'35'!$B$31</f>
        <v>Рішення прийнято</v>
      </c>
      <c r="H36" s="53">
        <v>60</v>
      </c>
    </row>
    <row r="37" spans="1:8" ht="32.25" thickBot="1" x14ac:dyDescent="0.3">
      <c r="A37" s="37">
        <f>IF(ISBLANK(B37),"",COUNTA($B$2:B37))</f>
        <v>36</v>
      </c>
      <c r="B37" s="41" t="s">
        <v>84</v>
      </c>
      <c r="C37" s="19">
        <f>Таблица24567891011171819202122232425262728293031323334353637383940414243[[#Totals],[За]]</f>
        <v>19</v>
      </c>
      <c r="D37" s="19">
        <f>Таблица24567891011171819202122232425262728293031323334353637383940414243[[#Totals],[Проти]]</f>
        <v>1</v>
      </c>
      <c r="E37" s="19">
        <f>Таблица24567891011171819202122232425262728293031323334353637383940414243[[#Totals],[Утрим]]</f>
        <v>0</v>
      </c>
      <c r="F37" s="38">
        <f>Таблица24567891011171819202122232425262728293031323334353637383940414243[[#Totals],[не голосували]]</f>
        <v>0</v>
      </c>
      <c r="G37" s="32" t="str">
        <f>'36'!$B$31</f>
        <v>Рішення прийнято</v>
      </c>
      <c r="H37" s="53">
        <v>61</v>
      </c>
    </row>
    <row r="38" spans="1:8" ht="32.25" thickBot="1" x14ac:dyDescent="0.3">
      <c r="A38" s="37">
        <f>IF(ISBLANK(B38),"",COUNTA($B$2:B38))</f>
        <v>37</v>
      </c>
      <c r="B38" s="40" t="s">
        <v>85</v>
      </c>
      <c r="C38" s="19">
        <f>Таблица2456789101117181920212223242526272829303132333435363738394041424344[[#Totals],[За]]</f>
        <v>19</v>
      </c>
      <c r="D38" s="19">
        <f>Таблица2456789101117181920212223242526272829303132333435363738394041424344[[#Totals],[Проти]]</f>
        <v>0</v>
      </c>
      <c r="E38" s="19">
        <f>Таблица2456789101117181920212223242526272829303132333435363738394041424344[[#Totals],[Утрим]]</f>
        <v>0</v>
      </c>
      <c r="F38" s="38">
        <f>Таблица2456789101117181920212223242526272829303132333435363738394041424344[[#Totals],[не голосували]]</f>
        <v>0</v>
      </c>
      <c r="G38" s="32" t="str">
        <f>'37'!$B$31</f>
        <v>Рішення прийнято</v>
      </c>
      <c r="H38" s="53">
        <v>62</v>
      </c>
    </row>
    <row r="39" spans="1:8" ht="32.25" thickBot="1" x14ac:dyDescent="0.3">
      <c r="A39" s="37">
        <f>IF(ISBLANK(B39),"",COUNTA($B$2:B39))</f>
        <v>38</v>
      </c>
      <c r="B39" s="41" t="s">
        <v>86</v>
      </c>
      <c r="C39" s="19">
        <f>Таблица245678910111718192021222324252627282930313233343536373839404142434445[[#Totals],[За]]</f>
        <v>19</v>
      </c>
      <c r="D39" s="19">
        <f>Таблица245678910111718192021222324252627282930313233343536373839404142434445[[#Totals],[Проти]]</f>
        <v>0</v>
      </c>
      <c r="E39" s="19">
        <f>Таблица245678910111718192021222324252627282930313233343536373839404142434445[[#Totals],[Утрим]]</f>
        <v>0</v>
      </c>
      <c r="F39" s="38">
        <f>Таблица245678910111718192021222324252627282930313233343536373839404142434445[[#Totals],[не голосували]]</f>
        <v>0</v>
      </c>
      <c r="G39" s="32" t="str">
        <f>'38'!$B$31</f>
        <v>Рішення прийнято</v>
      </c>
      <c r="H39" s="53">
        <v>63</v>
      </c>
    </row>
    <row r="40" spans="1:8" ht="32.25" thickBot="1" x14ac:dyDescent="0.3">
      <c r="A40" s="37">
        <f>IF(ISBLANK(B40),"",COUNTA($B$2:B40))</f>
        <v>39</v>
      </c>
      <c r="B40" s="40" t="s">
        <v>87</v>
      </c>
      <c r="C40" s="19">
        <f>Таблица24567891011171819202122232425262728293031323334353637383940414243444546[[#Totals],[За]]</f>
        <v>19</v>
      </c>
      <c r="D40" s="19">
        <f>Таблица24567891011171819202122232425262728293031323334353637383940414243444546[[#Totals],[Проти]]</f>
        <v>0</v>
      </c>
      <c r="E40" s="19">
        <f>Таблица24567891011171819202122232425262728293031323334353637383940414243444546[[#Totals],[Утрим]]</f>
        <v>0</v>
      </c>
      <c r="F40" s="38">
        <f>Таблица24567891011171819202122232425262728293031323334353637383940414243444546[[#Totals],[не голосували]]</f>
        <v>0</v>
      </c>
      <c r="G40" s="32" t="str">
        <f>'39'!$B$31</f>
        <v>Рішення прийнято</v>
      </c>
      <c r="H40" s="53">
        <v>64</v>
      </c>
    </row>
    <row r="41" spans="1:8" ht="32.25" thickBot="1" x14ac:dyDescent="0.3">
      <c r="A41" s="37">
        <f>IF(ISBLANK(B41),"",COUNTA($B$2:B41))</f>
        <v>40</v>
      </c>
      <c r="B41" s="41" t="s">
        <v>88</v>
      </c>
      <c r="C41" s="19">
        <f>Таблица2456789101117181920212223242526272829303132333435363738394041424344454647[[#Totals],[За]]</f>
        <v>19</v>
      </c>
      <c r="D41" s="19">
        <f>Таблица2456789101117181920212223242526272829303132333435363738394041424344454647[[#Totals],[Проти]]</f>
        <v>0</v>
      </c>
      <c r="E41" s="19">
        <f>Таблица2456789101117181920212223242526272829303132333435363738394041424344454647[[#Totals],[Утрим]]</f>
        <v>0</v>
      </c>
      <c r="F41" s="38">
        <f>Таблица2456789101117181920212223242526272829303132333435363738394041424344454647[[#Totals],[не голосували]]</f>
        <v>0</v>
      </c>
      <c r="G41" s="32" t="str">
        <f>'40'!$B$31</f>
        <v>Рішення прийнято</v>
      </c>
      <c r="H41" s="53">
        <v>65</v>
      </c>
    </row>
    <row r="42" spans="1:8" ht="32.25" thickBot="1" x14ac:dyDescent="0.3">
      <c r="A42" s="37">
        <f>IF(ISBLANK(B42),"",COUNTA($B$2:B42))</f>
        <v>41</v>
      </c>
      <c r="B42" s="40" t="s">
        <v>89</v>
      </c>
      <c r="C42" s="19">
        <f>Таблица245678910111718192021222324252627282930313233343536373839404142434445464748[[#Totals],[За]]</f>
        <v>19</v>
      </c>
      <c r="D42" s="19">
        <f>Таблица245678910111718192021222324252627282930313233343536373839404142434445464748[[#Totals],[Проти]]</f>
        <v>0</v>
      </c>
      <c r="E42" s="19">
        <f>Таблица245678910111718192021222324252627282930313233343536373839404142434445464748[[#Totals],[Утрим]]</f>
        <v>0</v>
      </c>
      <c r="F42" s="19">
        <f>Таблица245678910111718192021222324252627282930313233343536373839404142434445464748[[#Totals],[не голосували]]</f>
        <v>0</v>
      </c>
      <c r="G42" s="32" t="str">
        <f>'41'!B31</f>
        <v>Рішення прийнято</v>
      </c>
      <c r="H42" s="53">
        <v>66</v>
      </c>
    </row>
    <row r="43" spans="1:8" ht="32.25" thickBot="1" x14ac:dyDescent="0.3">
      <c r="A43" s="37">
        <f>IF(ISBLANK(B43),"",COUNTA($B$2:B43))</f>
        <v>42</v>
      </c>
      <c r="B43" s="41" t="s">
        <v>90</v>
      </c>
      <c r="C43" s="19">
        <f>Таблица24567891011171819202122232425262728293031323334353637383940414243444546474849[[#Totals],[За]]</f>
        <v>17</v>
      </c>
      <c r="D43" s="19">
        <f>Таблица24567891011171819202122232425262728293031323334353637383940414243444546474849[[#Totals],[Проти]]</f>
        <v>0</v>
      </c>
      <c r="E43" s="19">
        <f>Таблица24567891011171819202122232425262728293031323334353637383940414243444546474849[[#Totals],[Утрим]]</f>
        <v>2</v>
      </c>
      <c r="F43" s="19">
        <f>Таблица24567891011171819202122232425262728293031323334353637383940414243444546474849[[#Totals],[не голосували]]</f>
        <v>0</v>
      </c>
      <c r="G43" s="32" t="str">
        <f>'42'!B31</f>
        <v>Рішення прийнято</v>
      </c>
      <c r="H43" s="53">
        <v>67</v>
      </c>
    </row>
    <row r="44" spans="1:8" ht="32.25" thickBot="1" x14ac:dyDescent="0.3">
      <c r="A44" s="37">
        <f>IF(ISBLANK(B44),"",COUNTA($B$2:B44))</f>
        <v>43</v>
      </c>
      <c r="B44" s="40" t="s">
        <v>91</v>
      </c>
      <c r="C44" s="19">
        <f>Таблица2456789101117181920212223242526272829303132333435363738394041424344454647484950[[#Totals],[За]]</f>
        <v>19</v>
      </c>
      <c r="D44" s="19">
        <f>Таблица2456789101117181920212223242526272829303132333435363738394041424344454647484950[[#Totals],[Проти]]</f>
        <v>0</v>
      </c>
      <c r="E44" s="19">
        <f>Таблица2456789101117181920212223242526272829303132333435363738394041424344454647484950[[#Totals],[Утрим]]</f>
        <v>0</v>
      </c>
      <c r="F44" s="19">
        <f>Таблица2456789101117181920212223242526272829303132333435363738394041424344454647484950[[#Totals],[не голосували]]</f>
        <v>0</v>
      </c>
      <c r="G44" s="32" t="str">
        <f>'43'!B31</f>
        <v>Рішення прийнято</v>
      </c>
      <c r="H44" s="53">
        <v>68</v>
      </c>
    </row>
    <row r="45" spans="1:8" ht="16.5" thickBot="1" x14ac:dyDescent="0.3">
      <c r="A45" s="37">
        <f>IF(ISBLANK(B45),"",COUNTA($B$2:B45))</f>
        <v>44</v>
      </c>
      <c r="B45" s="41" t="s">
        <v>92</v>
      </c>
      <c r="C45" s="19">
        <f>Таблица245678910111718192021222324252627282930313233343536373839404142434445464748495051[[#Totals],[За]]</f>
        <v>18</v>
      </c>
      <c r="D45" s="19">
        <f>Таблица245678910111718192021222324252627282930313233343536373839404142434445464748495051[[#Totals],[Проти]]</f>
        <v>0</v>
      </c>
      <c r="E45" s="19">
        <f>Таблица245678910111718192021222324252627282930313233343536373839404142434445464748495051[[#Totals],[Утрим]]</f>
        <v>0</v>
      </c>
      <c r="F45" s="19">
        <f>Таблица245678910111718192021222324252627282930313233343536373839404142434445464748495051[[#Totals],[не голосували]]</f>
        <v>0</v>
      </c>
      <c r="G45" s="32" t="str">
        <f>'44'!B31</f>
        <v>Рішення прийнято</v>
      </c>
      <c r="H45" s="53">
        <v>69</v>
      </c>
    </row>
    <row r="46" spans="1:8" ht="32.25" thickBot="1" x14ac:dyDescent="0.3">
      <c r="A46" s="37">
        <f>IF(ISBLANK(B46),"",COUNTA($B$2:B46))</f>
        <v>45</v>
      </c>
      <c r="B46" s="40" t="s">
        <v>93</v>
      </c>
      <c r="C46" s="19">
        <f>Таблица24567891011171819202122232425262728293031323334353637383940414243444546474849505152[[#Totals],[За]]</f>
        <v>19</v>
      </c>
      <c r="D46" s="19">
        <f>Таблица24567891011171819202122232425262728293031323334353637383940414243444546474849505152[[#Totals],[Проти]]</f>
        <v>0</v>
      </c>
      <c r="E46" s="19">
        <f>Таблица24567891011171819202122232425262728293031323334353637383940414243444546474849505152[[#Totals],[Утрим]]</f>
        <v>0</v>
      </c>
      <c r="F46" s="19">
        <f>Таблица24567891011171819202122232425262728293031323334353637383940414243444546474849505152[[#Totals],[не голосували]]</f>
        <v>0</v>
      </c>
      <c r="G46" s="32" t="str">
        <f>'45'!B31</f>
        <v>Рішення прийнято</v>
      </c>
      <c r="H46" s="53">
        <v>70</v>
      </c>
    </row>
    <row r="47" spans="1:8" ht="48" thickBot="1" x14ac:dyDescent="0.3">
      <c r="A47" s="37">
        <f>IF(ISBLANK(B47),"",COUNTA($B$2:B47))</f>
        <v>46</v>
      </c>
      <c r="B47" s="41" t="s">
        <v>94</v>
      </c>
      <c r="C47" s="19">
        <f>Таблица2456789101117181920212223242526272829303132333435363738394041424344454647484950515253[[#Totals],[За]]</f>
        <v>17</v>
      </c>
      <c r="D47" s="19">
        <f>Таблица2456789101117181920212223242526272829303132333435363738394041424344454647484950515253[[#Totals],[Проти]]</f>
        <v>0</v>
      </c>
      <c r="E47" s="19">
        <f>Таблица2456789101117181920212223242526272829303132333435363738394041424344454647484950515253[[#Totals],[Утрим]]</f>
        <v>0</v>
      </c>
      <c r="F47" s="19">
        <f>Таблица2456789101117181920212223242526272829303132333435363738394041424344454647484950515253[[#Totals],[не голосували]]</f>
        <v>1</v>
      </c>
      <c r="G47" s="32" t="str">
        <f>'46'!B31</f>
        <v>Рішення прийнято</v>
      </c>
      <c r="H47" s="53">
        <v>71</v>
      </c>
    </row>
    <row r="48" spans="1:8" ht="48" thickBot="1" x14ac:dyDescent="0.3">
      <c r="A48" s="37">
        <f>IF(ISBLANK(B48),"",COUNTA($B$2:B48))</f>
        <v>47</v>
      </c>
      <c r="B48" s="40" t="s">
        <v>95</v>
      </c>
      <c r="C48" s="19">
        <f>Таблица245678910111718192021222324252627282930313233343536373839404142434445464748495051525354[[#Totals],[За]]</f>
        <v>17</v>
      </c>
      <c r="D48" s="19">
        <f>Таблица245678910111718192021222324252627282930313233343536373839404142434445464748495051525354[[#Totals],[Проти]]</f>
        <v>0</v>
      </c>
      <c r="E48" s="19">
        <f>Таблица245678910111718192021222324252627282930313233343536373839404142434445464748495051525354[[#Totals],[Утрим]]</f>
        <v>0</v>
      </c>
      <c r="F48" s="19">
        <f>Таблица245678910111718192021222324252627282930313233343536373839404142434445464748495051525354[[#Totals],[не голосували]]</f>
        <v>1</v>
      </c>
      <c r="G48" s="32" t="str">
        <f>'47'!B31</f>
        <v>Рішення прийнято</v>
      </c>
      <c r="H48" s="53">
        <v>72</v>
      </c>
    </row>
    <row r="49" spans="1:8" ht="32.25" thickBot="1" x14ac:dyDescent="0.3">
      <c r="A49" s="37">
        <f>IF(ISBLANK(B49),"",COUNTA($B$2:B49))</f>
        <v>48</v>
      </c>
      <c r="B49" s="41" t="s">
        <v>96</v>
      </c>
      <c r="C49" s="19">
        <f>Таблица24567891011171819202122232425262728293031323334353637383940414243444546474849505152535455[[#Totals],[За]]</f>
        <v>18</v>
      </c>
      <c r="D49" s="19">
        <f>Таблица24567891011171819202122232425262728293031323334353637383940414243444546474849505152535455[[#Totals],[Проти]]</f>
        <v>0</v>
      </c>
      <c r="E49" s="19">
        <f>Таблица24567891011171819202122232425262728293031323334353637383940414243444546474849505152535455[[#Totals],[Утрим]]</f>
        <v>1</v>
      </c>
      <c r="F49" s="19">
        <f>Таблица24567891011171819202122232425262728293031323334353637383940414243444546474849505152535455[[#Totals],[не голосували]]</f>
        <v>0</v>
      </c>
      <c r="G49" s="32" t="str">
        <f>'48'!B31</f>
        <v>Рішення прийнято</v>
      </c>
      <c r="H49" s="53">
        <v>73</v>
      </c>
    </row>
    <row r="50" spans="1:8" ht="32.25" thickBot="1" x14ac:dyDescent="0.3">
      <c r="A50" s="37">
        <f>IF(ISBLANK(B50),"",COUNTA($B$2:B50))</f>
        <v>49</v>
      </c>
      <c r="B50" s="40" t="s">
        <v>97</v>
      </c>
      <c r="C50" s="19">
        <f>Таблица2456789101117181920212223242526272829303132333435363738394041424344454647484950515253545556[[#Totals],[За]]</f>
        <v>18</v>
      </c>
      <c r="D50" s="19">
        <f>Таблица2456789101117181920212223242526272829303132333435363738394041424344454647484950515253545556[[#Totals],[Проти]]</f>
        <v>0</v>
      </c>
      <c r="E50" s="19">
        <f>Таблица2456789101117181920212223242526272829303132333435363738394041424344454647484950515253545556[[#Totals],[Утрим]]</f>
        <v>1</v>
      </c>
      <c r="F50" s="19">
        <f>Таблица2456789101117181920212223242526272829303132333435363738394041424344454647484950515253545556[[#Totals],[не голосували]]</f>
        <v>0</v>
      </c>
      <c r="G50" s="32" t="str">
        <f>'49'!B31</f>
        <v>Рішення прийнято</v>
      </c>
      <c r="H50" s="53">
        <v>74</v>
      </c>
    </row>
    <row r="51" spans="1:8" ht="63.75" thickBot="1" x14ac:dyDescent="0.3">
      <c r="A51" s="37">
        <f>IF(ISBLANK(B51),"",COUNTA($B$2:B51))</f>
        <v>50</v>
      </c>
      <c r="B51" s="41" t="s">
        <v>98</v>
      </c>
      <c r="C51" s="19">
        <f>Таблица245678910111718192021222324252627282930313233343536373839404142434445464748495051525354555657[[#Totals],[За]]</f>
        <v>18</v>
      </c>
      <c r="D51" s="19">
        <f>Таблица245678910111718192021222324252627282930313233343536373839404142434445464748495051525354555657[[#Totals],[Проти]]</f>
        <v>0</v>
      </c>
      <c r="E51" s="19">
        <f>Таблица245678910111718192021222324252627282930313233343536373839404142434445464748495051525354555657[[#Totals],[Утрим]]</f>
        <v>0</v>
      </c>
      <c r="F51" s="19">
        <f>Таблица245678910111718192021222324252627282930313233343536373839404142434445464748495051525354555657[[#Totals],[не голосували]]</f>
        <v>0</v>
      </c>
      <c r="G51" s="32" t="str">
        <f>'50'!B31</f>
        <v>Рішення прийнято</v>
      </c>
      <c r="H51" s="53">
        <v>75</v>
      </c>
    </row>
    <row r="52" spans="1:8" ht="16.5" thickBot="1" x14ac:dyDescent="0.3">
      <c r="A52" s="37">
        <f>IF(ISBLANK(B52),"",COUNTA($B$2:B52))</f>
        <v>51</v>
      </c>
      <c r="B52" s="40" t="s">
        <v>99</v>
      </c>
      <c r="C52" s="19">
        <f>Таблица24567891011171819202122232425262728293031323334353637383940414243444546474849505152535455565758[[#Totals],[За]]</f>
        <v>0</v>
      </c>
      <c r="D52" s="19">
        <f>Таблица24567891011171819202122232425262728293031323334353637383940414243444546474849505152535455565758[[#Totals],[Проти]]</f>
        <v>0</v>
      </c>
      <c r="E52" s="19">
        <f>Таблица24567891011171819202122232425262728293031323334353637383940414243444546474849505152535455565758[[#Totals],[Утрим]]</f>
        <v>0</v>
      </c>
      <c r="F52" s="19">
        <f>Таблица24567891011171819202122232425262728293031323334353637383940414243444546474849505152535455565758[[#Totals],[не голосували]]</f>
        <v>0</v>
      </c>
      <c r="G52" s="32" t="str">
        <f>'51'!B31</f>
        <v>знято з розгляду</v>
      </c>
      <c r="H52" s="53"/>
    </row>
    <row r="53" spans="1:8" ht="32.25" thickBot="1" x14ac:dyDescent="0.3">
      <c r="A53" s="37">
        <f>IF(ISBLANK(B53),"",COUNTA($B$2:B53))</f>
        <v>52</v>
      </c>
      <c r="B53" s="41" t="s">
        <v>100</v>
      </c>
      <c r="C53" s="19">
        <f>Таблица2456789101117181920212223242526272829303132333435363738394041424344454647484950515253545556575859[[#Totals],[За]]</f>
        <v>18</v>
      </c>
      <c r="D53" s="19">
        <f>Таблица2456789101117181920212223242526272829303132333435363738394041424344454647484950515253545556575859[[#Totals],[Проти]]</f>
        <v>0</v>
      </c>
      <c r="E53" s="19">
        <f>Таблица2456789101117181920212223242526272829303132333435363738394041424344454647484950515253545556575859[[#Totals],[Утрим]]</f>
        <v>0</v>
      </c>
      <c r="F53" s="19">
        <f>Таблица2456789101117181920212223242526272829303132333435363738394041424344454647484950515253545556575859[[#Totals],[не голосували]]</f>
        <v>0</v>
      </c>
      <c r="G53" s="32" t="str">
        <f>'52'!B31</f>
        <v>Рішення прийнято</v>
      </c>
      <c r="H53" s="53">
        <v>76</v>
      </c>
    </row>
    <row r="54" spans="1:8" ht="15" customHeight="1" thickBot="1" x14ac:dyDescent="0.3">
      <c r="A54" s="37"/>
      <c r="B54" s="40"/>
      <c r="C54" s="19"/>
      <c r="D54" s="19"/>
      <c r="E54" s="19"/>
      <c r="F54" s="19"/>
      <c r="G54" s="32"/>
    </row>
  </sheetData>
  <autoFilter ref="A1:H54"/>
  <hyperlinks>
    <hyperlink ref="A4" location="'3'!A1" display="'3'!A1"/>
    <hyperlink ref="A3" location="'2'!A1" display="'2'!A1"/>
    <hyperlink ref="A5" location="'4'!A1" display="'4'!A1"/>
    <hyperlink ref="A6" location="'5'!A1" display="'5'!A1"/>
    <hyperlink ref="A7" location="'6'!A1" display="'6'!A1"/>
    <hyperlink ref="A8" location="'7'!A1" display="'7'!A1"/>
    <hyperlink ref="A9" location="'8'!A1" display="'8'!A1"/>
    <hyperlink ref="A10" location="'9'!A1" display="'9'!A1"/>
    <hyperlink ref="A11" location="'10'!A1" display="'10'!A1"/>
    <hyperlink ref="A12" location="'11'!A1" display="'11'!A1"/>
    <hyperlink ref="A13" location="'12'!A1" display="'12'!A1"/>
    <hyperlink ref="A14" location="'13'!A1" display="'13'!A1"/>
    <hyperlink ref="A15" location="'14'!A1" display="'14'!A1"/>
    <hyperlink ref="A16" location="'15'!A1" display="'15'!A1"/>
    <hyperlink ref="A17" location="'16'!A1" display="'16'!A1"/>
    <hyperlink ref="A18" location="'17'!A1" display="'17'!A1"/>
    <hyperlink ref="A19" location="'18'!A1" display="'18'!A1"/>
    <hyperlink ref="A20" location="'19'!A1" display="'19'!A1"/>
    <hyperlink ref="A21" location="'20'!A1" display="'20'!A1"/>
    <hyperlink ref="A22" location="'21'!A1" display="'21'!A1"/>
    <hyperlink ref="A23" location="'22'!A1" display="'22'!A1"/>
    <hyperlink ref="A24" location="'23'!A1" display="'23'!A1"/>
    <hyperlink ref="A25" location="'24'!A1" display="'24'!A1"/>
    <hyperlink ref="A26" location="'25'!A1" display="'25'!A1"/>
    <hyperlink ref="A27" location="'26'!A1" display="'26'!A1"/>
    <hyperlink ref="A28" location="'27'!A1" display="'27'!A1"/>
    <hyperlink ref="A29" location="'28'!A1" display="'28'!A1"/>
    <hyperlink ref="A30" location="'29'!A1" display="'29'!A1"/>
    <hyperlink ref="A31" location="'30'!A1" display="'30'!A1"/>
    <hyperlink ref="A32" location="'31'!A1" display="'31'!A1"/>
    <hyperlink ref="A33" location="'32'!A1" display="'32'!A1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1'!A1" display="'41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  <hyperlink ref="A50" location="'49'!A1" display="'49'!A1"/>
    <hyperlink ref="A51" location="'50'!A1" display="'50'!A1"/>
    <hyperlink ref="A52" location="'51'!A1" display="'51'!A1"/>
    <hyperlink ref="A53" location="'52'!A1" display="'52'!A1"/>
    <hyperlink ref="A2" location="'1'!A1" display="'1'!A1"/>
  </hyperlinks>
  <pageMargins left="0.7" right="0.7" top="0.75" bottom="0.75" header="0.3" footer="0.3"/>
  <pageSetup paperSize="9" scale="4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F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5.25" customHeight="1" x14ac:dyDescent="0.25">
      <c r="B1" s="45" t="str">
        <f>'Порядок денний '!B19</f>
        <v>Про надання дозволу на розроблення проекту землеустрою щодо відведення земельної ділянки (Цопа І)</v>
      </c>
      <c r="C1" s="45"/>
      <c r="D1" s="45"/>
      <c r="E1" s="45"/>
      <c r="F1" s="45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>
        <v>1</v>
      </c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>
        <v>1</v>
      </c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SUBTOTAL(109,Таблица24567891011171819202122232425[За])</f>
        <v>18</v>
      </c>
      <c r="D30" s="46">
        <f>SUBTOTAL(109,Таблица24567891011171819202122232425[Проти])</f>
        <v>0</v>
      </c>
      <c r="E30" s="46">
        <f>SUBTOTAL(109,Таблица24567891011171819202122232425[Утрим])</f>
        <v>0</v>
      </c>
      <c r="F30" s="46">
        <f>SUBTOTAL(109,Таблица24567891011171819202122232425[не голосували])</f>
        <v>2</v>
      </c>
    </row>
    <row r="31" spans="1:7" x14ac:dyDescent="0.25">
      <c r="B31" t="str">
        <f>IF(Таблица24567891011171819202122232425[[#Totals],[За]]&gt;13,"Рішення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F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'!B20</f>
        <v>Про надання дозволу на розроблення проекту землеустрою щодо відведення земельної ділянки (Цопа)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>
        <v>1</v>
      </c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>
        <v>1</v>
      </c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SUBTOTAL(109,Таблица2456789101117181920212223242526[За])</f>
        <v>18</v>
      </c>
      <c r="D30" s="46">
        <f>SUBTOTAL(109,Таблица2456789101117181920212223242526[Проти])</f>
        <v>0</v>
      </c>
      <c r="E30" s="46">
        <f>SUBTOTAL(109,Таблица2456789101117181920212223242526[Утрим])</f>
        <v>0</v>
      </c>
      <c r="F30" s="46">
        <f>SUBTOTAL(109,Таблица2456789101117181920212223242526[не голосували])</f>
        <v>2</v>
      </c>
    </row>
    <row r="31" spans="1:7" x14ac:dyDescent="0.25">
      <c r="B31" t="str">
        <f>IF(Таблица2456789101117181920212223242526[[#Totals],[За]]&gt;13,"Рішення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1.5" customHeight="1" x14ac:dyDescent="0.25">
      <c r="B1" s="44" t="str">
        <f>'Порядок денний '!B21</f>
        <v>Про надання дозволів на розроблення проектів землеустрою щодо відведення земельних ділянок (Небрат, Міщук, Міщук)</v>
      </c>
      <c r="C1" s="44"/>
      <c r="D1" s="44"/>
      <c r="E1" s="44"/>
      <c r="F1" s="44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SUBTOTAL(109,Таблица245678910111718192021222324252627[За])</f>
        <v>20</v>
      </c>
      <c r="D30" s="46">
        <f>SUBTOTAL(109,Таблица245678910111718192021222324252627[Проти])</f>
        <v>0</v>
      </c>
      <c r="E30" s="46">
        <f>SUBTOTAL(109,Таблица245678910111718192021222324252627[Утрим])</f>
        <v>0</v>
      </c>
      <c r="F30" s="46">
        <f>SUBTOTAL(109,Таблица245678910111718192021222324252627[не голосували])</f>
        <v>0</v>
      </c>
    </row>
    <row r="31" spans="1:7" x14ac:dyDescent="0.25">
      <c r="B31" t="str">
        <f>IF(Таблица245678910111718192021222324252627[[#Totals],[За]]&gt;13,"Рішення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'!B22</f>
        <v>Про поновлення договору оренди на земельну ділянку (Гайдай)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SUBTOTAL(109,Таблица24567891011171819202122232425262728[За])</f>
        <v>20</v>
      </c>
      <c r="D30" s="46">
        <f>SUBTOTAL(109,Таблица24567891011171819202122232425262728[Проти])</f>
        <v>0</v>
      </c>
      <c r="E30" s="46">
        <f>SUBTOTAL(109,Таблица24567891011171819202122232425262728[Утрим])</f>
        <v>0</v>
      </c>
      <c r="F30" s="46">
        <f>SUBTOTAL(109,Таблица24567891011171819202122232425262728[не голосували])</f>
        <v>0</v>
      </c>
    </row>
    <row r="31" spans="1:7" x14ac:dyDescent="0.25">
      <c r="B31" t="str">
        <f>IF(Таблица24567891011171819202122232425262728[[#Totals],[За]]&gt;13,"Рішення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'!B23</f>
        <v>Про поновлення договору оренди на земельну ділянку (Капко)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SUBTOTAL(109,Таблица2456789101117181920212223242526272829[За])</f>
        <v>19</v>
      </c>
      <c r="D30" s="46">
        <f>SUBTOTAL(109,Таблица2456789101117181920212223242526272829[Проти])</f>
        <v>0</v>
      </c>
      <c r="E30" s="46">
        <f>SUBTOTAL(109,Таблица2456789101117181920212223242526272829[Утрим])</f>
        <v>0</v>
      </c>
      <c r="F30" s="46">
        <f>SUBTOTAL(109,Таблица2456789101117181920212223242526272829[не голосували])</f>
        <v>0</v>
      </c>
    </row>
    <row r="31" spans="1:7" x14ac:dyDescent="0.25">
      <c r="B31" t="str">
        <f>IF(Таблица2456789101117181920212223242526272829[[#Totals],[За]]&gt;13,"Рішення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'!B24</f>
        <v>Про поновлення договору оренди на земельну ділянку (Рокочий)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SUBTOTAL(109,Таблица245678910111718192021222324252627282930[За])</f>
        <v>19</v>
      </c>
      <c r="D30" s="46">
        <f>SUBTOTAL(109,Таблица245678910111718192021222324252627282930[Проти])</f>
        <v>0</v>
      </c>
      <c r="E30" s="46">
        <f>SUBTOTAL(109,Таблица245678910111718192021222324252627282930[Утрим])</f>
        <v>0</v>
      </c>
      <c r="F30" s="46">
        <f>SUBTOTAL(109,Таблица245678910111718192021222324252627282930[не голосували])</f>
        <v>0</v>
      </c>
    </row>
    <row r="31" spans="1:7" x14ac:dyDescent="0.25">
      <c r="B31" t="str">
        <f>IF(Таблица245678910111718192021222324252627282930[[#Totals],[За]]&gt;13,"Рішення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'!B25</f>
        <v>Про розірвання договору оренди на земельну ділянку та передачу її в оренду (Доля)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SUBTOTAL(109,Таблица24567891011171819202122232425262728293031[За])</f>
        <v>17</v>
      </c>
      <c r="D30" s="46">
        <f>SUBTOTAL(109,Таблица24567891011171819202122232425262728293031[Проти])</f>
        <v>0</v>
      </c>
      <c r="E30" s="46">
        <f>SUBTOTAL(109,Таблица24567891011171819202122232425262728293031[Утрим])</f>
        <v>0</v>
      </c>
      <c r="F30" s="46">
        <f>SUBTOTAL(109,Таблица24567891011171819202122232425262728293031[не голосували])</f>
        <v>0</v>
      </c>
    </row>
    <row r="31" spans="1:7" x14ac:dyDescent="0.25">
      <c r="B31" t="str">
        <f>IF(Таблица24567891011171819202122232425262728293031[[#Totals],[За]]&gt;13,"Рішення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'!B26</f>
        <v>Про надання дозволу на розроблення технічної документації із землеустрою щодо поділу земельної ділянки комунальної власності (Матухно)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SUBTOTAL(109,Таблица2456789101117181920212223242526272829303132[За])</f>
        <v>19</v>
      </c>
      <c r="D30" s="46">
        <f>SUBTOTAL(109,Таблица2456789101117181920212223242526272829303132[Проти])</f>
        <v>0</v>
      </c>
      <c r="E30" s="46">
        <f>SUBTOTAL(109,Таблица2456789101117181920212223242526272829303132[Утрим])</f>
        <v>0</v>
      </c>
      <c r="F30" s="46">
        <f>SUBTOTAL(109,Таблица2456789101117181920212223242526272829303132[не голосували])</f>
        <v>0</v>
      </c>
    </row>
    <row r="31" spans="1:7" x14ac:dyDescent="0.25">
      <c r="B31" t="str">
        <f>IF(Таблица2456789101117181920212223242526272829303132[[#Totals],[За]]&gt;13,"Рішення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'!B27</f>
        <v>Про надання дозволу на розроблення технічної документації із землеустрою щодо поділу земельної ділянки комунальної власності (Мрія)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SUBTOTAL(109,Таблица245678910111718192021222324252627282930313233[За])</f>
        <v>19</v>
      </c>
      <c r="D30" s="46">
        <f>SUBTOTAL(109,Таблица245678910111718192021222324252627282930313233[Проти])</f>
        <v>0</v>
      </c>
      <c r="E30" s="46">
        <f>SUBTOTAL(109,Таблица245678910111718192021222324252627282930313233[Утрим])</f>
        <v>0</v>
      </c>
      <c r="F30" s="46">
        <f>SUBTOTAL(109,Таблица245678910111718192021222324252627282930313233[не голосували])</f>
        <v>0</v>
      </c>
    </row>
    <row r="31" spans="1:7" x14ac:dyDescent="0.25">
      <c r="B31" t="str">
        <f>IF(Таблица245678910111718192021222324252627282930313233[[#Totals],[За]]&gt;13,"Рішення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4" t="str">
        <f>'Порядок денний '!B28</f>
        <v>Про проведення земельних торгів у формі аукціону</v>
      </c>
      <c r="C1" s="44"/>
      <c r="D1" s="44"/>
      <c r="E1" s="44"/>
      <c r="F1" s="44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SUBTOTAL(109,Таблица24567891011171819202122232425262728293031323334[За])</f>
        <v>18</v>
      </c>
      <c r="D30" s="46">
        <f>SUBTOTAL(109,Таблица24567891011171819202122232425262728293031323334[Проти])</f>
        <v>0</v>
      </c>
      <c r="E30" s="46">
        <f>SUBTOTAL(109,Таблица24567891011171819202122232425262728293031323334[Утрим])</f>
        <v>0</v>
      </c>
      <c r="F30" s="46">
        <f>SUBTOTAL(109,Таблица24567891011171819202122232425262728293031323334[не голосували])</f>
        <v>0</v>
      </c>
    </row>
    <row r="31" spans="1:7" x14ac:dyDescent="0.25">
      <c r="B31" t="str">
        <f>IF(Таблица24567891011171819202122232425262728293031323334[[#Totals],[За]]&gt;13,"Рішення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="85" zoomScaleNormal="100" zoomScaleSheetLayoutView="85" workbookViewId="0">
      <selection activeCell="C19" sqref="C1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</f>
        <v>Про затвердження проектів землеустрою щодо відведення земельних ділянок та передачу їх у власність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>
        <v>1</v>
      </c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SUBTOTAL(109,Таблица2[За])</f>
        <v>18</v>
      </c>
      <c r="D30" s="46">
        <f>SUBTOTAL(109,Таблица2[Проти])</f>
        <v>0</v>
      </c>
      <c r="E30" s="46">
        <f>SUBTOTAL(109,Таблица2[Утрим])</f>
        <v>0</v>
      </c>
      <c r="F30" s="46">
        <f>SUBTOTAL(109,Таблица2[не голосували])</f>
        <v>1</v>
      </c>
    </row>
    <row r="31" spans="1:7" x14ac:dyDescent="0.25">
      <c r="B31" t="str">
        <f>IF(Таблица2[[#Totals],[За]]&gt;13,"Рішення прийнято","Рішення не прийнято")</f>
        <v>Рішення прийнято</v>
      </c>
    </row>
    <row r="33" spans="1:2" x14ac:dyDescent="0.25">
      <c r="B33" s="36">
        <f>'лічильна комісія'!B33</f>
        <v>0</v>
      </c>
    </row>
    <row r="34" spans="1:2" ht="18.75" x14ac:dyDescent="0.3">
      <c r="A34" s="35" t="str">
        <f>'лічильна комісія'!A34</f>
        <v/>
      </c>
      <c r="B34" s="35">
        <f>'лічильна комісія'!B34</f>
        <v>0</v>
      </c>
    </row>
    <row r="35" spans="1:2" ht="18.75" x14ac:dyDescent="0.3">
      <c r="A35" s="35" t="str">
        <f>'лічильна комісія'!A35</f>
        <v/>
      </c>
      <c r="B35" s="35"/>
    </row>
    <row r="36" spans="1:2" ht="18.75" x14ac:dyDescent="0.3">
      <c r="A36" s="35" t="str">
        <f>'лічильна комісія'!A36</f>
        <v/>
      </c>
      <c r="B36" s="35">
        <f>'лічильна комісія'!B36</f>
        <v>0</v>
      </c>
    </row>
    <row r="37" spans="1:2" ht="18.75" x14ac:dyDescent="0.3">
      <c r="A37" s="35" t="str">
        <f>'лічильна комісія'!A37</f>
        <v/>
      </c>
      <c r="B37" s="35"/>
    </row>
    <row r="38" spans="1:2" ht="18.75" x14ac:dyDescent="0.3">
      <c r="A38" s="35">
        <f>'лічильна комісія'!A38</f>
        <v>0</v>
      </c>
      <c r="B38" s="35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'!B29</f>
        <v>Про проведення земельних торгів у формі аукціону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SUBTOTAL(109,Таблица2456789101117181920212223242526272829303132333435[За])</f>
        <v>19</v>
      </c>
      <c r="D30" s="46">
        <f>SUBTOTAL(109,Таблица2456789101117181920212223242526272829303132333435[Проти])</f>
        <v>0</v>
      </c>
      <c r="E30" s="46">
        <f>SUBTOTAL(109,Таблица2456789101117181920212223242526272829303132333435[Утрим])</f>
        <v>0</v>
      </c>
      <c r="F30" s="46">
        <f>SUBTOTAL(109,Таблица2456789101117181920212223242526272829303132333435[не голосували])</f>
        <v>0</v>
      </c>
    </row>
    <row r="31" spans="1:7" x14ac:dyDescent="0.25">
      <c r="B31" t="str">
        <f>IF(Таблица2456789101117181920212223242526272829303132333435[[#Totals],[За]]&gt;13,"Рішення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'!B30</f>
        <v>Про надання дозволу на розроблення технічної документації із землеустрою щодо поділу земельної ділянки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SUBTOTAL(109,Таблица245678910111718192021222324252627282930313233343536[За])</f>
        <v>19</v>
      </c>
      <c r="D30" s="46">
        <f>SUBTOTAL(109,Таблица245678910111718192021222324252627282930313233343536[Проти])</f>
        <v>0</v>
      </c>
      <c r="E30" s="46">
        <f>SUBTOTAL(109,Таблица245678910111718192021222324252627282930313233343536[Утрим])</f>
        <v>0</v>
      </c>
      <c r="F30" s="46">
        <f>SUBTOTAL(109,Таблица245678910111718192021222324252627282930313233343536[не голосували])</f>
        <v>0</v>
      </c>
    </row>
    <row r="31" spans="1:7" x14ac:dyDescent="0.25">
      <c r="B31" t="str">
        <f>IF(Таблица245678910111718192021222324252627282930313233343536[[#Totals],[За]]&gt;13,"Рішення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'!B31</f>
        <v>Про внесення змін до договорів оренди земельних ділянок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SUBTOTAL(109,Таблица24567891011171819202122232425262728293031323334353637[За])</f>
        <v>18</v>
      </c>
      <c r="D30" s="46">
        <f>SUBTOTAL(109,Таблица24567891011171819202122232425262728293031323334353637[Проти])</f>
        <v>0</v>
      </c>
      <c r="E30" s="46">
        <f>SUBTOTAL(109,Таблица24567891011171819202122232425262728293031323334353637[Утрим])</f>
        <v>0</v>
      </c>
      <c r="F30" s="46">
        <f>SUBTOTAL(109,Таблица24567891011171819202122232425262728293031323334353637[не голосували])</f>
        <v>0</v>
      </c>
    </row>
    <row r="31" spans="1:7" x14ac:dyDescent="0.25">
      <c r="B31" t="str">
        <f>IF(Таблица24567891011171819202122232425262728293031323334353637[[#Totals],[За]]&gt;13,"Рішення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'!B32</f>
        <v>Про внесення змін до діючих договорів оренди земельних ділянок (Однолько, Дружба нова)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SUBTOTAL(109,Таблица2456789101117181920212223242526272829303132333435363738[За])</f>
        <v>20</v>
      </c>
      <c r="D30" s="46">
        <f>SUBTOTAL(109,Таблица2456789101117181920212223242526272829303132333435363738[Проти])</f>
        <v>0</v>
      </c>
      <c r="E30" s="46">
        <f>SUBTOTAL(109,Таблица2456789101117181920212223242526272829303132333435363738[Утрим])</f>
        <v>0</v>
      </c>
      <c r="F30" s="46">
        <f>SUBTOTAL(109,Таблица2456789101117181920212223242526272829303132333435363738[не голосували])</f>
        <v>0</v>
      </c>
    </row>
    <row r="31" spans="1:7" x14ac:dyDescent="0.25">
      <c r="B31" t="str">
        <f>IF(Таблица2456789101117181920212223242526272829303132333435363738[[#Totals],[За]]&gt;13,"Рішення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'!B33</f>
        <v>Про внесення змін в право користування земельною ділянкою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SUBTOTAL(109,Таблица245678910111718192021222324252627282930313233343536373839[За])</f>
        <v>20</v>
      </c>
      <c r="D30" s="46">
        <f>SUBTOTAL(109,Таблица245678910111718192021222324252627282930313233343536373839[Проти])</f>
        <v>0</v>
      </c>
      <c r="E30" s="46">
        <f>SUBTOTAL(109,Таблица245678910111718192021222324252627282930313233343536373839[Утрим])</f>
        <v>0</v>
      </c>
      <c r="F30" s="46">
        <f>SUBTOTAL(109,Таблица245678910111718192021222324252627282930313233343536373839[не голосували])</f>
        <v>0</v>
      </c>
    </row>
    <row r="31" spans="1:7" x14ac:dyDescent="0.25">
      <c r="B31" t="str">
        <f>IF(Таблица245678910111718192021222324252627282930313233343536373839[[#Totals],[За]]&gt;13,"Рішення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'!B34</f>
        <v>Про дозвіл на оформлення права постійного користування земельною ділянкою (Господар)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SUBTOTAL(109,Таблица24567891011171819202122232425262728293031323334353637383940[За])</f>
        <v>20</v>
      </c>
      <c r="D30" s="46">
        <f>SUBTOTAL(109,Таблица24567891011171819202122232425262728293031323334353637383940[Проти])</f>
        <v>0</v>
      </c>
      <c r="E30" s="46">
        <f>SUBTOTAL(109,Таблица24567891011171819202122232425262728293031323334353637383940[Утрим])</f>
        <v>0</v>
      </c>
      <c r="F30" s="46">
        <f>SUBTOTAL(109,Таблица24567891011171819202122232425262728293031323334353637383940[не голосували])</f>
        <v>0</v>
      </c>
    </row>
    <row r="31" spans="1:7" x14ac:dyDescent="0.25">
      <c r="B31" t="str">
        <f>IF(Таблица24567891011171819202122232425262728293031323334353637383940[[#Totals],[За]]&gt;13,"Рішення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'!B35</f>
        <v>Про звіт про виконання  селищного бюджету  за  2018 рік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SUBTOTAL(109,Таблица2456789101117181920212223242526272829303132333435363738394041[За])</f>
        <v>20</v>
      </c>
      <c r="D30" s="46">
        <f>SUBTOTAL(109,Таблица2456789101117181920212223242526272829303132333435363738394041[Проти])</f>
        <v>0</v>
      </c>
      <c r="E30" s="46">
        <f>SUBTOTAL(109,Таблица2456789101117181920212223242526272829303132333435363738394041[Утрим])</f>
        <v>0</v>
      </c>
      <c r="F30" s="46">
        <f>SUBTOTAL(109,Таблица2456789101117181920212223242526272829303132333435363738394041[не голосували])</f>
        <v>0</v>
      </c>
    </row>
    <row r="31" spans="1:7" x14ac:dyDescent="0.25">
      <c r="B31" t="str">
        <f>IF(Таблица2456789101117181920212223242526272829303132333435363738394041[[#Totals],[За]]&gt;13,"Рішення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'!B36</f>
        <v>Про затвердження цільової Програми підвищення рівня безпеки дорожнього руху в населених пунктах Варвинської селищної ради на 2019-2020 роки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SUBTOTAL(109,Таблица245678910111718192021222324252627282930313233343536373839404142[За])</f>
        <v>20</v>
      </c>
      <c r="D30" s="46">
        <f>SUBTOTAL(109,Таблица245678910111718192021222324252627282930313233343536373839404142[Проти])</f>
        <v>0</v>
      </c>
      <c r="E30" s="46">
        <f>SUBTOTAL(109,Таблица245678910111718192021222324252627282930313233343536373839404142[Утрим])</f>
        <v>0</v>
      </c>
      <c r="F30" s="46">
        <f>SUBTOTAL(109,Таблица245678910111718192021222324252627282930313233343536373839404142[не голосували])</f>
        <v>0</v>
      </c>
    </row>
    <row r="31" spans="1:7" x14ac:dyDescent="0.25">
      <c r="B31" t="str">
        <f>IF(Таблица245678910111718192021222324252627282930313233343536373839404142[[#Totals],[За]]&gt;13,"Рішення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D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'!B37</f>
        <v>Про виконання Програми благоустрою Варвинської селищної ради за  2018 рік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>
        <v>1</v>
      </c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SUBTOTAL(109,Таблица24567891011171819202122232425262728293031323334353637383940414243[За])</f>
        <v>19</v>
      </c>
      <c r="D30" s="46">
        <f>SUBTOTAL(109,Таблица24567891011171819202122232425262728293031323334353637383940414243[Проти])</f>
        <v>1</v>
      </c>
      <c r="E30" s="46">
        <f>SUBTOTAL(109,Таблица24567891011171819202122232425262728293031323334353637383940414243[Утрим])</f>
        <v>0</v>
      </c>
      <c r="F30" s="46">
        <f>SUBTOTAL(109,Таблица24567891011171819202122232425262728293031323334353637383940414243[не голосували])</f>
        <v>0</v>
      </c>
    </row>
    <row r="31" spans="1:7" x14ac:dyDescent="0.25">
      <c r="B31" t="str">
        <f>IF(Таблица24567891011171819202122232425262728293031323334353637383940414243[[#Totals],[За]]&gt;13,"Рішення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'!B38</f>
        <v>Про  звіт директора КП «Господар» про підсумки роботи підприємства за 2018 рік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SUBTOTAL(109,Таблица2456789101117181920212223242526272829303132333435363738394041424344[За])</f>
        <v>19</v>
      </c>
      <c r="D30" s="46">
        <f>SUBTOTAL(109,Таблица2456789101117181920212223242526272829303132333435363738394041424344[Проти])</f>
        <v>0</v>
      </c>
      <c r="E30" s="46">
        <f>SUBTOTAL(109,Таблица2456789101117181920212223242526272829303132333435363738394041424344[Утрим])</f>
        <v>0</v>
      </c>
      <c r="F30" s="46">
        <f>SUBTOTAL(109,Таблица2456789101117181920212223242526272829303132333435363738394041424344[не голосували])</f>
        <v>0</v>
      </c>
    </row>
    <row r="31" spans="1:7" x14ac:dyDescent="0.25">
      <c r="B31" t="str">
        <f>IF(Таблица2456789101117181920212223242526272829303132333435363738394041424344[[#Totals],[За]]&gt;13,"Рішення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="85" zoomScaleNormal="100" zoomScaleSheetLayoutView="85" workbookViewId="0">
      <selection activeCell="H19" sqref="H1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3" t="str">
        <f>'Порядок денний '!B3</f>
        <v>Про затвердження технічних документацій із землеустрою щодо встановлення (відновлення) меж земельних ділянок в натурі (на місцевості)  Ткачова, Сідько, Ломака</v>
      </c>
      <c r="C1" s="43"/>
      <c r="D1" s="43"/>
      <c r="E1" s="43"/>
      <c r="F1" s="43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>
        <v>1</v>
      </c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>
        <v>1</v>
      </c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SUBTOTAL(109,Таблица24[За])</f>
        <v>17</v>
      </c>
      <c r="D30" s="46">
        <f>SUBTOTAL(109,Таблица24[Проти])</f>
        <v>0</v>
      </c>
      <c r="E30" s="46">
        <f>SUBTOTAL(109,Таблица24[Утрим])</f>
        <v>1</v>
      </c>
      <c r="F30" s="46">
        <f>SUBTOTAL(109,Таблица24[не голосували])</f>
        <v>1</v>
      </c>
    </row>
    <row r="31" spans="1:7" x14ac:dyDescent="0.25">
      <c r="B31" t="str">
        <f>IF(Таблица24[[#Totals],[За]]&gt;13,"Рішення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'!B39</f>
        <v>Про передачу основних засобів до статутного капіталу КП «Господар»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SUBTOTAL(109,Таблица245678910111718192021222324252627282930313233343536373839404142434445[За])</f>
        <v>19</v>
      </c>
      <c r="D30" s="46">
        <f>SUBTOTAL(109,Таблица245678910111718192021222324252627282930313233343536373839404142434445[Проти])</f>
        <v>0</v>
      </c>
      <c r="E30" s="46">
        <f>SUBTOTAL(109,Таблица245678910111718192021222324252627282930313233343536373839404142434445[Утрим])</f>
        <v>0</v>
      </c>
      <c r="F30" s="46">
        <f>SUBTOTAL(109,Таблица245678910111718192021222324252627282930313233343536373839404142434445[не голосували])</f>
        <v>0</v>
      </c>
    </row>
    <row r="31" spans="1:7" x14ac:dyDescent="0.25">
      <c r="B31" t="str">
        <f>IF(Таблица245678910111718192021222324252627282930313233343536373839404142434445[[#Totals],[За]]&gt;13,"Рішення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'!B40</f>
        <v>Про скасування державної реєстрації статуту територіальної громади селища Варва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SUBTOTAL(109,Таблица24567891011171819202122232425262728293031323334353637383940414243444546[За])</f>
        <v>19</v>
      </c>
      <c r="D30" s="46">
        <f>SUBTOTAL(109,Таблица24567891011171819202122232425262728293031323334353637383940414243444546[Проти])</f>
        <v>0</v>
      </c>
      <c r="E30" s="46">
        <f>SUBTOTAL(109,Таблица24567891011171819202122232425262728293031323334353637383940414243444546[Утрим])</f>
        <v>0</v>
      </c>
      <c r="F30" s="46">
        <f>SUBTOTAL(109,Таблица24567891011171819202122232425262728293031323334353637383940414243444546[не голосували])</f>
        <v>0</v>
      </c>
    </row>
    <row r="31" spans="1:7" x14ac:dyDescent="0.25">
      <c r="B31" t="str">
        <f>IF(Таблица24567891011171819202122232425262728293031323334353637383940414243444546[[#Totals],[За]]&gt;13,"Рішення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'!B41</f>
        <v>Про внесення змін до Плану (Програми)  соціально – економічного та культурного розвитку  Варвинської селищної  ради на 2019 рік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SUBTOTAL(109,Таблица2456789101117181920212223242526272829303132333435363738394041424344454647[За])</f>
        <v>19</v>
      </c>
      <c r="D30" s="46">
        <f>SUBTOTAL(109,Таблица2456789101117181920212223242526272829303132333435363738394041424344454647[Проти])</f>
        <v>0</v>
      </c>
      <c r="E30" s="46">
        <f>SUBTOTAL(109,Таблица2456789101117181920212223242526272829303132333435363738394041424344454647[Утрим])</f>
        <v>0</v>
      </c>
      <c r="F30" s="46">
        <f>SUBTOTAL(109,Таблица2456789101117181920212223242526272829303132333435363738394041424344454647[не голосували])</f>
        <v>0</v>
      </c>
    </row>
    <row r="31" spans="1:7" x14ac:dyDescent="0.25">
      <c r="B31" t="str">
        <f>IF(Таблица2456789101117181920212223242526272829303132333435363738394041424344454647[[#Totals],[За]]&gt;13,"Рішення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'!B42</f>
        <v>Про звіт про діяльність у сфері охорони навколишнього природного середовища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SUBTOTAL(109,Таблица245678910111718192021222324252627282930313233343536373839404142434445464748[За])</f>
        <v>19</v>
      </c>
      <c r="D30" s="46">
        <f>SUBTOTAL(109,Таблица245678910111718192021222324252627282930313233343536373839404142434445464748[Проти])</f>
        <v>0</v>
      </c>
      <c r="E30" s="46">
        <f>SUBTOTAL(109,Таблица245678910111718192021222324252627282930313233343536373839404142434445464748[Утрим])</f>
        <v>0</v>
      </c>
      <c r="F30" s="46">
        <f>SUBTOTAL(109,Таблица245678910111718192021222324252627282930313233343536373839404142434445464748[не голосували])</f>
        <v>0</v>
      </c>
    </row>
    <row r="31" spans="1:7" x14ac:dyDescent="0.25">
      <c r="B31" t="str">
        <f>IF(Таблица245678910111718192021222324252627282930313233343536373839404142434445464748[[#Totals],[За]]&gt;13,"Рішення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E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'!B43</f>
        <v>Про затвердження Програми  поводження з побутовими відходами на території Варвинської селищної ради на 2019-2020 роки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>
        <v>1</v>
      </c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>
        <v>1</v>
      </c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SUBTOTAL(109,Таблица24567891011171819202122232425262728293031323334353637383940414243444546474849[За])</f>
        <v>17</v>
      </c>
      <c r="D30" s="46">
        <f>SUBTOTAL(109,Таблица24567891011171819202122232425262728293031323334353637383940414243444546474849[Проти])</f>
        <v>0</v>
      </c>
      <c r="E30" s="46">
        <f>SUBTOTAL(109,Таблица24567891011171819202122232425262728293031323334353637383940414243444546474849[Утрим])</f>
        <v>2</v>
      </c>
      <c r="F30" s="46">
        <f>SUBTOTAL(109,Таблица24567891011171819202122232425262728293031323334353637383940414243444546474849[не голосували])</f>
        <v>0</v>
      </c>
    </row>
    <row r="31" spans="1:7" x14ac:dyDescent="0.25">
      <c r="B31" t="str">
        <f>IF(Таблица24567891011171819202122232425262728293031323334353637383940414243444546474849[[#Totals],[За]]&gt;13,"Рішення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'!B44</f>
        <v>Про внесення змін до рішення Варвинської селищної ради від 18 серпня 2016 року № 4-17/16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SUBTOTAL(109,Таблица2456789101117181920212223242526272829303132333435363738394041424344454647484950[За])</f>
        <v>19</v>
      </c>
      <c r="D30" s="46">
        <f>SUBTOTAL(109,Таблица2456789101117181920212223242526272829303132333435363738394041424344454647484950[Проти])</f>
        <v>0</v>
      </c>
      <c r="E30" s="46">
        <f>SUBTOTAL(109,Таблица2456789101117181920212223242526272829303132333435363738394041424344454647484950[Утрим])</f>
        <v>0</v>
      </c>
      <c r="F30" s="46">
        <f>SUBTOTAL(109,Таблица2456789101117181920212223242526272829303132333435363738394041424344454647484950[не голосували])</f>
        <v>0</v>
      </c>
    </row>
    <row r="31" spans="1:7" x14ac:dyDescent="0.25">
      <c r="B31" t="str">
        <f>IF(Таблица2456789101117181920212223242526272829303132333435363738394041424344454647484950[[#Totals],[За]]&gt;13,"Рішення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'!B45</f>
        <v>Про затвердження акту приймання-передачі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SUBTOTAL(109,Таблица245678910111718192021222324252627282930313233343536373839404142434445464748495051[За])</f>
        <v>18</v>
      </c>
      <c r="D30" s="46">
        <f>SUBTOTAL(109,Таблица245678910111718192021222324252627282930313233343536373839404142434445464748495051[Проти])</f>
        <v>0</v>
      </c>
      <c r="E30" s="46">
        <f>SUBTOTAL(109,Таблица245678910111718192021222324252627282930313233343536373839404142434445464748495051[Утрим])</f>
        <v>0</v>
      </c>
      <c r="F30" s="46">
        <f>SUBTOTAL(109,Таблица245678910111718192021222324252627282930313233343536373839404142434445464748495051[не голосували])</f>
        <v>0</v>
      </c>
    </row>
    <row r="31" spans="1:7" x14ac:dyDescent="0.25">
      <c r="B31" t="str">
        <f>IF(Таблица245678910111718192021222324252627282930313233343536373839404142434445464748495051[[#Totals],[За]]&gt;13,"Рішення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'!B46</f>
        <v>Про внесення змін до рішення Варвинської селищної ради від 20.09.2018 № 22-15/18отг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SUBTOTAL(109,Таблица24567891011171819202122232425262728293031323334353637383940414243444546474849505152[За])</f>
        <v>19</v>
      </c>
      <c r="D30" s="46">
        <f>SUBTOTAL(109,Таблица24567891011171819202122232425262728293031323334353637383940414243444546474849505152[Проти])</f>
        <v>0</v>
      </c>
      <c r="E30" s="46">
        <f>SUBTOTAL(109,Таблица24567891011171819202122232425262728293031323334353637383940414243444546474849505152[Утрим])</f>
        <v>0</v>
      </c>
      <c r="F30" s="46">
        <f>SUBTOTAL(109,Таблица24567891011171819202122232425262728293031323334353637383940414243444546474849505152[не голосували])</f>
        <v>0</v>
      </c>
    </row>
    <row r="31" spans="1:7" x14ac:dyDescent="0.25">
      <c r="B31" t="str">
        <f>IF(Таблица24567891011171819202122232425262728293031323334353637383940414243444546474849505152[[#Totals],[За]]&gt;13,"Рішення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F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'!B47</f>
        <v>Про затвердження Положення про преміювання та надання матеріальної допомоги працівникам відділу культури Варвинської селищної ради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>
        <v>1</v>
      </c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SUBTOTAL(109,Таблица2456789101117181920212223242526272829303132333435363738394041424344454647484950515253[За])</f>
        <v>17</v>
      </c>
      <c r="D30" s="46">
        <f>SUBTOTAL(109,Таблица2456789101117181920212223242526272829303132333435363738394041424344454647484950515253[Проти])</f>
        <v>0</v>
      </c>
      <c r="E30" s="46">
        <f>SUBTOTAL(109,Таблица2456789101117181920212223242526272829303132333435363738394041424344454647484950515253[Утрим])</f>
        <v>0</v>
      </c>
      <c r="F30" s="46">
        <f>SUBTOTAL(109,Таблица2456789101117181920212223242526272829303132333435363738394041424344454647484950515253[не голосували])</f>
        <v>1</v>
      </c>
    </row>
    <row r="31" spans="1:7" x14ac:dyDescent="0.25">
      <c r="B31" t="str">
        <f>IF(Таблица2456789101117181920212223242526272829303132333435363738394041424344454647484950515253[[#Totals],[За]]&gt;13,"Рішення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F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'!B48</f>
        <v>Про затвердження Положення про преміювання та надання матеріальної допомоги працівникам відділу освіти, дітей, молоді та спорту Варвинської селищної ради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>
        <v>1</v>
      </c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SUBTOTAL(109,Таблица245678910111718192021222324252627282930313233343536373839404142434445464748495051525354[За])</f>
        <v>17</v>
      </c>
      <c r="D30" s="46">
        <f>SUBTOTAL(109,Таблица245678910111718192021222324252627282930313233343536373839404142434445464748495051525354[Проти])</f>
        <v>0</v>
      </c>
      <c r="E30" s="46">
        <f>SUBTOTAL(109,Таблица245678910111718192021222324252627282930313233343536373839404142434445464748495051525354[Утрим])</f>
        <v>0</v>
      </c>
      <c r="F30" s="46">
        <f>SUBTOTAL(109,Таблица245678910111718192021222324252627282930313233343536373839404142434445464748495051525354[не голосували])</f>
        <v>1</v>
      </c>
    </row>
    <row r="31" spans="1:7" x14ac:dyDescent="0.25">
      <c r="B31" t="str">
        <f>IF(Таблица245678910111718192021222324252627282930313233343536373839404142434445464748495051525354[[#Totals],[За]]&gt;13,"Рішення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19" sqref="C1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</f>
        <v>Про надання дозволів на розроблення технічних документацій із землеустрою щодо встановлення (відновлення) меж земельних ділянок в натурі (на місцевості) Степурко, Засоба, Кочерга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SUBTOTAL(109,Таблица245[За])</f>
        <v>20</v>
      </c>
      <c r="D30" s="46">
        <f>SUBTOTAL(109,Таблица245[Проти])</f>
        <v>0</v>
      </c>
      <c r="E30" s="46">
        <f>SUBTOTAL(109,Таблица245[Утрим])</f>
        <v>0</v>
      </c>
      <c r="F30" s="46">
        <f>SUBTOTAL(109,Таблица245[не голосували])</f>
        <v>0</v>
      </c>
    </row>
    <row r="31" spans="1:7" x14ac:dyDescent="0.25">
      <c r="B31" t="str">
        <f>IF(Таблица245[[#Totals],[За]]&gt;13,"Рішення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E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'!B49</f>
        <v>Про затвердження штатного розпису Варвинської селищної ради на 2019 рік в новій редакції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>
        <v>1</v>
      </c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SUBTOTAL(109,Таблица24567891011171819202122232425262728293031323334353637383940414243444546474849505152535455[За])</f>
        <v>18</v>
      </c>
      <c r="D30" s="46">
        <f>SUBTOTAL(109,Таблица24567891011171819202122232425262728293031323334353637383940414243444546474849505152535455[Проти])</f>
        <v>0</v>
      </c>
      <c r="E30" s="46">
        <f>SUBTOTAL(109,Таблица24567891011171819202122232425262728293031323334353637383940414243444546474849505152535455[Утрим])</f>
        <v>1</v>
      </c>
      <c r="F30" s="46">
        <f>SUBTOTAL(109,Таблица24567891011171819202122232425262728293031323334353637383940414243444546474849505152535455[не голосували])</f>
        <v>0</v>
      </c>
    </row>
    <row r="31" spans="1:7" x14ac:dyDescent="0.25">
      <c r="B31" t="str">
        <f>IF(Таблица24567891011171819202122232425262728293031323334353637383940414243444546474849505152535455[[#Totals],[За]]&gt;13,"Рішення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E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'!B50</f>
        <v>Про внесення змін до структури апарату Варвинської селищної ради та інших виконавчих органів селищної ради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>
        <v>1</v>
      </c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SUBTOTAL(109,Таблица2456789101117181920212223242526272829303132333435363738394041424344454647484950515253545556[За])</f>
        <v>18</v>
      </c>
      <c r="D30" s="46">
        <f>SUBTOTAL(109,Таблица2456789101117181920212223242526272829303132333435363738394041424344454647484950515253545556[Проти])</f>
        <v>0</v>
      </c>
      <c r="E30" s="46">
        <f>SUBTOTAL(109,Таблица2456789101117181920212223242526272829303132333435363738394041424344454647484950515253545556[Утрим])</f>
        <v>1</v>
      </c>
      <c r="F30" s="46">
        <f>SUBTOTAL(109,Таблица2456789101117181920212223242526272829303132333435363738394041424344454647484950515253545556[не голосували])</f>
        <v>0</v>
      </c>
    </row>
    <row r="31" spans="1:7" x14ac:dyDescent="0.25">
      <c r="B31" t="str">
        <f>IF(Таблица2456789101117181920212223242526272829303132333435363738394041424344454647484950515253545556[[#Totals],[За]]&gt;13,"Рішення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'!B51</f>
        <v>Про внесення змін до рішення двадцять другої сесії сьомого скликання селищної ради від 20 грудня 2018 року  № 9-22/18отг «Про селищний бюджет  Варвинської селищної об`єднаної територіальної громади на 2019 рік»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SUBTOTAL(109,Таблица245678910111718192021222324252627282930313233343536373839404142434445464748495051525354555657[За])</f>
        <v>18</v>
      </c>
      <c r="D30" s="46">
        <f>SUBTOTAL(109,Таблица245678910111718192021222324252627282930313233343536373839404142434445464748495051525354555657[Проти])</f>
        <v>0</v>
      </c>
      <c r="E30" s="46">
        <f>SUBTOTAL(109,Таблица245678910111718192021222324252627282930313233343536373839404142434445464748495051525354555657[Утрим])</f>
        <v>0</v>
      </c>
      <c r="F30" s="46">
        <f>SUBTOTAL(109,Таблица245678910111718192021222324252627282930313233343536373839404142434445464748495051525354555657[не голосували])</f>
        <v>0</v>
      </c>
    </row>
    <row r="31" spans="1:7" x14ac:dyDescent="0.25">
      <c r="B31" t="str">
        <f>IF(Таблица245678910111718192021222324252627282930313233343536373839404142434445464748495051525354555657[[#Totals],[За]]&gt;13,"Рішення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31" sqref="B3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'!B52</f>
        <v>Про надання кімнати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SUBTOTAL(109,Таблица24567891011171819202122232425262728293031323334353637383940414243444546474849505152535455565758[За])</f>
        <v>0</v>
      </c>
      <c r="D30" s="28">
        <f>SUBTOTAL(109,Таблица24567891011171819202122232425262728293031323334353637383940414243444546474849505152535455565758[Проти])</f>
        <v>0</v>
      </c>
      <c r="E30" s="28">
        <f>SUBTOTAL(109,Таблица24567891011171819202122232425262728293031323334353637383940414243444546474849505152535455565758[Утрим])</f>
        <v>0</v>
      </c>
      <c r="F30" s="28">
        <f>SUBTOTAL(109,Таблица24567891011171819202122232425262728293031323334353637383940414243444546474849505152535455565758[не голосували])</f>
        <v>0</v>
      </c>
    </row>
    <row r="31" spans="1:7" x14ac:dyDescent="0.25">
      <c r="B31" t="s">
        <v>101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'!B53</f>
        <v>Про внесення змін до Плану діяльності з підготовки проектів регуляторних актів на 2019 календарний рік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SUBTOTAL(109,Таблица2456789101117181920212223242526272829303132333435363738394041424344454647484950515253545556575859[За])</f>
        <v>18</v>
      </c>
      <c r="D30" s="46">
        <f>SUBTOTAL(109,Таблица2456789101117181920212223242526272829303132333435363738394041424344454647484950515253545556575859[Проти])</f>
        <v>0</v>
      </c>
      <c r="E30" s="46">
        <f>SUBTOTAL(109,Таблица2456789101117181920212223242526272829303132333435363738394041424344454647484950515253545556575859[Утрим])</f>
        <v>0</v>
      </c>
      <c r="F30" s="46">
        <f>SUBTOTAL(109,Таблица2456789101117181920212223242526272829303132333435363738394041424344454647484950515253545556575859[не голосували])</f>
        <v>0</v>
      </c>
    </row>
    <row r="31" spans="1:7" x14ac:dyDescent="0.25">
      <c r="B31" t="str">
        <f>IF(Таблица2456789101117181920212223242526272829303132333435363738394041424344454647484950515253545556575859[[#Totals],[За]]&gt;13,"Рішення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>
        <f>'Порядок денний '!B54</f>
        <v>0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SUBTOTAL(109,Таблица245678910111718192021222324252627282930313233343536373839404142434445464748495051525354555657585960[За])</f>
        <v>0</v>
      </c>
      <c r="D30" s="28">
        <f>SUBTOTAL(109,Таблица245678910111718192021222324252627282930313233343536373839404142434445464748495051525354555657585960[Проти])</f>
        <v>0</v>
      </c>
      <c r="E30" s="28">
        <f>SUBTOTAL(109,Таблица245678910111718192021222324252627282930313233343536373839404142434445464748495051525354555657585960[Утрим])</f>
        <v>0</v>
      </c>
      <c r="F30" s="28">
        <f>SUBTOTAL(109,Таблица245678910111718192021222324252627282930313233343536373839404142434445464748495051525354555657585960[не голосували])</f>
        <v>0</v>
      </c>
    </row>
    <row r="31" spans="1:7" x14ac:dyDescent="0.25">
      <c r="B31" t="str">
        <f>IF(Таблица245678910111718192021222324252627282930313233343536373839404142434445464748495051525354555657585960[[#Totals],[За]]&gt;13,"Рішення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SUBTOTAL(109,Таблица24567891011171819202122232425262728293031323334353637383940414243444546474849505152535455565758596061[За])</f>
        <v>0</v>
      </c>
      <c r="D30" s="28">
        <f>SUBTOTAL(109,Таблица24567891011171819202122232425262728293031323334353637383940414243444546474849505152535455565758596061[Проти])</f>
        <v>0</v>
      </c>
      <c r="E30" s="28">
        <f>SUBTOTAL(109,Таблица24567891011171819202122232425262728293031323334353637383940414243444546474849505152535455565758596061[Утрим])</f>
        <v>0</v>
      </c>
      <c r="F30" s="28">
        <f>SUBTOTAL(109,Таблица24567891011171819202122232425262728293031323334353637383940414243444546474849505152535455565758596061[не голосували])</f>
        <v>0</v>
      </c>
    </row>
    <row r="31" spans="1:7" x14ac:dyDescent="0.25">
      <c r="B31" t="str">
        <f>IF(Таблица24567891011171819202122232425262728293031323334353637383940414243444546474849505152535455565758596061[[#Totals],[За]]&gt;13,"Рішення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SUBTOTAL(109,Таблица2456789101117181920212223242526272829303132333435363738394041424344454647484950515253545556575859606162[За])</f>
        <v>0</v>
      </c>
      <c r="D30" s="28">
        <f>SUBTOTAL(109,Таблица2456789101117181920212223242526272829303132333435363738394041424344454647484950515253545556575859606162[Проти])</f>
        <v>0</v>
      </c>
      <c r="E30" s="28">
        <f>SUBTOTAL(109,Таблица2456789101117181920212223242526272829303132333435363738394041424344454647484950515253545556575859606162[Утрим])</f>
        <v>0</v>
      </c>
      <c r="F30" s="28">
        <f>SUBTOTAL(109,Таблица2456789101117181920212223242526272829303132333435363738394041424344454647484950515253545556575859606162[не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SUBTOTAL(109,Таблица245678910111718192021222324252627282930313233343536373839404142434445464748495051525354555657585960616263[За])</f>
        <v>0</v>
      </c>
      <c r="D30" s="28">
        <f>SUBTOTAL(109,Таблица245678910111718192021222324252627282930313233343536373839404142434445464748495051525354555657585960616263[Проти])</f>
        <v>0</v>
      </c>
      <c r="E30" s="28">
        <f>SUBTOTAL(109,Таблица245678910111718192021222324252627282930313233343536373839404142434445464748495051525354555657585960616263[Утрим])</f>
        <v>0</v>
      </c>
      <c r="F30" s="28">
        <f>SUBTOTAL(109,Таблица245678910111718192021222324252627282930313233343536373839404142434445464748495051525354555657585960616263[не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SUBTOTAL(109,Таблица2456789101117181920212223242526272829303132333435363738394041424344454647484950515253545556575859606162636465[За])</f>
        <v>0</v>
      </c>
      <c r="D30" s="28">
        <f>SUBTOTAL(109,Таблица2456789101117181920212223242526272829303132333435363738394041424344454647484950515253545556575859606162636465[Проти])</f>
        <v>0</v>
      </c>
      <c r="E30" s="28">
        <f>SUBTOTAL(109,Таблица2456789101117181920212223242526272829303132333435363738394041424344454647484950515253545556575859606162636465[Утрим])</f>
        <v>0</v>
      </c>
      <c r="F30" s="28">
        <f>SUBTOTAL(109,Таблица2456789101117181920212223242526272829303132333435363738394041424344454647484950515253545556575859606162636465[не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IF(Таблица2456789101117181920212223242526272829303132333435363738394041424344454647484950515253545556575859606162636465[[#Totals],[За]]&gt;13,"Рішення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'!B5</f>
        <v>Про надання дозволів на розроблення проектів землеустрою щодо відведення земельних ділянок (Литвиненко, Лісовські)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SUBTOTAL(109,Таблица2456[За])</f>
        <v>20</v>
      </c>
      <c r="D30" s="46">
        <f>SUBTOTAL(109,Таблица2456[Проти])</f>
        <v>0</v>
      </c>
      <c r="E30" s="46">
        <f>SUBTOTAL(109,Таблица2456[Утрим])</f>
        <v>0</v>
      </c>
      <c r="F30" s="46">
        <f>SUBTOTAL(109,Таблица2456[не голосували])</f>
        <v>0</v>
      </c>
    </row>
    <row r="31" spans="1:7" x14ac:dyDescent="0.25">
      <c r="B31" t="str">
        <f>IF(Таблица2456[[#Totals],[За]]&gt;13,"Рішення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4" t="e">
        <f>'Порядок денний '!#REF!</f>
        <v>#REF!</v>
      </c>
      <c r="C1" s="44"/>
      <c r="D1" s="44"/>
      <c r="E1" s="44"/>
      <c r="F1" s="44"/>
    </row>
    <row r="2" spans="1:7" ht="30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39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SUBTOTAL(109,Таблица24567891011171819202122232425262728293031323334353637383940414243444546474849505152535455565758596061626364[За])</f>
        <v>0</v>
      </c>
      <c r="D30" s="28">
        <f>SUBTOTAL(109,Таблица24567891011171819202122232425262728293031323334353637383940414243444546474849505152535455565758596061626364[Проти])</f>
        <v>0</v>
      </c>
      <c r="E30" s="28">
        <f>SUBTOTAL(109,Таблица24567891011171819202122232425262728293031323334353637383940414243444546474849505152535455565758596061626364[Утрим])</f>
        <v>0</v>
      </c>
      <c r="F30" s="28">
        <f>SUBTOTAL(109,Таблица24567891011171819202122232425262728293031323334353637383940414243444546474849505152535455565758596061626364[не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4" t="e">
        <f>'Порядок денний '!#REF!</f>
        <v>#REF!</v>
      </c>
      <c r="C1" s="44"/>
      <c r="D1" s="44"/>
      <c r="E1" s="44"/>
      <c r="F1" s="44"/>
    </row>
    <row r="2" spans="1:7" ht="30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39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SUBTOTAL(109,Таблица2456789101117181920212223242526272829303132333435363738394041424344454647484950515253545556575859606162636466[За])</f>
        <v>0</v>
      </c>
      <c r="D30" s="28">
        <f>SUBTOTAL(109,Таблица2456789101117181920212223242526272829303132333435363738394041424344454647484950515253545556575859606162636466[Проти])</f>
        <v>0</v>
      </c>
      <c r="E30" s="28">
        <f>SUBTOTAL(109,Таблица2456789101117181920212223242526272829303132333435363738394041424344454647484950515253545556575859606162636466[Утрим])</f>
        <v>0</v>
      </c>
      <c r="F30" s="28">
        <f>SUBTOTAL(109,Таблица2456789101117181920212223242526272829303132333435363738394041424344454647484950515253545556575859606162636466[не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SUBTOTAL(109,Таблица245678910111718192021222324252627282930313233343536373839404142434445464748495051525354555657585960616263646667[За])</f>
        <v>0</v>
      </c>
      <c r="D30" s="28">
        <f>SUBTOTAL(109,Таблица245678910111718192021222324252627282930313233343536373839404142434445464748495051525354555657585960616263646667[Проти])</f>
        <v>0</v>
      </c>
      <c r="E30" s="28">
        <f>SUBTOTAL(109,Таблица245678910111718192021222324252627282930313233343536373839404142434445464748495051525354555657585960616263646667[Утрим])</f>
        <v>0</v>
      </c>
      <c r="F30" s="28">
        <f>SUBTOTAL(109,Таблица245678910111718192021222324252627282930313233343536373839404142434445464748495051525354555657585960616263646667[не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4" t="e">
        <f>'Порядок денний '!#REF!</f>
        <v>#REF!</v>
      </c>
      <c r="C1" s="44"/>
      <c r="D1" s="44"/>
      <c r="E1" s="44"/>
      <c r="F1" s="44"/>
    </row>
    <row r="2" spans="1:7" ht="30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39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SUBTOTAL(109,Таблица24567891011171819202122232425262728293031323334353637383940414243444546474849505152535455565758596061626364666768[За])</f>
        <v>0</v>
      </c>
      <c r="D30" s="28">
        <f>SUBTOTAL(109,Таблица24567891011171819202122232425262728293031323334353637383940414243444546474849505152535455565758596061626364666768[Проти])</f>
        <v>0</v>
      </c>
      <c r="E30" s="28">
        <f>SUBTOTAL(109,Таблица24567891011171819202122232425262728293031323334353637383940414243444546474849505152535455565758596061626364666768[Утрим])</f>
        <v>0</v>
      </c>
      <c r="F30" s="28">
        <f>SUBTOTAL(109,Таблица24567891011171819202122232425262728293031323334353637383940414243444546474849505152535455565758596061626364666768[не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F2" sqref="F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4" t="e">
        <f>'Порядок денний '!#REF!</f>
        <v>#REF!</v>
      </c>
      <c r="C1" s="44"/>
      <c r="D1" s="44"/>
      <c r="E1" s="44"/>
      <c r="F1" s="44"/>
    </row>
    <row r="2" spans="1:7" ht="30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39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SUBTOTAL(109,Таблица2456789101117181920212223242526272829303132333435363738394041424344454647484950515253545556575859606162636466676869[За])</f>
        <v>0</v>
      </c>
      <c r="D30" s="28">
        <f>SUBTOTAL(109,Таблица2456789101117181920212223242526272829303132333435363738394041424344454647484950515253545556575859606162636466676869[Проти])</f>
        <v>0</v>
      </c>
      <c r="E30" s="28">
        <f>SUBTOTAL(109,Таблица2456789101117181920212223242526272829303132333435363738394041424344454647484950515253545556575859606162636466676869[Утрим])</f>
        <v>0</v>
      </c>
      <c r="F30" s="28">
        <f>SUBTOTAL(109,Таблица2456789101117181920212223242526272829303132333435363738394041424344454647484950515253545556575859606162636466676869[не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SUBTOTAL(109,Таблица245678910111718192021222324252627282930313233343536373839404142434445464748495051525354555657585960616263646667686970[За])</f>
        <v>0</v>
      </c>
      <c r="D30" s="28">
        <f>SUBTOTAL(109,Таблица245678910111718192021222324252627282930313233343536373839404142434445464748495051525354555657585960616263646667686970[Проти])</f>
        <v>0</v>
      </c>
      <c r="E30" s="28">
        <f>SUBTOTAL(109,Таблица245678910111718192021222324252627282930313233343536373839404142434445464748495051525354555657585960616263646667686970[Утрим])</f>
        <v>0</v>
      </c>
      <c r="F30" s="28">
        <f>SUBTOTAL(109,Таблица245678910111718192021222324252627282930313233343536373839404142434445464748495051525354555657585960616263646667686970[не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SUBTOTAL(109,Таблица24567891011171819202122232425262728293031323334353637383940414243444546474849505152535455565758596061626364666768697071[За])</f>
        <v>0</v>
      </c>
      <c r="D30" s="28">
        <f>SUBTOTAL(109,Таблица24567891011171819202122232425262728293031323334353637383940414243444546474849505152535455565758596061626364666768697071[Проти])</f>
        <v>0</v>
      </c>
      <c r="E30" s="28">
        <f>SUBTOTAL(109,Таблица24567891011171819202122232425262728293031323334353637383940414243444546474849505152535455565758596061626364666768697071[Утрим])</f>
        <v>0</v>
      </c>
      <c r="F30" s="28">
        <f>SUBTOTAL(109,Таблица24567891011171819202122232425262728293031323334353637383940414243444546474849505152535455565758596061626364666768697071[не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SUBTOTAL(109,Таблица2456789101117181920212223242526272829303132333435363738394041424344454647484950515253545556575859606162636466676869707173[За])</f>
        <v>0</v>
      </c>
      <c r="D30" s="28">
        <f>SUBTOTAL(109,Таблица2456789101117181920212223242526272829303132333435363738394041424344454647484950515253545556575859606162636466676869707173[Проти])</f>
        <v>0</v>
      </c>
      <c r="E30" s="28">
        <f>SUBTOTAL(109,Таблица2456789101117181920212223242526272829303132333435363738394041424344454647484950515253545556575859606162636466676869707173[Утрим])</f>
        <v>0</v>
      </c>
      <c r="F30" s="28">
        <f>SUBTOTAL(109,Таблица2456789101117181920212223242526272829303132333435363738394041424344454647484950515253545556575859606162636466676869707173[не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SUBTOTAL(109,Таблица245678910111718192021222324252627282930313233343536373839404142434445464748495051525354555657585960616263646667686970717374[За])</f>
        <v>0</v>
      </c>
      <c r="D30" s="28">
        <f>SUBTOTAL(109,Таблица245678910111718192021222324252627282930313233343536373839404142434445464748495051525354555657585960616263646667686970717374[Проти])</f>
        <v>0</v>
      </c>
      <c r="E30" s="28">
        <f>SUBTOTAL(109,Таблица245678910111718192021222324252627282930313233343536373839404142434445464748495051525354555657585960616263646667686970717374[Утрим])</f>
        <v>0</v>
      </c>
      <c r="F30" s="28">
        <f>SUBTOTAL(109,Таблица245678910111718192021222324252627282930313233343536373839404142434445464748495051525354555657585960616263646667686970717374[не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3" zoomScaleNormal="100" zoomScaleSheetLayoutView="100" workbookViewId="0">
      <selection activeCell="J9" sqref="J9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SUBTOTAL(109,Таблица24567891011171819202122232425262728293031323334353637383940414243444546474849505152535455565758596061626364666768697071737472[За])</f>
        <v>0</v>
      </c>
      <c r="D30" s="28">
        <f>SUBTOTAL(109,Таблица24567891011171819202122232425262728293031323334353637383940414243444546474849505152535455565758596061626364666768697071737472[Проти])</f>
        <v>0</v>
      </c>
      <c r="E30" s="28">
        <f>SUBTOTAL(109,Таблица24567891011171819202122232425262728293031323334353637383940414243444546474849505152535455565758596061626364666768697071737472[Утрим])</f>
        <v>0</v>
      </c>
      <c r="F30" s="28">
        <f>SUBTOTAL(109,Таблица24567891011171819202122232425262728293031323334353637383940414243444546474849505152535455565758596061626364666768697071737472[не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IF(Таблица24567891011171819202122232425262728293031323334353637383940414243444546474849505152535455565758596061626364666768697071737472[[#Totals],[За]]&gt;13,"Рішення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" sqref="C3:C28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str">
        <f>'Порядок денний '!B6</f>
        <v>Про припинення права користування земельною ділянкою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SUBTOTAL(109,Таблица24567[За])</f>
        <v>20</v>
      </c>
      <c r="D30" s="46">
        <f>SUBTOTAL(109,Таблица24567[Проти])</f>
        <v>0</v>
      </c>
      <c r="E30" s="46">
        <f>SUBTOTAL(109,Таблица24567[Утрим])</f>
        <v>0</v>
      </c>
      <c r="F30" s="46">
        <f>SUBTOTAL(109,Таблица24567[не голосували])</f>
        <v>0</v>
      </c>
    </row>
    <row r="31" spans="1:7" x14ac:dyDescent="0.25">
      <c r="B31" t="str">
        <f>IF(Таблица24567[[#Totals],[За]]&gt;13,"Рішення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0" zoomScaleNormal="100" zoomScaleSheetLayoutView="100" workbookViewId="0">
      <selection activeCell="B2" sqref="B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SUBTOTAL(109,Таблица2456789101117181920212223242526272829303132333435363738394041424344454647484950515253545556575859606162636466676869707173747275[За])</f>
        <v>0</v>
      </c>
      <c r="D30" s="28">
        <f>SUBTOTAL(109,Таблица2456789101117181920212223242526272829303132333435363738394041424344454647484950515253545556575859606162636466676869707173747275[Проти])</f>
        <v>0</v>
      </c>
      <c r="E30" s="28">
        <f>SUBTOTAL(109,Таблица2456789101117181920212223242526272829303132333435363738394041424344454647484950515253545556575859606162636466676869707173747275[Утрим])</f>
        <v>0</v>
      </c>
      <c r="F30" s="28">
        <f>SUBTOTAL(109,Таблица2456789101117181920212223242526272829303132333435363738394041424344454647484950515253545556575859606162636466676869707173747275[не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IF(Таблица2456789101117181920212223242526272829303132333435363738394041424344454647484950515253545556575859606162636466676869707173747275[[#Totals],[За]]&gt;13,"Рішення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7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SUBTOTAL(109,Таблица245678910111718192021222324252627282930313233343536373839404142434445464748495051525354555657585960616263646667686970717374727576[За])</f>
        <v>0</v>
      </c>
      <c r="D30" s="28">
        <f>SUBTOTAL(109,Таблица245678910111718192021222324252627282930313233343536373839404142434445464748495051525354555657585960616263646667686970717374727576[Проти])</f>
        <v>0</v>
      </c>
      <c r="E30" s="28">
        <f>SUBTOTAL(109,Таблица245678910111718192021222324252627282930313233343536373839404142434445464748495051525354555657585960616263646667686970717374727576[Утрим])</f>
        <v>0</v>
      </c>
      <c r="F30" s="28">
        <f>SUBTOTAL(109,Таблица245678910111718192021222324252627282930313233343536373839404142434445464748495051525354555657585960616263646667686970717374727576[не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IF(Таблица245678910111718192021222324252627282930313233343536373839404142434445464748495051525354555657585960616263646667686970717374727576[[#Totals],[За]]&gt;13,"Рішення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0" zoomScaleNormal="100" zoomScaleSheetLayoutView="100" workbookViewId="0">
      <selection activeCell="B1" sqref="B1:F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x14ac:dyDescent="0.25">
      <c r="B1" s="42" t="e">
        <f>'Порядок денний '!#REF!</f>
        <v>#REF!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SUBTOTAL(109,Таблица24567891011171819202122232425262728293031323334353637383940414243444546474849505152535455565758596061626364666768697071737472757677[За])</f>
        <v>0</v>
      </c>
      <c r="D30" s="28">
        <f>SUBTOTAL(109,Таблица24567891011171819202122232425262728293031323334353637383940414243444546474849505152535455565758596061626364666768697071737472757677[Проти])</f>
        <v>0</v>
      </c>
      <c r="E30" s="28">
        <f>SUBTOTAL(109,Таблица24567891011171819202122232425262728293031323334353637383940414243444546474849505152535455565758596061626364666768697071737472757677[Утрим])</f>
        <v>0</v>
      </c>
      <c r="F30" s="28">
        <f>SUBTOTAL(109,Таблица24567891011171819202122232425262728293031323334353637383940414243444546474849505152535455565758596061626364666768697071737472757677[не голосували])</f>
        <v>0</v>
      </c>
    </row>
    <row r="31" spans="1:7" x14ac:dyDescent="0.25">
      <c r="B31" t="str">
        <f>IF(Таблица24567891011171819202122232425262728293031323334353637383940414243444546474849505152535455565758596061626364666768697071737472757677[[#Totals],[За]]&gt;13,"Рішення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6" width="16.42578125" style="15" bestFit="1" customWidth="1"/>
    <col min="7" max="7" width="11.85546875" style="15" customWidth="1"/>
  </cols>
  <sheetData>
    <row r="1" spans="1:7" x14ac:dyDescent="0.25">
      <c r="B1" t="s">
        <v>18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C30" s="28">
        <f>SUBTOTAL(109,Таблица256789101112[За])</f>
        <v>0</v>
      </c>
      <c r="D30" s="28">
        <f>SUBTOTAL(109,Таблица256789101112[Проти])</f>
        <v>0</v>
      </c>
      <c r="E30" s="28">
        <f>SUBTOTAL(109,Таблица256789101112[Утрим])</f>
        <v>0</v>
      </c>
      <c r="F30" s="28">
        <f>SUBTOTAL(109,Таблица256789101112[не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C40" sqref="C40"/>
    </sheetView>
  </sheetViews>
  <sheetFormatPr defaultRowHeight="15" x14ac:dyDescent="0.25"/>
  <cols>
    <col min="2" max="2" width="39.7109375" bestFit="1" customWidth="1"/>
    <col min="3" max="5" width="10.7109375" customWidth="1"/>
    <col min="6" max="7" width="11.85546875" style="15" customWidth="1"/>
  </cols>
  <sheetData>
    <row r="1" spans="1:7" x14ac:dyDescent="0.25">
      <c r="B1" t="s">
        <v>19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SUBTOTAL(109,Таблица256789101112131415[За])</f>
        <v>0</v>
      </c>
      <c r="D30" s="28">
        <f>SUBTOTAL(109,Таблица256789101112131415[Проти])</f>
        <v>0</v>
      </c>
      <c r="E30" s="28">
        <f>SUBTOTAL(109,Таблица256789101112131415[Утрим])</f>
        <v>0</v>
      </c>
      <c r="F30" s="28">
        <f>SUBTOTAL(109,Таблица256789101112131415[не голосували])</f>
        <v>0</v>
      </c>
    </row>
    <row r="34" spans="1:2" ht="18.75" x14ac:dyDescent="0.3">
      <c r="A34" t="str">
        <f>IF(ISBLANK(B34),"",COUNTA($B$34:B34))</f>
        <v/>
      </c>
      <c r="B34" s="35"/>
    </row>
    <row r="35" spans="1:2" ht="18.75" x14ac:dyDescent="0.3">
      <c r="A35" t="str">
        <f>IF(ISBLANK(B35),"",COUNTA($B$34:B35))</f>
        <v/>
      </c>
      <c r="B35" s="35"/>
    </row>
    <row r="36" spans="1:2" ht="18.75" x14ac:dyDescent="0.3">
      <c r="A36" t="str">
        <f>IF(ISBLANK(B36),"",COUNTA($B$34:B36))</f>
        <v/>
      </c>
      <c r="B36" s="35"/>
    </row>
    <row r="37" spans="1:2" ht="18.75" x14ac:dyDescent="0.3">
      <c r="A37" t="str">
        <f>IF(ISBLANK(B37),"",COUNTA($B$34:B37))</f>
        <v/>
      </c>
      <c r="B37" s="35"/>
    </row>
    <row r="38" spans="1:2" ht="18.75" x14ac:dyDescent="0.3">
      <c r="A38">
        <f>IF(ISBLANK(#REF!),"",COUNTA($B$34:B38))</f>
        <v>0</v>
      </c>
      <c r="B38" s="3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1" spans="1:7" x14ac:dyDescent="0.25">
      <c r="B1" t="s">
        <v>20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SUBTOTAL(109,Таблица2567891011121314[За])</f>
        <v>0</v>
      </c>
      <c r="D30" s="28">
        <f>SUBTOTAL(109,Таблица2567891011121314[Проти])</f>
        <v>0</v>
      </c>
      <c r="E30" s="28">
        <f>SUBTOTAL(109,Таблица2567891011121314[Утрим])</f>
        <v>0</v>
      </c>
      <c r="F30" s="28">
        <f>SUBTOTAL(109,Таблица2567891011121314[не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25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25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25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25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25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25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25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25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25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25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25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25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25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25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SUBTOTAL(109,Таблица2567891011121316[За])</f>
        <v>0</v>
      </c>
      <c r="D30" s="28">
        <f>SUBTOTAL(109,Таблица2567891011121316[Проти])</f>
        <v>0</v>
      </c>
      <c r="E30" s="28">
        <f>SUBTOTAL(109,Таблица2567891011121316[Утрим])</f>
        <v>0</v>
      </c>
      <c r="F30" s="28">
        <f>SUBTOTAL(109,Таблица2567891011121316[не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3" sqref="B3"/>
    </sheetView>
  </sheetViews>
  <sheetFormatPr defaultRowHeight="15" x14ac:dyDescent="0.25"/>
  <cols>
    <col min="2" max="2" width="35.85546875" customWidth="1"/>
    <col min="3" max="5" width="10.7109375" customWidth="1"/>
    <col min="6" max="7" width="11.85546875" style="15" customWidth="1"/>
  </cols>
  <sheetData>
    <row r="1" spans="1:7" x14ac:dyDescent="0.25">
      <c r="B1" t="s">
        <v>21</v>
      </c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8" t="s">
        <v>11</v>
      </c>
      <c r="B30" s="28"/>
      <c r="C30" s="28">
        <f>SUBTOTAL(109,Таблица25678910111213[За])</f>
        <v>0</v>
      </c>
      <c r="D30" s="28">
        <f>SUBTOTAL(109,Таблица25678910111213[Проти])</f>
        <v>0</v>
      </c>
      <c r="E30" s="28">
        <f>SUBTOTAL(109,Таблица25678910111213[Утрим])</f>
        <v>0</v>
      </c>
      <c r="F30" s="28">
        <f>SUBTOTAL(109,Таблица25678910111213[не голосували])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3" sqref="L2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D35" sqref="D35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9" customHeight="1" x14ac:dyDescent="0.25">
      <c r="B1" s="42" t="str">
        <f>'Порядок денний '!B7</f>
        <v>Про надання дозволу на розроблення проекту землеустрою щодо відведення земельної ділянки (Лісовський)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>
        <v>1</v>
      </c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>
        <v>1</v>
      </c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/>
      <c r="D5" s="12"/>
      <c r="E5" s="12">
        <v>1</v>
      </c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>
        <v>1</v>
      </c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>
        <v>1</v>
      </c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>
        <v>1</v>
      </c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>
        <v>1</v>
      </c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>
        <v>1</v>
      </c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>
        <v>1</v>
      </c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/>
      <c r="D13" s="12"/>
      <c r="E13" s="12">
        <v>1</v>
      </c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/>
      <c r="D14" s="12"/>
      <c r="E14" s="12"/>
      <c r="F14" s="12">
        <v>1</v>
      </c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/>
      <c r="D15" s="12">
        <v>1</v>
      </c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/>
      <c r="D16" s="12">
        <v>1</v>
      </c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/>
      <c r="D17" s="12">
        <v>1</v>
      </c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/>
      <c r="D18" s="12"/>
      <c r="E18" s="12">
        <v>1</v>
      </c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/>
      <c r="D19" s="12"/>
      <c r="E19" s="12">
        <v>1</v>
      </c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/>
      <c r="D20" s="12"/>
      <c r="E20" s="12">
        <v>1</v>
      </c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/>
      <c r="D21" s="12">
        <v>1</v>
      </c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/>
      <c r="D22" s="12">
        <v>1</v>
      </c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/>
      <c r="D28" s="12"/>
      <c r="E28" s="12">
        <v>1</v>
      </c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46" t="s">
        <v>11</v>
      </c>
      <c r="B30" s="46"/>
      <c r="C30" s="46">
        <f>SUBTOTAL(109,Таблица245678[За])</f>
        <v>0</v>
      </c>
      <c r="D30" s="46">
        <f>SUBTOTAL(109,Таблица245678[Проти])</f>
        <v>12</v>
      </c>
      <c r="E30" s="46">
        <f>SUBTOTAL(109,Таблица245678[Утрим])</f>
        <v>7</v>
      </c>
      <c r="F30" s="46">
        <f>SUBTOTAL(109,Таблица245678[не голосували])</f>
        <v>1</v>
      </c>
    </row>
    <row r="31" spans="1:7" x14ac:dyDescent="0.25">
      <c r="B31" t="str">
        <f>IF(Таблица245678[[#Totals],[За]]&gt;13,"Рішення прийнято","Рішення не прийнято")</f>
        <v>Рішення не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C32" sqref="C32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1.5" customHeight="1" x14ac:dyDescent="0.25">
      <c r="B1" s="42" t="str">
        <f>'Порядок денний '!B8</f>
        <v>Про надання дозволу на розроблення проекту землеустрою щодо відведення земельної ділянки (Балаба)</v>
      </c>
      <c r="C1" s="42"/>
      <c r="D1" s="42"/>
      <c r="E1" s="42"/>
      <c r="F1" s="42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27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Борсук Юрій Миколайович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12" s="12"/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Рибальченко Максим Володимирович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Сміловець Віталій Володимирович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3" s="12"/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4" s="12"/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8" s="12">
        <v>1</v>
      </c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7" t="s">
        <v>11</v>
      </c>
      <c r="B30" s="27"/>
      <c r="C30" s="27">
        <f>SUBTOTAL(109,Таблица2456789[За])</f>
        <v>20</v>
      </c>
      <c r="D30" s="27">
        <f>SUBTOTAL(109,Таблица2456789[Проти])</f>
        <v>0</v>
      </c>
      <c r="E30" s="27">
        <f>SUBTOTAL(109,Таблица2456789[Утрим])</f>
        <v>0</v>
      </c>
      <c r="F30" s="27">
        <f>SUBTOTAL(109,Таблица2456789[не голосували])</f>
        <v>0</v>
      </c>
    </row>
    <row r="31" spans="1:7" x14ac:dyDescent="0.25">
      <c r="B31" t="str">
        <f>IF(Таблица2456789[[#Totals],[За]]&gt;13,"Рішення прийнято","Рішення не прийнято")</f>
        <v>Рішення прийнято</v>
      </c>
    </row>
    <row r="33" spans="1:2" x14ac:dyDescent="0.25">
      <c r="B33">
        <f>'лічильна комісія'!B33</f>
        <v>0</v>
      </c>
    </row>
    <row r="34" spans="1:2" x14ac:dyDescent="0.25">
      <c r="A34" t="str">
        <f>'лічильна комісія'!A34</f>
        <v/>
      </c>
      <c r="B34">
        <f>'лічильна комісія'!B34</f>
        <v>0</v>
      </c>
    </row>
    <row r="35" spans="1:2" x14ac:dyDescent="0.25">
      <c r="A35" t="str">
        <f>'лічильна комісія'!A35</f>
        <v/>
      </c>
    </row>
    <row r="36" spans="1:2" x14ac:dyDescent="0.25">
      <c r="A36" t="str">
        <f>'лічильна комісія'!A36</f>
        <v/>
      </c>
      <c r="B36">
        <f>'лічильна комісія'!B36</f>
        <v>0</v>
      </c>
    </row>
    <row r="37" spans="1:2" x14ac:dyDescent="0.25">
      <c r="A37" t="str">
        <f>'лічильна комісія'!A37</f>
        <v/>
      </c>
    </row>
    <row r="38" spans="1:2" x14ac:dyDescent="0.25">
      <c r="A38">
        <f>'лічильна комісія'!A38</f>
        <v>0</v>
      </c>
      <c r="B38">
        <f>'лічильна комісія'!B38</f>
        <v>0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78</vt:i4>
      </vt:variant>
      <vt:variant>
        <vt:lpstr>Именованные диапазоны</vt:lpstr>
      </vt:variant>
      <vt:variant>
        <vt:i4>71</vt:i4>
      </vt:variant>
    </vt:vector>
  </HeadingPairs>
  <TitlesOfParts>
    <vt:vector size="149" baseType="lpstr">
      <vt:lpstr>явка</vt:lpstr>
      <vt:lpstr>Порядок денний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регламент</vt:lpstr>
      <vt:lpstr>лічильна комісія</vt:lpstr>
      <vt:lpstr>Секретар</vt:lpstr>
      <vt:lpstr>резерв</vt:lpstr>
      <vt:lpstr>За порядок денний</vt:lpstr>
      <vt:lpstr>дані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'36'!Область_печати</vt:lpstr>
      <vt:lpstr>'37'!Область_печати</vt:lpstr>
      <vt:lpstr>'38'!Область_печати</vt:lpstr>
      <vt:lpstr>'39'!Область_печати</vt:lpstr>
      <vt:lpstr>'4'!Область_печати</vt:lpstr>
      <vt:lpstr>'40'!Область_печати</vt:lpstr>
      <vt:lpstr>'41'!Область_печати</vt:lpstr>
      <vt:lpstr>'42'!Область_печати</vt:lpstr>
      <vt:lpstr>'43'!Область_печати</vt:lpstr>
      <vt:lpstr>'44'!Область_печати</vt:lpstr>
      <vt:lpstr>'45'!Область_печати</vt:lpstr>
      <vt:lpstr>'46'!Область_печати</vt:lpstr>
      <vt:lpstr>'47'!Область_печати</vt:lpstr>
      <vt:lpstr>'48'!Область_печати</vt:lpstr>
      <vt:lpstr>'49'!Область_печати</vt:lpstr>
      <vt:lpstr>'5'!Область_печати</vt:lpstr>
      <vt:lpstr>'50'!Область_печати</vt:lpstr>
      <vt:lpstr>'51'!Область_печати</vt:lpstr>
      <vt:lpstr>'52'!Область_печати</vt:lpstr>
      <vt:lpstr>'53'!Область_печати</vt:lpstr>
      <vt:lpstr>'54'!Область_печати</vt:lpstr>
      <vt:lpstr>'55'!Область_печати</vt:lpstr>
      <vt:lpstr>'56'!Область_печати</vt:lpstr>
      <vt:lpstr>'57'!Область_печати</vt:lpstr>
      <vt:lpstr>'58'!Область_печати</vt:lpstr>
      <vt:lpstr>'59'!Область_печати</vt:lpstr>
      <vt:lpstr>'6'!Область_печати</vt:lpstr>
      <vt:lpstr>'60'!Область_печати</vt:lpstr>
      <vt:lpstr>'61'!Область_печати</vt:lpstr>
      <vt:lpstr>'62'!Область_печати</vt:lpstr>
      <vt:lpstr>'63'!Область_печати</vt:lpstr>
      <vt:lpstr>'64'!Область_печати</vt:lpstr>
      <vt:lpstr>'65'!Область_печати</vt:lpstr>
      <vt:lpstr>'66'!Область_печати</vt:lpstr>
      <vt:lpstr>'67'!Область_печати</vt:lpstr>
      <vt:lpstr>'68'!Область_печати</vt:lpstr>
      <vt:lpstr>'69'!Область_печати</vt:lpstr>
      <vt:lpstr>'7'!Область_печати</vt:lpstr>
      <vt:lpstr>'70'!Область_печати</vt:lpstr>
      <vt:lpstr>'8'!Область_печати</vt:lpstr>
      <vt:lpstr>'9'!Область_печати</vt:lpstr>
      <vt:lpstr>'Порядок денний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2018-03-19T10:37:51Z</cp:lastPrinted>
  <dcterms:created xsi:type="dcterms:W3CDTF">2016-01-11T09:21:51Z</dcterms:created>
  <dcterms:modified xsi:type="dcterms:W3CDTF">2019-02-22T09:08:55Z</dcterms:modified>
</cp:coreProperties>
</file>