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CF66" lockWindows="1"/>
  <bookViews>
    <workbookView xWindow="0" yWindow="0" windowWidth="15600" windowHeight="7725" tabRatio="837" firstSheet="2" activeTab="8"/>
  </bookViews>
  <sheets>
    <sheet name="ФОП" sheetId="23" state="hidden" r:id="rId1"/>
    <sheet name="Лист1" sheetId="20" state="hidden" r:id="rId2"/>
    <sheet name="Осн. фін. пок." sheetId="14" r:id="rId3"/>
    <sheet name="I. Фін результат" sheetId="2" r:id="rId4"/>
    <sheet name="ІІ. Розр. з бюджетом" sheetId="19" r:id="rId5"/>
    <sheet name="ІІІ. Рух грош. коштів" sheetId="18" r:id="rId6"/>
    <sheet name="IV. Кап. інвестиції" sheetId="3" r:id="rId7"/>
    <sheet name=" V. Коефіцієнти" sheetId="11" r:id="rId8"/>
    <sheet name="6.1. Інша інфо_1" sheetId="10" r:id="rId9"/>
    <sheet name="6.2. Інша інфо_2" sheetId="9" state="hidden" r:id="rId10"/>
    <sheet name="Соль  ПІСОК  (3)" sheetId="24" state="hidden" r:id="rId11"/>
    <sheet name="штатка" sheetId="21" state="hidden" r:id="rId12"/>
    <sheet name="Лист2" sheetId="25" state="hidden" r:id="rId13"/>
    <sheet name="Розшифр дох 2017" sheetId="22" state="hidden" r:id="rId14"/>
    <sheet name="штатка (2)" sheetId="26" state="hidden" r:id="rId15"/>
    <sheet name="ФОП (2)" sheetId="27" state="hidden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__123Graph_XGRAPH3" localSheetId="15" hidden="1">[1]GDP!#REF!</definedName>
    <definedName name="__123Graph_XGRAPH3" localSheetId="14" hidden="1">[1]GDP!#REF!</definedName>
    <definedName name="__123Graph_XGRAPH3" hidden="1">[1]GDP!#REF!</definedName>
    <definedName name="_xlnm._FilterDatabase" localSheetId="3" hidden="1">'I. Фін результат'!$A$7:$AI$7</definedName>
    <definedName name="_xlnm._FilterDatabase" localSheetId="0" hidden="1">ФОП!$A$3:$AM$178</definedName>
    <definedName name="_xlnm._FilterDatabase" localSheetId="15" hidden="1">'ФОП (2)'!$A$3:$AD$178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 localSheetId="15">#REF!</definedName>
    <definedName name="BuiltIn_Print_Area___1___1" localSheetId="14">#REF!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 localSheetId="15">#REF!</definedName>
    <definedName name="Cost_Category_National_ID" localSheetId="14">#REF!</definedName>
    <definedName name="Cost_Category_National_ID">#REF!</definedName>
    <definedName name="Cе511" localSheetId="15">#REF!</definedName>
    <definedName name="Cе511" localSheetId="14">#REF!</definedName>
    <definedName name="Cе511">#REF!</definedName>
    <definedName name="d">'[9]МТР Газ України'!$B$4</definedName>
    <definedName name="dCPIb" localSheetId="15">[10]попер_роз!#REF!</definedName>
    <definedName name="dCPIb" localSheetId="14">[10]попер_роз!#REF!</definedName>
    <definedName name="dCPIb">[10]попер_роз!#REF!</definedName>
    <definedName name="dPPIb" localSheetId="15">[10]попер_роз!#REF!</definedName>
    <definedName name="dPPIb" localSheetId="14">[10]попер_роз!#REF!</definedName>
    <definedName name="dPPIb">[10]попер_роз!#REF!</definedName>
    <definedName name="ds" localSheetId="15">'[11]7  Інші витрати'!#REF!</definedName>
    <definedName name="ds" localSheetId="14">'[11]7  Інші витрати'!#REF!</definedName>
    <definedName name="ds">'[11]7  Інші витрати'!#REF!</definedName>
    <definedName name="Fact_Type_ID" localSheetId="15">#REF!</definedName>
    <definedName name="Fact_Type_ID" localSheetId="14">#REF!</definedName>
    <definedName name="Fact_Type_ID">#REF!</definedName>
    <definedName name="G">'[12]МТР Газ України'!$B$1</definedName>
    <definedName name="ij1sssss" localSheetId="15">'[13]7  Інші витрати'!#REF!</definedName>
    <definedName name="ij1sssss" localSheetId="14">'[13]7  Інші витрати'!#REF!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 localSheetId="15">'[17]7  Інші витрати'!#REF!</definedName>
    <definedName name="Load_ID_10" localSheetId="14">'[17]7  Інші витрати'!#REF!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 localSheetId="15">[14]!ShowFil</definedName>
    <definedName name="ShowFil" localSheetId="14">[14]!ShowFil</definedName>
    <definedName name="ShowFil">[14]!ShowFil</definedName>
    <definedName name="SU_ID" localSheetId="15">#REF!</definedName>
    <definedName name="SU_ID" localSheetId="14">#REF!</definedName>
    <definedName name="SU_ID">#REF!</definedName>
    <definedName name="Time_ID">'[16]МТР Газ України'!$B$1</definedName>
    <definedName name="Time_ID_10" localSheetId="15">'[17]7  Інші витрати'!#REF!</definedName>
    <definedName name="Time_ID_10" localSheetId="14">'[17]7  Інші витрати'!#REF!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 localSheetId="15">'[17]7  Інші витрати'!#REF!</definedName>
    <definedName name="Time_ID0_10" localSheetId="14">'[17]7  Інші витрати'!#REF!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 localSheetId="15">#REF!</definedName>
    <definedName name="ttttttt" localSheetId="14">#REF!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 localSheetId="15">#REF!</definedName>
    <definedName name="yyyy" localSheetId="14">#REF!</definedName>
    <definedName name="yyyy">#REF!</definedName>
    <definedName name="zx">'[4]МТР Газ України'!$F$1</definedName>
    <definedName name="zxc">[5]Inform!$E$38</definedName>
    <definedName name="а" localSheetId="15">'[13]7  Інші витрати'!#REF!</definedName>
    <definedName name="а" localSheetId="14">'[13]7  Інші витрати'!#REF!</definedName>
    <definedName name="а">'[13]7  Інші витрати'!#REF!</definedName>
    <definedName name="ав" localSheetId="15">#REF!</definedName>
    <definedName name="ав" localSheetId="14">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 localSheetId="15">'[27]БАЗА  '!#REF!</definedName>
    <definedName name="ватт" localSheetId="14">'[27]БАЗА  '!#REF!</definedName>
    <definedName name="ватт">'[27]БАЗА  '!#REF!</definedName>
    <definedName name="Д">'[15]МТР Газ України'!$B$4</definedName>
    <definedName name="е" localSheetId="15">#REF!</definedName>
    <definedName name="е" localSheetId="14">#REF!</definedName>
    <definedName name="е">#REF!</definedName>
    <definedName name="є" localSheetId="15">#REF!</definedName>
    <definedName name="є" localSheetId="14">#REF!</definedName>
    <definedName name="є">#REF!</definedName>
    <definedName name="_xlnm.Print_Titles" localSheetId="7">' V. Коефіцієнти'!$5:$5</definedName>
    <definedName name="_xlnm.Print_Titles" localSheetId="3">'I. Фін результат'!$5:$5</definedName>
    <definedName name="_xlnm.Print_Titles" localSheetId="4">'ІІ. Розр. з бюджетом'!$5:$5</definedName>
    <definedName name="_xlnm.Print_Titles" localSheetId="5">'ІІІ. Рух грош. коштів'!$5:$5</definedName>
    <definedName name="_xlnm.Print_Titles" localSheetId="2">'Осн. фін. пок.'!$36:$36</definedName>
    <definedName name="Заголовки_для_печати_МИ">'[28]1993'!$A$1:$IV$3,'[28]1993'!$A$1:$A$65536</definedName>
    <definedName name="і">[29]Inform!$F$2</definedName>
    <definedName name="ів" localSheetId="15">#REF!</definedName>
    <definedName name="ів" localSheetId="14">#REF!</definedName>
    <definedName name="ів">#REF!</definedName>
    <definedName name="ів___0" localSheetId="15">#REF!</definedName>
    <definedName name="ів___0" localSheetId="14">#REF!</definedName>
    <definedName name="ів___0">#REF!</definedName>
    <definedName name="ів_22" localSheetId="15">#REF!</definedName>
    <definedName name="ів_22" localSheetId="14">#REF!</definedName>
    <definedName name="ів_22">#REF!</definedName>
    <definedName name="ів_26" localSheetId="15">#REF!</definedName>
    <definedName name="ів_26" localSheetId="14">#REF!</definedName>
    <definedName name="ів_26">#REF!</definedName>
    <definedName name="іваіа" localSheetId="15">'[30]7  Інші витрати'!#REF!</definedName>
    <definedName name="іваіа" localSheetId="14">'[30]7  Інші витрати'!#REF!</definedName>
    <definedName name="іваіа">'[30]7  Інші витрати'!#REF!</definedName>
    <definedName name="іваф" localSheetId="15">#REF!</definedName>
    <definedName name="іваф" localSheetId="14">#REF!</definedName>
    <definedName name="іваф">#REF!</definedName>
    <definedName name="івів">'[12]МТР Газ України'!$B$1</definedName>
    <definedName name="іцу">[23]Inform!$G$2</definedName>
    <definedName name="йуц" localSheetId="15">#REF!</definedName>
    <definedName name="йуц" localSheetId="14">#REF!</definedName>
    <definedName name="йуц">#REF!</definedName>
    <definedName name="йцу" localSheetId="15">#REF!</definedName>
    <definedName name="йцу" localSheetId="14">#REF!</definedName>
    <definedName name="йцу">#REF!</definedName>
    <definedName name="йцуйй" localSheetId="15">#REF!</definedName>
    <definedName name="йцуйй" localSheetId="14">#REF!</definedName>
    <definedName name="йцуйй">#REF!</definedName>
    <definedName name="йцукц" localSheetId="15">'[30]7  Інші витрати'!#REF!</definedName>
    <definedName name="йцукц" localSheetId="14">'[30]7  Інші витрати'!#REF!</definedName>
    <definedName name="йцукц">'[30]7  Інші витрати'!#REF!</definedName>
    <definedName name="КЕ" localSheetId="15">#REF!</definedName>
    <definedName name="КЕ" localSheetId="14">#REF!</definedName>
    <definedName name="КЕ">#REF!</definedName>
    <definedName name="КЕ___0" localSheetId="15">#REF!</definedName>
    <definedName name="КЕ___0" localSheetId="14">#REF!</definedName>
    <definedName name="КЕ___0">#REF!</definedName>
    <definedName name="КЕ_22" localSheetId="15">#REF!</definedName>
    <definedName name="КЕ_22" localSheetId="14">#REF!</definedName>
    <definedName name="КЕ_22">#REF!</definedName>
    <definedName name="КЕ_26" localSheetId="15">#REF!</definedName>
    <definedName name="КЕ_26" localSheetId="14">#REF!</definedName>
    <definedName name="КЕ_26">#REF!</definedName>
    <definedName name="кен" localSheetId="15">#REF!</definedName>
    <definedName name="кен" localSheetId="14">#REF!</definedName>
    <definedName name="кен">#REF!</definedName>
    <definedName name="л" localSheetId="15">#REF!</definedName>
    <definedName name="л" localSheetId="14">#REF!</definedName>
    <definedName name="л">#REF!</definedName>
    <definedName name="_xlnm.Print_Area" localSheetId="7">' V. Коефіцієнти'!$A$1:$H$26</definedName>
    <definedName name="_xlnm.Print_Area" localSheetId="8">'6.1. Інша інфо_1'!$A$1:$O$85</definedName>
    <definedName name="_xlnm.Print_Area" localSheetId="9">'6.2. Інша інфо_2'!$A$1:$AE$59</definedName>
    <definedName name="_xlnm.Print_Area" localSheetId="3">'I. Фін результат'!$A$1:$J$208</definedName>
    <definedName name="_xlnm.Print_Area" localSheetId="6">'IV. Кап. інвестиції'!$A$1:$I$16</definedName>
    <definedName name="_xlnm.Print_Area" localSheetId="4">'ІІ. Розр. з бюджетом'!$A$1:$I$42</definedName>
    <definedName name="_xlnm.Print_Area" localSheetId="5">'ІІІ. Рух грош. коштів'!$A$1:$I$87</definedName>
    <definedName name="_xlnm.Print_Area" localSheetId="2">'Осн. фін. пок.'!$A$1:$J$87</definedName>
    <definedName name="_xlnm.Print_Area" localSheetId="10">'Соль  ПІСОК  (3)'!$A$1:$BF$13</definedName>
    <definedName name="п" localSheetId="15">'[13]7  Інші витрати'!#REF!</definedName>
    <definedName name="п" localSheetId="14">'[13]7  Інші витрати'!#REF!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 localSheetId="15">#REF!</definedName>
    <definedName name="План" localSheetId="14">#REF!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15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14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 localSheetId="15">#REF!</definedName>
    <definedName name="р" localSheetId="14">#REF!</definedName>
    <definedName name="р">#REF!</definedName>
    <definedName name="т">[32]Inform!$E$6</definedName>
    <definedName name="тариф">[33]Inform!$G$2</definedName>
    <definedName name="уйцукйцуйу" localSheetId="15">#REF!</definedName>
    <definedName name="уйцукйцуйу" localSheetId="14">#REF!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 localSheetId="15">'[30]7  Інші витрати'!#REF!</definedName>
    <definedName name="фіваіф" localSheetId="14">'[30]7  Інші витрати'!#REF!</definedName>
    <definedName name="фіваіф">'[30]7  Інші витрати'!#REF!</definedName>
    <definedName name="фф">'[26]МТР Газ України'!$F$1</definedName>
    <definedName name="ц" localSheetId="15">'[13]7  Інші витрати'!#REF!</definedName>
    <definedName name="ц" localSheetId="14">'[13]7  Інші витрати'!#REF!</definedName>
    <definedName name="ц">'[13]7  Інші витрати'!#REF!</definedName>
    <definedName name="ччч" localSheetId="15">'[35]БАЗА  '!#REF!</definedName>
    <definedName name="ччч" localSheetId="14">'[35]БАЗА  '!#REF!</definedName>
    <definedName name="ччч">'[35]БАЗА  '!#REF!</definedName>
    <definedName name="ш" localSheetId="15">#REF!</definedName>
    <definedName name="ш" localSheetId="14">#REF!</definedName>
    <definedName name="ш">#REF!</definedName>
  </definedNames>
  <calcPr calcId="145621"/>
</workbook>
</file>

<file path=xl/calcChain.xml><?xml version="1.0" encoding="utf-8"?>
<calcChain xmlns="http://schemas.openxmlformats.org/spreadsheetml/2006/main">
  <c r="I172" i="23" l="1"/>
  <c r="I143" i="23"/>
  <c r="I144" i="23"/>
  <c r="I145" i="23"/>
  <c r="I146" i="23"/>
  <c r="I142" i="23"/>
  <c r="I111" i="23"/>
  <c r="I112" i="23"/>
  <c r="I110" i="23"/>
  <c r="I80" i="23"/>
  <c r="I81" i="23"/>
  <c r="I82" i="23"/>
  <c r="I83" i="23"/>
  <c r="I84" i="23"/>
  <c r="I85" i="23"/>
  <c r="I79" i="23"/>
  <c r="I49" i="23"/>
  <c r="I15" i="23"/>
  <c r="I16" i="23"/>
  <c r="I14" i="23"/>
  <c r="BC1" i="23" l="1"/>
  <c r="BB1" i="23"/>
  <c r="E187" i="2" l="1"/>
  <c r="F59" i="18" l="1"/>
  <c r="G76" i="18" l="1"/>
  <c r="H76" i="18" s="1"/>
  <c r="I76" i="18" s="1"/>
  <c r="F76" i="18"/>
  <c r="H68" i="14" l="1"/>
  <c r="I68" i="14"/>
  <c r="J68" i="14"/>
  <c r="G68" i="14"/>
  <c r="D85" i="14" l="1"/>
  <c r="F85" i="14"/>
  <c r="C85" i="14"/>
  <c r="F79" i="14"/>
  <c r="C201" i="2" l="1"/>
  <c r="C200" i="2"/>
  <c r="C199" i="2"/>
  <c r="F75" i="14" l="1"/>
  <c r="F83" i="14"/>
  <c r="F74" i="14"/>
  <c r="E75" i="18"/>
  <c r="E76" i="18"/>
  <c r="Z184" i="23" l="1"/>
  <c r="H89" i="2"/>
  <c r="I89" i="2"/>
  <c r="F89" i="2" s="1"/>
  <c r="I92" i="2"/>
  <c r="F92" i="2" s="1"/>
  <c r="F93" i="2"/>
  <c r="G93" i="2"/>
  <c r="H93" i="2"/>
  <c r="AC9" i="9"/>
  <c r="AC8" i="9"/>
  <c r="AC7" i="9"/>
  <c r="Z9" i="9"/>
  <c r="Z8" i="9"/>
  <c r="Z7" i="9"/>
  <c r="Q9" i="9"/>
  <c r="Q8" i="9"/>
  <c r="Q7" i="9"/>
  <c r="Y176" i="23"/>
  <c r="Z176" i="23"/>
  <c r="AA176" i="23"/>
  <c r="AB176" i="23"/>
  <c r="Y211" i="23"/>
  <c r="AA211" i="23"/>
  <c r="AC211" i="23"/>
  <c r="L156" i="23"/>
  <c r="H92" i="2" l="1"/>
  <c r="G92" i="2"/>
  <c r="G89" i="2"/>
  <c r="L155" i="23"/>
  <c r="V155" i="23" s="1"/>
  <c r="L146" i="23"/>
  <c r="V146" i="23" s="1"/>
  <c r="L138" i="23"/>
  <c r="L134" i="23"/>
  <c r="L135" i="23" s="1"/>
  <c r="V114" i="23"/>
  <c r="V115" i="23"/>
  <c r="V116" i="23"/>
  <c r="V117" i="23"/>
  <c r="V118" i="23"/>
  <c r="V119" i="23"/>
  <c r="V120" i="23"/>
  <c r="V121" i="23"/>
  <c r="V122" i="23"/>
  <c r="V123" i="23"/>
  <c r="V124" i="23"/>
  <c r="V125" i="23"/>
  <c r="V126" i="23"/>
  <c r="V127" i="23"/>
  <c r="V128" i="23"/>
  <c r="V129" i="23"/>
  <c r="V130" i="23"/>
  <c r="V131" i="23"/>
  <c r="V132" i="23"/>
  <c r="V133" i="23"/>
  <c r="V136" i="23"/>
  <c r="V137" i="23"/>
  <c r="V138" i="23"/>
  <c r="V139" i="23"/>
  <c r="V140" i="23"/>
  <c r="V141" i="23"/>
  <c r="V142" i="23"/>
  <c r="V143" i="23"/>
  <c r="V144" i="23"/>
  <c r="V145" i="23"/>
  <c r="V147" i="23"/>
  <c r="V148" i="23"/>
  <c r="V149" i="23"/>
  <c r="V150" i="23"/>
  <c r="V151" i="23"/>
  <c r="V152" i="23"/>
  <c r="V153" i="23"/>
  <c r="V154" i="23"/>
  <c r="V156" i="23"/>
  <c r="V157" i="23"/>
  <c r="V158" i="23"/>
  <c r="V159" i="23"/>
  <c r="V160" i="23"/>
  <c r="V161" i="23"/>
  <c r="V162" i="23"/>
  <c r="V163" i="23"/>
  <c r="V164" i="23"/>
  <c r="V165" i="23"/>
  <c r="V166" i="23"/>
  <c r="V167" i="23"/>
  <c r="V168" i="23"/>
  <c r="V169" i="23"/>
  <c r="V170" i="23"/>
  <c r="V171" i="23"/>
  <c r="AM172" i="23"/>
  <c r="G172" i="23"/>
  <c r="AI1" i="23"/>
  <c r="AJ1" i="23" s="1"/>
  <c r="AJ4" i="23" s="1"/>
  <c r="AJ5" i="23" s="1"/>
  <c r="AJ6" i="23" s="1"/>
  <c r="AE1" i="23"/>
  <c r="AE4" i="23" s="1"/>
  <c r="AE5" i="23" s="1"/>
  <c r="Y114" i="23"/>
  <c r="Y115" i="23"/>
  <c r="Y116" i="23"/>
  <c r="Y117" i="23"/>
  <c r="Y118" i="23"/>
  <c r="Y119" i="23"/>
  <c r="Y120" i="23"/>
  <c r="Y121" i="23"/>
  <c r="Y122" i="23"/>
  <c r="Y123" i="23"/>
  <c r="Y124" i="23"/>
  <c r="Y125" i="23"/>
  <c r="Y126" i="23"/>
  <c r="Y127" i="23"/>
  <c r="Y128" i="23"/>
  <c r="Y129" i="23"/>
  <c r="Y130" i="23"/>
  <c r="Y131" i="23"/>
  <c r="Y132" i="23"/>
  <c r="Y133" i="23"/>
  <c r="Y136" i="23"/>
  <c r="Y137" i="23"/>
  <c r="Y138" i="23"/>
  <c r="Y139" i="23"/>
  <c r="Y140" i="23"/>
  <c r="Y141" i="23"/>
  <c r="Y142" i="23"/>
  <c r="Y143" i="23"/>
  <c r="Y144" i="23"/>
  <c r="Y145" i="23"/>
  <c r="Y146" i="23"/>
  <c r="Y147" i="23"/>
  <c r="Y148" i="23"/>
  <c r="Y149" i="23"/>
  <c r="Y150" i="23"/>
  <c r="Y151" i="23"/>
  <c r="Y152" i="23"/>
  <c r="Y153" i="23"/>
  <c r="Y154" i="23"/>
  <c r="Y156" i="23"/>
  <c r="Y157" i="23"/>
  <c r="Y158" i="23"/>
  <c r="Y159" i="23"/>
  <c r="Y160" i="23"/>
  <c r="Y161" i="23"/>
  <c r="Y162" i="23"/>
  <c r="Y163" i="23"/>
  <c r="Y164" i="23"/>
  <c r="Y165" i="23"/>
  <c r="Y166" i="23"/>
  <c r="Y167" i="23"/>
  <c r="Y168" i="23"/>
  <c r="Y169" i="23"/>
  <c r="Y170" i="23"/>
  <c r="Y171" i="23"/>
  <c r="Z1" i="23"/>
  <c r="Y155" i="23" l="1"/>
  <c r="AJ7" i="23"/>
  <c r="AJ8" i="23" s="1"/>
  <c r="AJ9" i="23" s="1"/>
  <c r="AJ10" i="23" s="1"/>
  <c r="AJ11" i="23" s="1"/>
  <c r="AJ12" i="23" s="1"/>
  <c r="AJ13" i="23" s="1"/>
  <c r="AJ14" i="23" s="1"/>
  <c r="AJ15" i="23" s="1"/>
  <c r="AJ16" i="23" s="1"/>
  <c r="AJ17" i="23" s="1"/>
  <c r="AJ18" i="23" s="1"/>
  <c r="AJ19" i="23" s="1"/>
  <c r="AJ20" i="23" s="1"/>
  <c r="AJ21" i="23" s="1"/>
  <c r="AJ22" i="23" s="1"/>
  <c r="AJ23" i="23" s="1"/>
  <c r="AJ24" i="23" s="1"/>
  <c r="AJ25" i="23" s="1"/>
  <c r="AJ26" i="23" s="1"/>
  <c r="AJ27" i="23" s="1"/>
  <c r="AJ28" i="23" s="1"/>
  <c r="AJ29" i="23" s="1"/>
  <c r="AJ30" i="23" s="1"/>
  <c r="AJ31" i="23" s="1"/>
  <c r="AJ32" i="23" s="1"/>
  <c r="AJ33" i="23" s="1"/>
  <c r="AJ34" i="23" s="1"/>
  <c r="AJ35" i="23" s="1"/>
  <c r="AJ36" i="23" s="1"/>
  <c r="AJ37" i="23" s="1"/>
  <c r="AJ38" i="23" s="1"/>
  <c r="AJ39" i="23" s="1"/>
  <c r="AJ40" i="23" s="1"/>
  <c r="AJ41" i="23" s="1"/>
  <c r="AJ42" i="23" s="1"/>
  <c r="AJ43" i="23" s="1"/>
  <c r="AJ44" i="23" s="1"/>
  <c r="AJ45" i="23" s="1"/>
  <c r="AJ46" i="23" s="1"/>
  <c r="AJ47" i="23" s="1"/>
  <c r="AJ48" i="23" s="1"/>
  <c r="AJ49" i="23" s="1"/>
  <c r="AJ50" i="23" s="1"/>
  <c r="AJ51" i="23" s="1"/>
  <c r="AJ52" i="23" s="1"/>
  <c r="AJ53" i="23" s="1"/>
  <c r="AJ54" i="23" s="1"/>
  <c r="AJ55" i="23" s="1"/>
  <c r="AJ56" i="23" s="1"/>
  <c r="AJ57" i="23" s="1"/>
  <c r="AJ58" i="23" s="1"/>
  <c r="AJ59" i="23" s="1"/>
  <c r="AJ60" i="23" s="1"/>
  <c r="AJ61" i="23" s="1"/>
  <c r="AJ62" i="23" s="1"/>
  <c r="AJ63" i="23" s="1"/>
  <c r="AJ64" i="23" s="1"/>
  <c r="AJ65" i="23" s="1"/>
  <c r="AJ66" i="23" s="1"/>
  <c r="AJ67" i="23" s="1"/>
  <c r="AJ68" i="23" s="1"/>
  <c r="AJ69" i="23" s="1"/>
  <c r="AJ70" i="23" s="1"/>
  <c r="AJ71" i="23" s="1"/>
  <c r="AJ72" i="23" s="1"/>
  <c r="AJ73" i="23" s="1"/>
  <c r="AJ74" i="23" s="1"/>
  <c r="AJ75" i="23" s="1"/>
  <c r="AJ76" i="23" s="1"/>
  <c r="AJ77" i="23" s="1"/>
  <c r="AJ78" i="23" s="1"/>
  <c r="AJ79" i="23" s="1"/>
  <c r="AJ80" i="23" s="1"/>
  <c r="AJ81" i="23" s="1"/>
  <c r="AJ82" i="23" s="1"/>
  <c r="AJ83" i="23" s="1"/>
  <c r="AJ84" i="23" s="1"/>
  <c r="AJ85" i="23" s="1"/>
  <c r="AJ86" i="23" s="1"/>
  <c r="AJ87" i="23" s="1"/>
  <c r="AJ88" i="23" s="1"/>
  <c r="AJ89" i="23" s="1"/>
  <c r="AJ90" i="23" s="1"/>
  <c r="AJ91" i="23" s="1"/>
  <c r="AJ92" i="23" s="1"/>
  <c r="AJ93" i="23" s="1"/>
  <c r="AJ94" i="23" s="1"/>
  <c r="AJ95" i="23" s="1"/>
  <c r="AJ96" i="23" s="1"/>
  <c r="AJ97" i="23" s="1"/>
  <c r="AJ98" i="23" s="1"/>
  <c r="AJ99" i="23" s="1"/>
  <c r="AJ100" i="23" s="1"/>
  <c r="AJ101" i="23" s="1"/>
  <c r="AJ102" i="23" s="1"/>
  <c r="AJ103" i="23" s="1"/>
  <c r="AJ104" i="23" s="1"/>
  <c r="AJ105" i="23" s="1"/>
  <c r="AJ106" i="23" s="1"/>
  <c r="AJ107" i="23" s="1"/>
  <c r="AJ108" i="23" s="1"/>
  <c r="AJ109" i="23" s="1"/>
  <c r="AJ110" i="23" s="1"/>
  <c r="AJ111" i="23" s="1"/>
  <c r="AJ112" i="23" s="1"/>
  <c r="AJ113" i="23" s="1"/>
  <c r="AJ114" i="23" s="1"/>
  <c r="AJ115" i="23" s="1"/>
  <c r="AJ116" i="23" s="1"/>
  <c r="AJ117" i="23" s="1"/>
  <c r="AJ118" i="23" s="1"/>
  <c r="AJ119" i="23" s="1"/>
  <c r="AJ120" i="23" s="1"/>
  <c r="AJ121" i="23" s="1"/>
  <c r="AJ122" i="23" s="1"/>
  <c r="AJ123" i="23" s="1"/>
  <c r="AJ124" i="23" s="1"/>
  <c r="AJ125" i="23" s="1"/>
  <c r="AJ126" i="23" s="1"/>
  <c r="AJ127" i="23" s="1"/>
  <c r="AJ128" i="23" s="1"/>
  <c r="AJ129" i="23" s="1"/>
  <c r="AJ130" i="23" s="1"/>
  <c r="AJ131" i="23" s="1"/>
  <c r="AJ132" i="23" s="1"/>
  <c r="AJ133" i="23" s="1"/>
  <c r="AJ134" i="23" s="1"/>
  <c r="AJ135" i="23" s="1"/>
  <c r="AJ136" i="23" s="1"/>
  <c r="AJ137" i="23" s="1"/>
  <c r="AJ138" i="23" s="1"/>
  <c r="AJ139" i="23" s="1"/>
  <c r="AJ140" i="23" s="1"/>
  <c r="AJ141" i="23" s="1"/>
  <c r="AJ142" i="23" s="1"/>
  <c r="AJ143" i="23" s="1"/>
  <c r="AJ144" i="23" s="1"/>
  <c r="AJ145" i="23" s="1"/>
  <c r="AJ146" i="23" s="1"/>
  <c r="AJ147" i="23" s="1"/>
  <c r="AJ148" i="23" s="1"/>
  <c r="AJ149" i="23" s="1"/>
  <c r="AJ150" i="23" s="1"/>
  <c r="AJ151" i="23" s="1"/>
  <c r="AJ152" i="23" s="1"/>
  <c r="AJ153" i="23" s="1"/>
  <c r="AJ154" i="23" s="1"/>
  <c r="AJ155" i="23" s="1"/>
  <c r="AJ156" i="23" s="1"/>
  <c r="AJ157" i="23" s="1"/>
  <c r="AJ158" i="23" s="1"/>
  <c r="AJ159" i="23" s="1"/>
  <c r="AJ160" i="23" s="1"/>
  <c r="AJ161" i="23" s="1"/>
  <c r="AJ162" i="23" s="1"/>
  <c r="AJ163" i="23" s="1"/>
  <c r="AJ164" i="23" s="1"/>
  <c r="AJ165" i="23" s="1"/>
  <c r="AJ166" i="23" s="1"/>
  <c r="AJ167" i="23" s="1"/>
  <c r="AJ168" i="23" s="1"/>
  <c r="AJ169" i="23" s="1"/>
  <c r="AJ170" i="23" s="1"/>
  <c r="AJ171" i="23" s="1"/>
  <c r="Y134" i="23"/>
  <c r="V134" i="23"/>
  <c r="V135" i="23"/>
  <c r="Y135" i="23"/>
  <c r="AE6" i="23"/>
  <c r="AE7" i="23" s="1"/>
  <c r="AE8" i="23" s="1"/>
  <c r="P119" i="23"/>
  <c r="P124" i="23"/>
  <c r="P125" i="23"/>
  <c r="P127" i="23"/>
  <c r="P128" i="23"/>
  <c r="P129" i="23"/>
  <c r="P133" i="23"/>
  <c r="P134" i="23"/>
  <c r="P135" i="23"/>
  <c r="N119" i="23"/>
  <c r="N125" i="23"/>
  <c r="N127" i="23"/>
  <c r="N129" i="23"/>
  <c r="N133" i="23"/>
  <c r="N135" i="23"/>
  <c r="N124" i="23"/>
  <c r="N128" i="23"/>
  <c r="N134" i="23"/>
  <c r="L110" i="23"/>
  <c r="L1" i="23"/>
  <c r="K4" i="23"/>
  <c r="K59" i="23"/>
  <c r="F5" i="23"/>
  <c r="E67" i="2"/>
  <c r="D83" i="2"/>
  <c r="C83" i="2"/>
  <c r="D201" i="2"/>
  <c r="L7" i="23" l="1"/>
  <c r="N7" i="23" s="1"/>
  <c r="L8" i="23"/>
  <c r="N8" i="23" s="1"/>
  <c r="W133" i="23"/>
  <c r="Q133" i="23"/>
  <c r="R133" i="23" s="1"/>
  <c r="W119" i="23"/>
  <c r="Q119" i="23"/>
  <c r="R119" i="23" s="1"/>
  <c r="Y110" i="23"/>
  <c r="V110" i="23"/>
  <c r="AA110" i="23" s="1"/>
  <c r="W128" i="23"/>
  <c r="U128" i="23" s="1"/>
  <c r="Q128" i="23"/>
  <c r="R128" i="23" s="1"/>
  <c r="W129" i="23"/>
  <c r="Q129" i="23"/>
  <c r="R129" i="23" s="1"/>
  <c r="Y7" i="23"/>
  <c r="AD7" i="23" s="1"/>
  <c r="AI7" i="23" s="1"/>
  <c r="V7" i="23"/>
  <c r="AA7" i="23" s="1"/>
  <c r="W124" i="23"/>
  <c r="Q124" i="23"/>
  <c r="R124" i="23" s="1"/>
  <c r="W127" i="23"/>
  <c r="Q127" i="23"/>
  <c r="R127" i="23" s="1"/>
  <c r="W125" i="23"/>
  <c r="U125" i="23" s="1"/>
  <c r="Q125" i="23"/>
  <c r="R125" i="23" s="1"/>
  <c r="Q135" i="23"/>
  <c r="R135" i="23" s="1"/>
  <c r="W135" i="23"/>
  <c r="U135" i="23" s="1"/>
  <c r="W134" i="23"/>
  <c r="U134" i="23" s="1"/>
  <c r="Q134" i="23"/>
  <c r="R134" i="23" s="1"/>
  <c r="AB119" i="23"/>
  <c r="AA129" i="23"/>
  <c r="AA124" i="23"/>
  <c r="AA135" i="23"/>
  <c r="AA128" i="23"/>
  <c r="AA119" i="23"/>
  <c r="AA134" i="23"/>
  <c r="AA127" i="23"/>
  <c r="AA133" i="23"/>
  <c r="AA125" i="23"/>
  <c r="AE9" i="23"/>
  <c r="L112" i="23"/>
  <c r="P112" i="23" s="1"/>
  <c r="L105" i="23"/>
  <c r="N105" i="23" s="1"/>
  <c r="L100" i="23"/>
  <c r="P100" i="23" s="1"/>
  <c r="L95" i="23"/>
  <c r="P95" i="23" s="1"/>
  <c r="L87" i="23"/>
  <c r="L79" i="23"/>
  <c r="N79" i="23" s="1"/>
  <c r="L71" i="23"/>
  <c r="P71" i="23" s="1"/>
  <c r="L63" i="23"/>
  <c r="L55" i="23"/>
  <c r="L47" i="23"/>
  <c r="P47" i="23" s="1"/>
  <c r="L39" i="23"/>
  <c r="P39" i="23" s="1"/>
  <c r="L28" i="23"/>
  <c r="L12" i="23"/>
  <c r="N12" i="23" s="1"/>
  <c r="L109" i="23"/>
  <c r="P109" i="23" s="1"/>
  <c r="L104" i="23"/>
  <c r="L99" i="23"/>
  <c r="L92" i="23"/>
  <c r="N92" i="23" s="1"/>
  <c r="L84" i="23"/>
  <c r="L76" i="23"/>
  <c r="P76" i="23" s="1"/>
  <c r="L68" i="23"/>
  <c r="L60" i="23"/>
  <c r="L52" i="23"/>
  <c r="N52" i="23" s="1"/>
  <c r="L44" i="23"/>
  <c r="N44" i="23" s="1"/>
  <c r="L36" i="23"/>
  <c r="L24" i="23"/>
  <c r="L4" i="23"/>
  <c r="N4" i="23" s="1"/>
  <c r="L108" i="23"/>
  <c r="L103" i="23"/>
  <c r="P103" i="23" s="1"/>
  <c r="L97" i="23"/>
  <c r="N97" i="23" s="1"/>
  <c r="L91" i="23"/>
  <c r="N91" i="23" s="1"/>
  <c r="L83" i="23"/>
  <c r="L75" i="23"/>
  <c r="L67" i="23"/>
  <c r="N67" i="23" s="1"/>
  <c r="L59" i="23"/>
  <c r="N59" i="23" s="1"/>
  <c r="L51" i="23"/>
  <c r="L43" i="23"/>
  <c r="N43" i="23" s="1"/>
  <c r="L35" i="23"/>
  <c r="P35" i="23" s="1"/>
  <c r="L20" i="23"/>
  <c r="P20" i="23" s="1"/>
  <c r="L113" i="23"/>
  <c r="P113" i="23" s="1"/>
  <c r="L107" i="23"/>
  <c r="L101" i="23"/>
  <c r="P101" i="23" s="1"/>
  <c r="L96" i="23"/>
  <c r="L88" i="23"/>
  <c r="L80" i="23"/>
  <c r="L72" i="23"/>
  <c r="P72" i="23" s="1"/>
  <c r="L64" i="23"/>
  <c r="L56" i="23"/>
  <c r="L48" i="23"/>
  <c r="L40" i="23"/>
  <c r="P40" i="23" s="1"/>
  <c r="L32" i="23"/>
  <c r="P32" i="23" s="1"/>
  <c r="L16" i="23"/>
  <c r="P59" i="23"/>
  <c r="L111" i="23"/>
  <c r="L106" i="23"/>
  <c r="L102" i="23"/>
  <c r="L98" i="23"/>
  <c r="L94" i="23"/>
  <c r="L90" i="23"/>
  <c r="L86" i="23"/>
  <c r="L82" i="23"/>
  <c r="L78" i="23"/>
  <c r="L74" i="23"/>
  <c r="L70" i="23"/>
  <c r="L66" i="23"/>
  <c r="L62" i="23"/>
  <c r="L58" i="23"/>
  <c r="L54" i="23"/>
  <c r="L50" i="23"/>
  <c r="L46" i="23"/>
  <c r="L42" i="23"/>
  <c r="L38" i="23"/>
  <c r="L34" i="23"/>
  <c r="L30" i="23"/>
  <c r="L26" i="23"/>
  <c r="L22" i="23"/>
  <c r="L18" i="23"/>
  <c r="L14" i="23"/>
  <c r="L10" i="23"/>
  <c r="L6" i="23"/>
  <c r="K60" i="23"/>
  <c r="P84" i="23"/>
  <c r="P79" i="23"/>
  <c r="L93" i="23"/>
  <c r="L89" i="23"/>
  <c r="L85" i="23"/>
  <c r="L81" i="23"/>
  <c r="L77" i="23"/>
  <c r="L73" i="23"/>
  <c r="L69" i="23"/>
  <c r="L65" i="23"/>
  <c r="L61" i="23"/>
  <c r="L57" i="23"/>
  <c r="L53" i="23"/>
  <c r="L49" i="23"/>
  <c r="L45" i="23"/>
  <c r="L41" i="23"/>
  <c r="L37" i="23"/>
  <c r="L33" i="23"/>
  <c r="L29" i="23"/>
  <c r="L25" i="23"/>
  <c r="L21" i="23"/>
  <c r="L17" i="23"/>
  <c r="L13" i="23"/>
  <c r="L9" i="23"/>
  <c r="L5" i="23"/>
  <c r="P5" i="23" s="1"/>
  <c r="P110" i="23"/>
  <c r="N110" i="23"/>
  <c r="P63" i="23"/>
  <c r="L31" i="23"/>
  <c r="L27" i="23"/>
  <c r="L23" i="23"/>
  <c r="L19" i="23"/>
  <c r="L15" i="23"/>
  <c r="L11" i="23"/>
  <c r="U119" i="23"/>
  <c r="E89" i="2"/>
  <c r="AB92" i="2"/>
  <c r="AE92" i="2"/>
  <c r="E211" i="2"/>
  <c r="E216" i="2" s="1"/>
  <c r="D216" i="2"/>
  <c r="F216" i="2"/>
  <c r="G216" i="2"/>
  <c r="H216" i="2"/>
  <c r="I216" i="2"/>
  <c r="C216" i="2"/>
  <c r="D200" i="2"/>
  <c r="D199" i="2"/>
  <c r="C198" i="2"/>
  <c r="D198" i="2"/>
  <c r="C197" i="2"/>
  <c r="D197" i="2"/>
  <c r="N109" i="23" l="1"/>
  <c r="P7" i="23"/>
  <c r="P8" i="23"/>
  <c r="P105" i="23"/>
  <c r="Q105" i="23" s="1"/>
  <c r="R105" i="23" s="1"/>
  <c r="P52" i="23"/>
  <c r="N101" i="23"/>
  <c r="W101" i="23" s="1"/>
  <c r="AB101" i="23" s="1"/>
  <c r="P97" i="23"/>
  <c r="W97" i="23" s="1"/>
  <c r="AB97" i="23" s="1"/>
  <c r="AF7" i="23"/>
  <c r="N11" i="23"/>
  <c r="P11" i="23"/>
  <c r="P44" i="23"/>
  <c r="W44" i="23" s="1"/>
  <c r="AB44" i="23" s="1"/>
  <c r="W59" i="23"/>
  <c r="AB59" i="23" s="1"/>
  <c r="N39" i="23"/>
  <c r="W39" i="23" s="1"/>
  <c r="W52" i="23"/>
  <c r="AB52" i="23" s="1"/>
  <c r="W79" i="23"/>
  <c r="W105" i="23"/>
  <c r="W109" i="23"/>
  <c r="W110" i="23"/>
  <c r="U110" i="23" s="1"/>
  <c r="Y23" i="23"/>
  <c r="V23" i="23"/>
  <c r="AA23" i="23" s="1"/>
  <c r="W8" i="23"/>
  <c r="Y5" i="23"/>
  <c r="AD5" i="23" s="1"/>
  <c r="AI5" i="23" s="1"/>
  <c r="V5" i="23"/>
  <c r="AA5" i="23" s="1"/>
  <c r="AF5" i="23" s="1"/>
  <c r="N5" i="23"/>
  <c r="Y21" i="23"/>
  <c r="V21" i="23"/>
  <c r="AA21" i="23" s="1"/>
  <c r="Y37" i="23"/>
  <c r="V37" i="23"/>
  <c r="AA37" i="23" s="1"/>
  <c r="Y53" i="23"/>
  <c r="V53" i="23"/>
  <c r="AA53" i="23" s="1"/>
  <c r="Y69" i="23"/>
  <c r="V69" i="23"/>
  <c r="Y85" i="23"/>
  <c r="V85" i="23"/>
  <c r="AA85" i="23" s="1"/>
  <c r="Y10" i="23"/>
  <c r="V10" i="23"/>
  <c r="AA10" i="23" s="1"/>
  <c r="Y26" i="23"/>
  <c r="V26" i="23"/>
  <c r="AA26" i="23" s="1"/>
  <c r="Y42" i="23"/>
  <c r="V42" i="23"/>
  <c r="AA42" i="23" s="1"/>
  <c r="Y58" i="23"/>
  <c r="V58" i="23"/>
  <c r="AA58" i="23" s="1"/>
  <c r="Y74" i="23"/>
  <c r="V74" i="23"/>
  <c r="AA74" i="23" s="1"/>
  <c r="Y90" i="23"/>
  <c r="V90" i="23"/>
  <c r="AA90" i="23" s="1"/>
  <c r="Y106" i="23"/>
  <c r="V106" i="23"/>
  <c r="AA106" i="23" s="1"/>
  <c r="V32" i="23"/>
  <c r="AA32" i="23" s="1"/>
  <c r="Y64" i="23"/>
  <c r="V64" i="23"/>
  <c r="P96" i="23"/>
  <c r="V96" i="23"/>
  <c r="AA96" i="23" s="1"/>
  <c r="V20" i="23"/>
  <c r="AA20" i="23" s="1"/>
  <c r="Y59" i="23"/>
  <c r="V59" i="23"/>
  <c r="U59" i="23" s="1"/>
  <c r="Q59" i="23"/>
  <c r="R59" i="23" s="1"/>
  <c r="Y91" i="23"/>
  <c r="V91" i="23"/>
  <c r="AA91" i="23" s="1"/>
  <c r="Y4" i="23"/>
  <c r="AD4" i="23" s="1"/>
  <c r="V4" i="23"/>
  <c r="AA4" i="23" s="1"/>
  <c r="Y44" i="23"/>
  <c r="V44" i="23"/>
  <c r="AA44" i="23" s="1"/>
  <c r="V76" i="23"/>
  <c r="AA76" i="23" s="1"/>
  <c r="P104" i="23"/>
  <c r="V104" i="23"/>
  <c r="AA104" i="23" s="1"/>
  <c r="Y39" i="23"/>
  <c r="V39" i="23"/>
  <c r="AA39" i="23" s="1"/>
  <c r="V71" i="23"/>
  <c r="AA71" i="23" s="1"/>
  <c r="V100" i="23"/>
  <c r="AA100" i="23" s="1"/>
  <c r="Y11" i="23"/>
  <c r="V11" i="23"/>
  <c r="AA11" i="23" s="1"/>
  <c r="Y27" i="23"/>
  <c r="V27" i="23"/>
  <c r="AA27" i="23" s="1"/>
  <c r="Y9" i="23"/>
  <c r="AD9" i="23" s="1"/>
  <c r="AI9" i="23" s="1"/>
  <c r="V9" i="23"/>
  <c r="AA9" i="23" s="1"/>
  <c r="AF9" i="23" s="1"/>
  <c r="Y25" i="23"/>
  <c r="V25" i="23"/>
  <c r="AA25" i="23" s="1"/>
  <c r="Y41" i="23"/>
  <c r="V41" i="23"/>
  <c r="AA41" i="23" s="1"/>
  <c r="Y57" i="23"/>
  <c r="V57" i="23"/>
  <c r="AA57" i="23" s="1"/>
  <c r="Y73" i="23"/>
  <c r="V73" i="23"/>
  <c r="AA73" i="23" s="1"/>
  <c r="Y89" i="23"/>
  <c r="V89" i="23"/>
  <c r="AA89" i="23" s="1"/>
  <c r="Y14" i="23"/>
  <c r="V14" i="23"/>
  <c r="AA14" i="23" s="1"/>
  <c r="Y30" i="23"/>
  <c r="V30" i="23"/>
  <c r="AA30" i="23" s="1"/>
  <c r="Y46" i="23"/>
  <c r="V46" i="23"/>
  <c r="AA46" i="23" s="1"/>
  <c r="Y62" i="23"/>
  <c r="V62" i="23"/>
  <c r="Y78" i="23"/>
  <c r="V78" i="23"/>
  <c r="AA78" i="23" s="1"/>
  <c r="Y94" i="23"/>
  <c r="V94" i="23"/>
  <c r="AA94" i="23" s="1"/>
  <c r="Y111" i="23"/>
  <c r="V111" i="23"/>
  <c r="AA111" i="23" s="1"/>
  <c r="V40" i="23"/>
  <c r="AA40" i="23" s="1"/>
  <c r="V72" i="23"/>
  <c r="AA72" i="23" s="1"/>
  <c r="Y101" i="23"/>
  <c r="V101" i="23"/>
  <c r="AA101" i="23" s="1"/>
  <c r="V35" i="23"/>
  <c r="AA35" i="23" s="1"/>
  <c r="Y67" i="23"/>
  <c r="V67" i="23"/>
  <c r="Y97" i="23"/>
  <c r="V97" i="23"/>
  <c r="AA97" i="23" s="1"/>
  <c r="Y8" i="23"/>
  <c r="AD8" i="23" s="1"/>
  <c r="AI8" i="23" s="1"/>
  <c r="Q8" i="23"/>
  <c r="R8" i="23" s="1"/>
  <c r="V8" i="23"/>
  <c r="AA8" i="23" s="1"/>
  <c r="AF8" i="23" s="1"/>
  <c r="AK8" i="23" s="1"/>
  <c r="Y52" i="23"/>
  <c r="V52" i="23"/>
  <c r="AA52" i="23" s="1"/>
  <c r="Q52" i="23"/>
  <c r="R52" i="23" s="1"/>
  <c r="V84" i="23"/>
  <c r="AA84" i="23" s="1"/>
  <c r="Y109" i="23"/>
  <c r="V109" i="23"/>
  <c r="AA109" i="23" s="1"/>
  <c r="Q109" i="23"/>
  <c r="R109" i="23" s="1"/>
  <c r="V47" i="23"/>
  <c r="AA47" i="23" s="1"/>
  <c r="Y79" i="23"/>
  <c r="V79" i="23"/>
  <c r="AA79" i="23" s="1"/>
  <c r="Q79" i="23"/>
  <c r="R79" i="23" s="1"/>
  <c r="Y105" i="23"/>
  <c r="V105" i="23"/>
  <c r="AA105" i="23" s="1"/>
  <c r="W7" i="23"/>
  <c r="U7" i="23" s="1"/>
  <c r="Y15" i="23"/>
  <c r="V15" i="23"/>
  <c r="AA15" i="23" s="1"/>
  <c r="Y31" i="23"/>
  <c r="V31" i="23"/>
  <c r="AA31" i="23" s="1"/>
  <c r="Y13" i="23"/>
  <c r="V13" i="23"/>
  <c r="AA13" i="23" s="1"/>
  <c r="Y29" i="23"/>
  <c r="V29" i="23"/>
  <c r="AA29" i="23" s="1"/>
  <c r="Y45" i="23"/>
  <c r="V45" i="23"/>
  <c r="AA45" i="23" s="1"/>
  <c r="Y61" i="23"/>
  <c r="V61" i="23"/>
  <c r="Y77" i="23"/>
  <c r="V77" i="23"/>
  <c r="AA77" i="23" s="1"/>
  <c r="Y93" i="23"/>
  <c r="V93" i="23"/>
  <c r="AA93" i="23" s="1"/>
  <c r="Y18" i="23"/>
  <c r="V18" i="23"/>
  <c r="AA18" i="23" s="1"/>
  <c r="Y34" i="23"/>
  <c r="V34" i="23"/>
  <c r="AA34" i="23" s="1"/>
  <c r="V50" i="23"/>
  <c r="AA50" i="23" s="1"/>
  <c r="Y66" i="23"/>
  <c r="V66" i="23"/>
  <c r="Y82" i="23"/>
  <c r="V82" i="23"/>
  <c r="AA82" i="23" s="1"/>
  <c r="Y98" i="23"/>
  <c r="V98" i="23"/>
  <c r="AA98" i="23" s="1"/>
  <c r="V48" i="23"/>
  <c r="Y80" i="23"/>
  <c r="V80" i="23"/>
  <c r="AA80" i="23" s="1"/>
  <c r="P107" i="23"/>
  <c r="V107" i="23"/>
  <c r="AA107" i="23" s="1"/>
  <c r="Y43" i="23"/>
  <c r="V43" i="23"/>
  <c r="AA43" i="23" s="1"/>
  <c r="Y75" i="23"/>
  <c r="V75" i="23"/>
  <c r="AA75" i="23" s="1"/>
  <c r="Y103" i="23"/>
  <c r="V103" i="23"/>
  <c r="AA103" i="23" s="1"/>
  <c r="P24" i="23"/>
  <c r="V24" i="23"/>
  <c r="AA24" i="23" s="1"/>
  <c r="Y60" i="23"/>
  <c r="V60" i="23"/>
  <c r="Y92" i="23"/>
  <c r="V92" i="23"/>
  <c r="AA92" i="23" s="1"/>
  <c r="Y12" i="23"/>
  <c r="V12" i="23"/>
  <c r="AA12" i="23" s="1"/>
  <c r="P55" i="23"/>
  <c r="V55" i="23"/>
  <c r="AA55" i="23" s="1"/>
  <c r="Y87" i="23"/>
  <c r="V87" i="23"/>
  <c r="AA87" i="23" s="1"/>
  <c r="Y112" i="23"/>
  <c r="V112" i="23"/>
  <c r="AA112" i="23" s="1"/>
  <c r="Q7" i="23"/>
  <c r="R7" i="23" s="1"/>
  <c r="Q110" i="23"/>
  <c r="R110" i="23" s="1"/>
  <c r="Y19" i="23"/>
  <c r="V19" i="23"/>
  <c r="AA19" i="23" s="1"/>
  <c r="Y17" i="23"/>
  <c r="V17" i="23"/>
  <c r="AA17" i="23" s="1"/>
  <c r="Y33" i="23"/>
  <c r="V33" i="23"/>
  <c r="AA33" i="23" s="1"/>
  <c r="Y49" i="23"/>
  <c r="V49" i="23"/>
  <c r="AA49" i="23" s="1"/>
  <c r="Y65" i="23"/>
  <c r="V65" i="23"/>
  <c r="Y81" i="23"/>
  <c r="V81" i="23"/>
  <c r="AA81" i="23" s="1"/>
  <c r="Y6" i="23"/>
  <c r="AD6" i="23" s="1"/>
  <c r="AI6" i="23" s="1"/>
  <c r="V6" i="23"/>
  <c r="AA6" i="23" s="1"/>
  <c r="AF6" i="23" s="1"/>
  <c r="N6" i="23"/>
  <c r="Y22" i="23"/>
  <c r="V22" i="23"/>
  <c r="AA22" i="23" s="1"/>
  <c r="Y38" i="23"/>
  <c r="V38" i="23"/>
  <c r="AA38" i="23" s="1"/>
  <c r="Y54" i="23"/>
  <c r="V54" i="23"/>
  <c r="AA54" i="23" s="1"/>
  <c r="Y70" i="23"/>
  <c r="V70" i="23"/>
  <c r="AA70" i="23" s="1"/>
  <c r="Y86" i="23"/>
  <c r="V86" i="23"/>
  <c r="AA86" i="23" s="1"/>
  <c r="Y102" i="23"/>
  <c r="V102" i="23"/>
  <c r="AA102" i="23" s="1"/>
  <c r="V16" i="23"/>
  <c r="AA16" i="23" s="1"/>
  <c r="V56" i="23"/>
  <c r="AA56" i="23" s="1"/>
  <c r="V88" i="23"/>
  <c r="AA88" i="23" s="1"/>
  <c r="V113" i="23"/>
  <c r="AA113" i="23" s="1"/>
  <c r="V51" i="23"/>
  <c r="AA51" i="23" s="1"/>
  <c r="V83" i="23"/>
  <c r="AA83" i="23" s="1"/>
  <c r="V108" i="23"/>
  <c r="AA108" i="23" s="1"/>
  <c r="V36" i="23"/>
  <c r="AA36" i="23" s="1"/>
  <c r="V68" i="23"/>
  <c r="V99" i="23"/>
  <c r="AA99" i="23" s="1"/>
  <c r="V28" i="23"/>
  <c r="AA28" i="23" s="1"/>
  <c r="V63" i="23"/>
  <c r="V95" i="23"/>
  <c r="AA95" i="23" s="1"/>
  <c r="Y48" i="23"/>
  <c r="N60" i="23"/>
  <c r="P12" i="23"/>
  <c r="W12" i="23" s="1"/>
  <c r="N75" i="23"/>
  <c r="N103" i="23"/>
  <c r="P91" i="23"/>
  <c r="Q91" i="23" s="1"/>
  <c r="R91" i="23" s="1"/>
  <c r="N80" i="23"/>
  <c r="Y50" i="23"/>
  <c r="AB135" i="23"/>
  <c r="X135" i="23" s="1"/>
  <c r="P92" i="23"/>
  <c r="W92" i="23" s="1"/>
  <c r="N64" i="23"/>
  <c r="P60" i="23"/>
  <c r="N48" i="23"/>
  <c r="N87" i="23"/>
  <c r="P4" i="23"/>
  <c r="Q4" i="23" s="1"/>
  <c r="P48" i="23"/>
  <c r="N112" i="23"/>
  <c r="W112" i="23" s="1"/>
  <c r="P87" i="23"/>
  <c r="P75" i="23"/>
  <c r="P64" i="23"/>
  <c r="P67" i="23"/>
  <c r="W67" i="23" s="1"/>
  <c r="AB125" i="23"/>
  <c r="X125" i="23" s="1"/>
  <c r="AB128" i="23"/>
  <c r="X128" i="23" s="1"/>
  <c r="N32" i="23"/>
  <c r="W32" i="23" s="1"/>
  <c r="Y32" i="23"/>
  <c r="N96" i="23"/>
  <c r="Y96" i="23"/>
  <c r="N20" i="23"/>
  <c r="W20" i="23" s="1"/>
  <c r="Y20" i="23"/>
  <c r="N76" i="23"/>
  <c r="W76" i="23" s="1"/>
  <c r="Y76" i="23"/>
  <c r="N104" i="23"/>
  <c r="Y104" i="23"/>
  <c r="N71" i="23"/>
  <c r="W71" i="23" s="1"/>
  <c r="Y71" i="23"/>
  <c r="N100" i="23"/>
  <c r="W100" i="23" s="1"/>
  <c r="Y100" i="23"/>
  <c r="AB134" i="23"/>
  <c r="X134" i="23" s="1"/>
  <c r="N40" i="23"/>
  <c r="W40" i="23" s="1"/>
  <c r="Y40" i="23"/>
  <c r="N72" i="23"/>
  <c r="W72" i="23" s="1"/>
  <c r="Y72" i="23"/>
  <c r="N35" i="23"/>
  <c r="W35" i="23" s="1"/>
  <c r="Y35" i="23"/>
  <c r="N84" i="23"/>
  <c r="W84" i="23" s="1"/>
  <c r="Y84" i="23"/>
  <c r="N47" i="23"/>
  <c r="W47" i="23" s="1"/>
  <c r="Y47" i="23"/>
  <c r="U133" i="23"/>
  <c r="AB133" i="23"/>
  <c r="X133" i="23" s="1"/>
  <c r="U124" i="23"/>
  <c r="AB124" i="23"/>
  <c r="X124" i="23" s="1"/>
  <c r="N107" i="23"/>
  <c r="Y107" i="23"/>
  <c r="N24" i="23"/>
  <c r="Y24" i="23"/>
  <c r="N55" i="23"/>
  <c r="Y55" i="23"/>
  <c r="X119" i="23"/>
  <c r="U129" i="23"/>
  <c r="AB129" i="23"/>
  <c r="X129" i="23" s="1"/>
  <c r="U127" i="23"/>
  <c r="AB127" i="23"/>
  <c r="X127" i="23" s="1"/>
  <c r="P43" i="23"/>
  <c r="W43" i="23" s="1"/>
  <c r="P80" i="23"/>
  <c r="P16" i="23"/>
  <c r="Y16" i="23"/>
  <c r="N56" i="23"/>
  <c r="Y56" i="23"/>
  <c r="N88" i="23"/>
  <c r="Y88" i="23"/>
  <c r="N113" i="23"/>
  <c r="W113" i="23" s="1"/>
  <c r="Y113" i="23"/>
  <c r="P51" i="23"/>
  <c r="Y51" i="23"/>
  <c r="N83" i="23"/>
  <c r="Y83" i="23"/>
  <c r="P108" i="23"/>
  <c r="Y108" i="23"/>
  <c r="N36" i="23"/>
  <c r="Y36" i="23"/>
  <c r="N68" i="23"/>
  <c r="Y68" i="23"/>
  <c r="P99" i="23"/>
  <c r="Y99" i="23"/>
  <c r="P28" i="23"/>
  <c r="Y28" i="23"/>
  <c r="N63" i="23"/>
  <c r="W63" i="23" s="1"/>
  <c r="Y63" i="23"/>
  <c r="N95" i="23"/>
  <c r="W95" i="23" s="1"/>
  <c r="Y95" i="23"/>
  <c r="AE10" i="23"/>
  <c r="N28" i="23"/>
  <c r="P36" i="23"/>
  <c r="N108" i="23"/>
  <c r="P88" i="23"/>
  <c r="N16" i="23"/>
  <c r="N51" i="23"/>
  <c r="P83" i="23"/>
  <c r="P56" i="23"/>
  <c r="N99" i="23"/>
  <c r="P68" i="23"/>
  <c r="P19" i="23"/>
  <c r="N19" i="23"/>
  <c r="N21" i="23"/>
  <c r="P21" i="23"/>
  <c r="N37" i="23"/>
  <c r="P37" i="23"/>
  <c r="N53" i="23"/>
  <c r="P53" i="23"/>
  <c r="P69" i="23"/>
  <c r="N69" i="23"/>
  <c r="P85" i="23"/>
  <c r="N85" i="23"/>
  <c r="K61" i="23"/>
  <c r="P18" i="23"/>
  <c r="N18" i="23"/>
  <c r="P34" i="23"/>
  <c r="N34" i="23"/>
  <c r="P50" i="23"/>
  <c r="N50" i="23"/>
  <c r="P66" i="23"/>
  <c r="N66" i="23"/>
  <c r="P82" i="23"/>
  <c r="N82" i="23"/>
  <c r="P98" i="23"/>
  <c r="N98" i="23"/>
  <c r="P23" i="23"/>
  <c r="N23" i="23"/>
  <c r="N9" i="23"/>
  <c r="P9" i="23"/>
  <c r="N25" i="23"/>
  <c r="P25" i="23"/>
  <c r="N41" i="23"/>
  <c r="P41" i="23"/>
  <c r="N57" i="23"/>
  <c r="P57" i="23"/>
  <c r="P73" i="23"/>
  <c r="N73" i="23"/>
  <c r="P89" i="23"/>
  <c r="N89" i="23"/>
  <c r="P6" i="23"/>
  <c r="P22" i="23"/>
  <c r="N22" i="23"/>
  <c r="P38" i="23"/>
  <c r="N38" i="23"/>
  <c r="P54" i="23"/>
  <c r="N54" i="23"/>
  <c r="P70" i="23"/>
  <c r="N70" i="23"/>
  <c r="P86" i="23"/>
  <c r="N86" i="23"/>
  <c r="P102" i="23"/>
  <c r="N102" i="23"/>
  <c r="P27" i="23"/>
  <c r="N27" i="23"/>
  <c r="N13" i="23"/>
  <c r="P13" i="23"/>
  <c r="N29" i="23"/>
  <c r="P29" i="23"/>
  <c r="N45" i="23"/>
  <c r="P45" i="23"/>
  <c r="N61" i="23"/>
  <c r="P61" i="23"/>
  <c r="P77" i="23"/>
  <c r="N77" i="23"/>
  <c r="P93" i="23"/>
  <c r="N93" i="23"/>
  <c r="P10" i="23"/>
  <c r="N10" i="23"/>
  <c r="P26" i="23"/>
  <c r="N26" i="23"/>
  <c r="P42" i="23"/>
  <c r="N42" i="23"/>
  <c r="P58" i="23"/>
  <c r="N58" i="23"/>
  <c r="P74" i="23"/>
  <c r="N74" i="23"/>
  <c r="P90" i="23"/>
  <c r="N90" i="23"/>
  <c r="P106" i="23"/>
  <c r="N106" i="23"/>
  <c r="P15" i="23"/>
  <c r="N15" i="23"/>
  <c r="P31" i="23"/>
  <c r="N31" i="23"/>
  <c r="N17" i="23"/>
  <c r="P17" i="23"/>
  <c r="N33" i="23"/>
  <c r="P33" i="23"/>
  <c r="N49" i="23"/>
  <c r="P49" i="23"/>
  <c r="N65" i="23"/>
  <c r="P65" i="23"/>
  <c r="P81" i="23"/>
  <c r="N81" i="23"/>
  <c r="P14" i="23"/>
  <c r="N14" i="23"/>
  <c r="P30" i="23"/>
  <c r="N30" i="23"/>
  <c r="P46" i="23"/>
  <c r="N46" i="23"/>
  <c r="P62" i="23"/>
  <c r="N62" i="23"/>
  <c r="P78" i="23"/>
  <c r="N78" i="23"/>
  <c r="P94" i="23"/>
  <c r="N94" i="23"/>
  <c r="P111" i="23"/>
  <c r="N111" i="23"/>
  <c r="AC92" i="2"/>
  <c r="AD92" i="2"/>
  <c r="Q101" i="23" l="1"/>
  <c r="R101" i="23" s="1"/>
  <c r="R4" i="23"/>
  <c r="Q97" i="23"/>
  <c r="R97" i="23" s="1"/>
  <c r="Q39" i="23"/>
  <c r="R39" i="23" s="1"/>
  <c r="AB110" i="23"/>
  <c r="X110" i="23" s="1"/>
  <c r="Q44" i="23"/>
  <c r="R44" i="23" s="1"/>
  <c r="W10" i="23"/>
  <c r="AA59" i="23"/>
  <c r="X59" i="23" s="1"/>
  <c r="AK6" i="23"/>
  <c r="V184" i="23"/>
  <c r="Y184" i="23"/>
  <c r="X44" i="23"/>
  <c r="U44" i="23"/>
  <c r="W96" i="23"/>
  <c r="U96" i="23" s="1"/>
  <c r="W51" i="23"/>
  <c r="U51" i="23" s="1"/>
  <c r="X97" i="23"/>
  <c r="W17" i="23"/>
  <c r="W61" i="23"/>
  <c r="AB61" i="23" s="1"/>
  <c r="W29" i="23"/>
  <c r="Q94" i="23"/>
  <c r="R94" i="23" s="1"/>
  <c r="Q30" i="23"/>
  <c r="R30" i="23" s="1"/>
  <c r="Q73" i="23"/>
  <c r="R73" i="23" s="1"/>
  <c r="Q98" i="23"/>
  <c r="R98" i="23" s="1"/>
  <c r="Q34" i="23"/>
  <c r="R34" i="23" s="1"/>
  <c r="Q19" i="23"/>
  <c r="R19" i="23" s="1"/>
  <c r="X52" i="23"/>
  <c r="Q33" i="23"/>
  <c r="R33" i="23" s="1"/>
  <c r="Q45" i="23"/>
  <c r="R45" i="23" s="1"/>
  <c r="Q37" i="23"/>
  <c r="R37" i="23" s="1"/>
  <c r="U52" i="23"/>
  <c r="W55" i="23"/>
  <c r="U55" i="23" s="1"/>
  <c r="W107" i="23"/>
  <c r="U107" i="23" s="1"/>
  <c r="W104" i="23"/>
  <c r="U104" i="23" s="1"/>
  <c r="Q65" i="23"/>
  <c r="R65" i="23" s="1"/>
  <c r="Q13" i="23"/>
  <c r="R13" i="23" s="1"/>
  <c r="W111" i="23"/>
  <c r="W78" i="23"/>
  <c r="U78" i="23" s="1"/>
  <c r="W46" i="23"/>
  <c r="W14" i="23"/>
  <c r="U14" i="23" s="1"/>
  <c r="W89" i="23"/>
  <c r="W23" i="23"/>
  <c r="W82" i="23"/>
  <c r="AB82" i="23" s="1"/>
  <c r="X82" i="23" s="1"/>
  <c r="W50" i="23"/>
  <c r="W18" i="23"/>
  <c r="U101" i="23"/>
  <c r="W24" i="23"/>
  <c r="U24" i="23" s="1"/>
  <c r="U109" i="23"/>
  <c r="X101" i="23"/>
  <c r="Q36" i="23"/>
  <c r="R36" i="23" s="1"/>
  <c r="W81" i="23"/>
  <c r="U81" i="23" s="1"/>
  <c r="W41" i="23"/>
  <c r="AB41" i="23" s="1"/>
  <c r="X41" i="23" s="1"/>
  <c r="W9" i="23"/>
  <c r="W85" i="23"/>
  <c r="W108" i="23"/>
  <c r="AB108" i="23" s="1"/>
  <c r="X108" i="23" s="1"/>
  <c r="Q60" i="23"/>
  <c r="R60" i="23" s="1"/>
  <c r="W88" i="23"/>
  <c r="U88" i="23" s="1"/>
  <c r="W31" i="23"/>
  <c r="W106" i="23"/>
  <c r="W74" i="23"/>
  <c r="W42" i="23"/>
  <c r="AB42" i="23" s="1"/>
  <c r="X42" i="23" s="1"/>
  <c r="W77" i="23"/>
  <c r="W11" i="23"/>
  <c r="W86" i="23"/>
  <c r="W54" i="23"/>
  <c r="W22" i="23"/>
  <c r="Q57" i="23"/>
  <c r="R57" i="23" s="1"/>
  <c r="W69" i="23"/>
  <c r="W99" i="23"/>
  <c r="U99" i="23" s="1"/>
  <c r="W16" i="23"/>
  <c r="U16" i="23" s="1"/>
  <c r="W28" i="23"/>
  <c r="W15" i="23"/>
  <c r="W90" i="23"/>
  <c r="W58" i="23"/>
  <c r="W26" i="23"/>
  <c r="W93" i="23"/>
  <c r="W27" i="23"/>
  <c r="W102" i="23"/>
  <c r="W70" i="23"/>
  <c r="W38" i="23"/>
  <c r="W87" i="23"/>
  <c r="W64" i="23"/>
  <c r="AB64" i="23" s="1"/>
  <c r="W75" i="23"/>
  <c r="AB75" i="23" s="1"/>
  <c r="X75" i="23" s="1"/>
  <c r="Q102" i="23"/>
  <c r="R102" i="23" s="1"/>
  <c r="Q38" i="23"/>
  <c r="R38" i="23" s="1"/>
  <c r="W91" i="23"/>
  <c r="U91" i="23" s="1"/>
  <c r="Q55" i="23"/>
  <c r="R55" i="23" s="1"/>
  <c r="Q12" i="23"/>
  <c r="R12" i="23" s="1"/>
  <c r="Q24" i="23"/>
  <c r="R24" i="23" s="1"/>
  <c r="Q107" i="23"/>
  <c r="R107" i="23" s="1"/>
  <c r="Q82" i="23"/>
  <c r="R82" i="23" s="1"/>
  <c r="Q77" i="23"/>
  <c r="R77" i="23" s="1"/>
  <c r="Q31" i="23"/>
  <c r="R31" i="23" s="1"/>
  <c r="Q40" i="23"/>
  <c r="R40" i="23" s="1"/>
  <c r="Q78" i="23"/>
  <c r="R78" i="23" s="1"/>
  <c r="Q14" i="23"/>
  <c r="R14" i="23" s="1"/>
  <c r="Q41" i="23"/>
  <c r="R41" i="23" s="1"/>
  <c r="Q100" i="23"/>
  <c r="R100" i="23" s="1"/>
  <c r="Q20" i="23"/>
  <c r="R20" i="23" s="1"/>
  <c r="Q64" i="23"/>
  <c r="R64" i="23" s="1"/>
  <c r="Q74" i="23"/>
  <c r="R74" i="23" s="1"/>
  <c r="Q10" i="23"/>
  <c r="R10" i="23" s="1"/>
  <c r="W53" i="23"/>
  <c r="W21" i="23"/>
  <c r="W68" i="23"/>
  <c r="AB68" i="23" s="1"/>
  <c r="W48" i="23"/>
  <c r="W80" i="23"/>
  <c r="U80" i="23" s="1"/>
  <c r="Q95" i="23"/>
  <c r="R95" i="23" s="1"/>
  <c r="Q68" i="23"/>
  <c r="R68" i="23" s="1"/>
  <c r="Q108" i="23"/>
  <c r="R108" i="23" s="1"/>
  <c r="Q51" i="23"/>
  <c r="R51" i="23" s="1"/>
  <c r="Q88" i="23"/>
  <c r="R88" i="23" s="1"/>
  <c r="Q54" i="23"/>
  <c r="R54" i="23" s="1"/>
  <c r="W6" i="23"/>
  <c r="Q81" i="23"/>
  <c r="R81" i="23" s="1"/>
  <c r="Q17" i="23"/>
  <c r="R17" i="23" s="1"/>
  <c r="Q87" i="23"/>
  <c r="R87" i="23" s="1"/>
  <c r="Q50" i="23"/>
  <c r="R50" i="23" s="1"/>
  <c r="Q93" i="23"/>
  <c r="R93" i="23" s="1"/>
  <c r="Q29" i="23"/>
  <c r="R29" i="23" s="1"/>
  <c r="Q47" i="23"/>
  <c r="R47" i="23" s="1"/>
  <c r="Q67" i="23"/>
  <c r="R67" i="23" s="1"/>
  <c r="Q35" i="23"/>
  <c r="R35" i="23" s="1"/>
  <c r="Q72" i="23"/>
  <c r="R72" i="23" s="1"/>
  <c r="Q111" i="23"/>
  <c r="R111" i="23" s="1"/>
  <c r="Q46" i="23"/>
  <c r="R46" i="23" s="1"/>
  <c r="Q96" i="23"/>
  <c r="R96" i="23" s="1"/>
  <c r="Q90" i="23"/>
  <c r="R90" i="23" s="1"/>
  <c r="Q26" i="23"/>
  <c r="R26" i="23" s="1"/>
  <c r="Q53" i="23"/>
  <c r="R53" i="23" s="1"/>
  <c r="W49" i="23"/>
  <c r="U49" i="23" s="1"/>
  <c r="W57" i="23"/>
  <c r="W25" i="23"/>
  <c r="W60" i="23"/>
  <c r="U60" i="23" s="1"/>
  <c r="Q28" i="23"/>
  <c r="R28" i="23" s="1"/>
  <c r="Q16" i="23"/>
  <c r="R16" i="23" s="1"/>
  <c r="Q70" i="23"/>
  <c r="R70" i="23" s="1"/>
  <c r="Q112" i="23"/>
  <c r="R112" i="23" s="1"/>
  <c r="Q92" i="23"/>
  <c r="R92" i="23" s="1"/>
  <c r="Q75" i="23"/>
  <c r="R75" i="23" s="1"/>
  <c r="Q43" i="23"/>
  <c r="R43" i="23" s="1"/>
  <c r="Q84" i="23"/>
  <c r="R84" i="23" s="1"/>
  <c r="Q9" i="23"/>
  <c r="R9" i="23" s="1"/>
  <c r="Q11" i="23"/>
  <c r="R11" i="23" s="1"/>
  <c r="Q71" i="23"/>
  <c r="R71" i="23" s="1"/>
  <c r="Q76" i="23"/>
  <c r="R76" i="23" s="1"/>
  <c r="Q106" i="23"/>
  <c r="R106" i="23" s="1"/>
  <c r="Q42" i="23"/>
  <c r="R42" i="23" s="1"/>
  <c r="Q69" i="23"/>
  <c r="R69" i="23" s="1"/>
  <c r="W5" i="23"/>
  <c r="U5" i="23" s="1"/>
  <c r="W94" i="23"/>
  <c r="W62" i="23"/>
  <c r="W30" i="23"/>
  <c r="W65" i="23"/>
  <c r="W33" i="23"/>
  <c r="W45" i="23"/>
  <c r="W13" i="23"/>
  <c r="W73" i="23"/>
  <c r="W98" i="23"/>
  <c r="W66" i="23"/>
  <c r="W34" i="23"/>
  <c r="W37" i="23"/>
  <c r="W19" i="23"/>
  <c r="W36" i="23"/>
  <c r="U36" i="23" s="1"/>
  <c r="W83" i="23"/>
  <c r="U83" i="23" s="1"/>
  <c r="W56" i="23"/>
  <c r="W103" i="23"/>
  <c r="AB103" i="23" s="1"/>
  <c r="X103" i="23" s="1"/>
  <c r="Q63" i="23"/>
  <c r="R63" i="23" s="1"/>
  <c r="Q99" i="23"/>
  <c r="R99" i="23" s="1"/>
  <c r="Q83" i="23"/>
  <c r="R83" i="23" s="1"/>
  <c r="Q113" i="23"/>
  <c r="R113" i="23" s="1"/>
  <c r="Q56" i="23"/>
  <c r="R56" i="23" s="1"/>
  <c r="Q86" i="23"/>
  <c r="R86" i="23" s="1"/>
  <c r="Q22" i="23"/>
  <c r="R22" i="23" s="1"/>
  <c r="Q6" i="23"/>
  <c r="R6" i="23" s="1"/>
  <c r="Q49" i="23"/>
  <c r="R49" i="23" s="1"/>
  <c r="Q103" i="23"/>
  <c r="R103" i="23" s="1"/>
  <c r="Q80" i="23"/>
  <c r="R80" i="23" s="1"/>
  <c r="Q48" i="23"/>
  <c r="R48" i="23" s="1"/>
  <c r="Q66" i="23"/>
  <c r="R66" i="23" s="1"/>
  <c r="Q18" i="23"/>
  <c r="R18" i="23" s="1"/>
  <c r="Q61" i="23"/>
  <c r="R61" i="23" s="1"/>
  <c r="Q15" i="23"/>
  <c r="R15" i="23" s="1"/>
  <c r="Q62" i="23"/>
  <c r="R62" i="23" s="1"/>
  <c r="Q89" i="23"/>
  <c r="R89" i="23" s="1"/>
  <c r="Q25" i="23"/>
  <c r="R25" i="23" s="1"/>
  <c r="Q27" i="23"/>
  <c r="R27" i="23" s="1"/>
  <c r="Q104" i="23"/>
  <c r="R104" i="23" s="1"/>
  <c r="Q32" i="23"/>
  <c r="R32" i="23" s="1"/>
  <c r="Q58" i="23"/>
  <c r="R58" i="23" s="1"/>
  <c r="Q85" i="23"/>
  <c r="R85" i="23" s="1"/>
  <c r="Q21" i="23"/>
  <c r="R21" i="23" s="1"/>
  <c r="Q5" i="23"/>
  <c r="R5" i="23" s="1"/>
  <c r="Q23" i="23"/>
  <c r="R23" i="23" s="1"/>
  <c r="U97" i="23"/>
  <c r="AA48" i="23"/>
  <c r="AB109" i="23"/>
  <c r="X109" i="23" s="1"/>
  <c r="W4" i="23"/>
  <c r="U4" i="23" s="1"/>
  <c r="AI4" i="23"/>
  <c r="AB7" i="23"/>
  <c r="X7" i="23" s="1"/>
  <c r="U95" i="23"/>
  <c r="AB95" i="23"/>
  <c r="X95" i="23" s="1"/>
  <c r="AB80" i="23"/>
  <c r="X80" i="23" s="1"/>
  <c r="U35" i="23"/>
  <c r="AB35" i="23"/>
  <c r="X35" i="23" s="1"/>
  <c r="AB63" i="23"/>
  <c r="AB43" i="23"/>
  <c r="X43" i="23" s="1"/>
  <c r="U43" i="23"/>
  <c r="U84" i="23"/>
  <c r="AB84" i="23"/>
  <c r="X84" i="23" s="1"/>
  <c r="U72" i="23"/>
  <c r="AB72" i="23"/>
  <c r="X72" i="23" s="1"/>
  <c r="AA60" i="23"/>
  <c r="U105" i="23"/>
  <c r="AB105" i="23"/>
  <c r="X105" i="23" s="1"/>
  <c r="U113" i="23"/>
  <c r="AB113" i="23"/>
  <c r="X113" i="23" s="1"/>
  <c r="U47" i="23"/>
  <c r="AB47" i="23"/>
  <c r="X47" i="23" s="1"/>
  <c r="U100" i="23"/>
  <c r="AB100" i="23"/>
  <c r="X100" i="23" s="1"/>
  <c r="U20" i="23"/>
  <c r="AB20" i="23"/>
  <c r="X20" i="23" s="1"/>
  <c r="U92" i="23"/>
  <c r="AB92" i="23"/>
  <c r="X92" i="23" s="1"/>
  <c r="U79" i="23"/>
  <c r="AB79" i="23"/>
  <c r="X79" i="23" s="1"/>
  <c r="U71" i="23"/>
  <c r="AB71" i="23"/>
  <c r="X71" i="23" s="1"/>
  <c r="AK5" i="23"/>
  <c r="BC5" i="23" s="1"/>
  <c r="AF4" i="23"/>
  <c r="U12" i="23"/>
  <c r="AB12" i="23"/>
  <c r="AB67" i="23"/>
  <c r="U39" i="23"/>
  <c r="AB39" i="23"/>
  <c r="X39" i="23" s="1"/>
  <c r="AK7" i="23"/>
  <c r="U8" i="23"/>
  <c r="AB8" i="23"/>
  <c r="AG8" i="23" s="1"/>
  <c r="U40" i="23"/>
  <c r="AB40" i="23"/>
  <c r="X40" i="23" s="1"/>
  <c r="U32" i="23"/>
  <c r="AB32" i="23"/>
  <c r="X32" i="23" s="1"/>
  <c r="U112" i="23"/>
  <c r="AB112" i="23"/>
  <c r="X112" i="23" s="1"/>
  <c r="BC8" i="23"/>
  <c r="AK9" i="23"/>
  <c r="AE11" i="23"/>
  <c r="AE12" i="23" s="1"/>
  <c r="AD10" i="23"/>
  <c r="AI10" i="23" s="1"/>
  <c r="AF10" i="23"/>
  <c r="K62" i="23"/>
  <c r="D150" i="2"/>
  <c r="D143" i="2" s="1"/>
  <c r="C150" i="2"/>
  <c r="C116" i="2"/>
  <c r="C87" i="2" s="1"/>
  <c r="D87" i="2"/>
  <c r="E75" i="2"/>
  <c r="D39" i="2"/>
  <c r="U41" i="23" l="1"/>
  <c r="AB49" i="23"/>
  <c r="X49" i="23" s="1"/>
  <c r="AB107" i="23"/>
  <c r="X107" i="23" s="1"/>
  <c r="AB88" i="23"/>
  <c r="X88" i="23" s="1"/>
  <c r="U42" i="23"/>
  <c r="AB51" i="23"/>
  <c r="X51" i="23" s="1"/>
  <c r="AB55" i="23"/>
  <c r="X55" i="23" s="1"/>
  <c r="AB14" i="23"/>
  <c r="X14" i="23" s="1"/>
  <c r="AB36" i="23"/>
  <c r="X36" i="23" s="1"/>
  <c r="U75" i="23"/>
  <c r="U108" i="23"/>
  <c r="U82" i="23"/>
  <c r="AB96" i="23"/>
  <c r="X96" i="23" s="1"/>
  <c r="AB83" i="23"/>
  <c r="X83" i="23" s="1"/>
  <c r="U48" i="23"/>
  <c r="AB24" i="23"/>
  <c r="X24" i="23" s="1"/>
  <c r="AB81" i="23"/>
  <c r="X81" i="23" s="1"/>
  <c r="AB91" i="23"/>
  <c r="X91" i="23" s="1"/>
  <c r="AB60" i="23"/>
  <c r="X60" i="23" s="1"/>
  <c r="AB48" i="23"/>
  <c r="AB4" i="23"/>
  <c r="AG4" i="23" s="1"/>
  <c r="AC4" i="23" s="1"/>
  <c r="U103" i="23"/>
  <c r="AB5" i="23"/>
  <c r="AG5" i="23" s="1"/>
  <c r="AB16" i="23"/>
  <c r="X16" i="23" s="1"/>
  <c r="AB104" i="23"/>
  <c r="X104" i="23" s="1"/>
  <c r="AB99" i="23"/>
  <c r="X99" i="23" s="1"/>
  <c r="AB78" i="23"/>
  <c r="X78" i="23" s="1"/>
  <c r="X48" i="23"/>
  <c r="U87" i="23"/>
  <c r="AB87" i="23"/>
  <c r="X87" i="23" s="1"/>
  <c r="AG7" i="23"/>
  <c r="BC7" i="23"/>
  <c r="U9" i="23"/>
  <c r="AB9" i="23"/>
  <c r="AB65" i="23"/>
  <c r="U111" i="23"/>
  <c r="AB111" i="23"/>
  <c r="X111" i="23" s="1"/>
  <c r="AB69" i="23"/>
  <c r="U23" i="23"/>
  <c r="AB23" i="23"/>
  <c r="X23" i="23" s="1"/>
  <c r="U54" i="23"/>
  <c r="AB54" i="23"/>
  <c r="X54" i="23" s="1"/>
  <c r="U21" i="23"/>
  <c r="AB21" i="23"/>
  <c r="X21" i="23" s="1"/>
  <c r="AB66" i="23"/>
  <c r="U38" i="23"/>
  <c r="AB38" i="23"/>
  <c r="X38" i="23" s="1"/>
  <c r="U77" i="23"/>
  <c r="AB77" i="23"/>
  <c r="X77" i="23" s="1"/>
  <c r="U18" i="23"/>
  <c r="AB18" i="23"/>
  <c r="U57" i="23"/>
  <c r="AB57" i="23"/>
  <c r="X57" i="23" s="1"/>
  <c r="U34" i="23"/>
  <c r="AB34" i="23"/>
  <c r="X34" i="23" s="1"/>
  <c r="U29" i="23"/>
  <c r="AB29" i="23"/>
  <c r="X29" i="23" s="1"/>
  <c r="U30" i="23"/>
  <c r="AB30" i="23"/>
  <c r="X30" i="23" s="1"/>
  <c r="U19" i="23"/>
  <c r="AB19" i="23"/>
  <c r="X19" i="23" s="1"/>
  <c r="U61" i="23"/>
  <c r="AA61" i="23"/>
  <c r="X61" i="23" s="1"/>
  <c r="U15" i="23"/>
  <c r="AB15" i="23"/>
  <c r="U25" i="23"/>
  <c r="AB25" i="23"/>
  <c r="X25" i="23" s="1"/>
  <c r="U27" i="23"/>
  <c r="AB27" i="23"/>
  <c r="X27" i="23" s="1"/>
  <c r="U10" i="23"/>
  <c r="AB10" i="23"/>
  <c r="U98" i="23"/>
  <c r="AB98" i="23"/>
  <c r="X98" i="23" s="1"/>
  <c r="U58" i="23"/>
  <c r="AB58" i="23"/>
  <c r="X58" i="23" s="1"/>
  <c r="U56" i="23"/>
  <c r="AB56" i="23"/>
  <c r="X56" i="23" s="1"/>
  <c r="AE13" i="23"/>
  <c r="AD12" i="23"/>
  <c r="AI12" i="23" s="1"/>
  <c r="AF12" i="23"/>
  <c r="U106" i="23"/>
  <c r="AB106" i="23"/>
  <c r="X106" i="23" s="1"/>
  <c r="U94" i="23"/>
  <c r="AB94" i="23"/>
  <c r="X94" i="23" s="1"/>
  <c r="AK4" i="23"/>
  <c r="U86" i="23"/>
  <c r="AB86" i="23"/>
  <c r="X86" i="23" s="1"/>
  <c r="U102" i="23"/>
  <c r="AB102" i="23"/>
  <c r="X102" i="23" s="1"/>
  <c r="U74" i="23"/>
  <c r="AB74" i="23"/>
  <c r="X74" i="23" s="1"/>
  <c r="U73" i="23"/>
  <c r="AB73" i="23"/>
  <c r="X73" i="23" s="1"/>
  <c r="U93" i="23"/>
  <c r="AB93" i="23"/>
  <c r="X93" i="23" s="1"/>
  <c r="U45" i="23"/>
  <c r="AB45" i="23"/>
  <c r="X45" i="23" s="1"/>
  <c r="U90" i="23"/>
  <c r="AB90" i="23"/>
  <c r="X90" i="23" s="1"/>
  <c r="U46" i="23"/>
  <c r="AB46" i="23"/>
  <c r="X46" i="23" s="1"/>
  <c r="U70" i="23"/>
  <c r="AB70" i="23"/>
  <c r="X70" i="23" s="1"/>
  <c r="U37" i="23"/>
  <c r="AB37" i="23"/>
  <c r="X37" i="23" s="1"/>
  <c r="U89" i="23"/>
  <c r="AB89" i="23"/>
  <c r="X89" i="23" s="1"/>
  <c r="X8" i="23"/>
  <c r="U76" i="23"/>
  <c r="AB76" i="23"/>
  <c r="X76" i="23" s="1"/>
  <c r="U28" i="23"/>
  <c r="AB28" i="23"/>
  <c r="X28" i="23" s="1"/>
  <c r="U22" i="23"/>
  <c r="AB22" i="23"/>
  <c r="X22" i="23" s="1"/>
  <c r="U11" i="23"/>
  <c r="AB11" i="23"/>
  <c r="X11" i="23" s="1"/>
  <c r="U26" i="23"/>
  <c r="AB26" i="23"/>
  <c r="X26" i="23" s="1"/>
  <c r="U50" i="23"/>
  <c r="AB50" i="23"/>
  <c r="U17" i="23"/>
  <c r="AB17" i="23"/>
  <c r="AB62" i="23"/>
  <c r="U85" i="23"/>
  <c r="AB85" i="23"/>
  <c r="X85" i="23" s="1"/>
  <c r="U13" i="23"/>
  <c r="AB13" i="23"/>
  <c r="U33" i="23"/>
  <c r="AB33" i="23"/>
  <c r="X33" i="23" s="1"/>
  <c r="BC9" i="23"/>
  <c r="U53" i="23"/>
  <c r="AB53" i="23"/>
  <c r="X53" i="23" s="1"/>
  <c r="U6" i="23"/>
  <c r="AB6" i="23"/>
  <c r="BC6" i="23"/>
  <c r="AG12" i="23"/>
  <c r="X12" i="23"/>
  <c r="U31" i="23"/>
  <c r="AB31" i="23"/>
  <c r="X31" i="23" s="1"/>
  <c r="AF11" i="23"/>
  <c r="AD11" i="23"/>
  <c r="AI11" i="23" s="1"/>
  <c r="AK10" i="23"/>
  <c r="BC10" i="23" s="1"/>
  <c r="K63" i="23"/>
  <c r="X121" i="27"/>
  <c r="X4" i="23" l="1"/>
  <c r="F90" i="2"/>
  <c r="X5" i="23"/>
  <c r="AG11" i="23"/>
  <c r="AL11" i="23" s="1"/>
  <c r="X50" i="23"/>
  <c r="AL4" i="23"/>
  <c r="AH4" i="23" s="1"/>
  <c r="AL7" i="23"/>
  <c r="AH7" i="23" s="1"/>
  <c r="AC7" i="23"/>
  <c r="AG6" i="23"/>
  <c r="X6" i="23"/>
  <c r="AG13" i="23"/>
  <c r="X13" i="23"/>
  <c r="X17" i="23"/>
  <c r="BC4" i="23"/>
  <c r="AE14" i="23"/>
  <c r="AF13" i="23"/>
  <c r="AD13" i="23"/>
  <c r="AI13" i="23" s="1"/>
  <c r="AL12" i="23"/>
  <c r="BD12" i="23" s="1"/>
  <c r="AL5" i="23"/>
  <c r="AH5" i="23" s="1"/>
  <c r="AC5" i="23"/>
  <c r="AG9" i="23"/>
  <c r="X9" i="23"/>
  <c r="AL8" i="23"/>
  <c r="AH8" i="23" s="1"/>
  <c r="AC8" i="23"/>
  <c r="AK12" i="23"/>
  <c r="AC12" i="23"/>
  <c r="X10" i="23"/>
  <c r="AG10" i="23"/>
  <c r="X18" i="23"/>
  <c r="U62" i="23"/>
  <c r="AA62" i="23"/>
  <c r="X62" i="23" s="1"/>
  <c r="X15" i="23"/>
  <c r="AK11" i="23"/>
  <c r="K64" i="23"/>
  <c r="L32" i="9"/>
  <c r="M32" i="9"/>
  <c r="N32" i="9"/>
  <c r="K32" i="9"/>
  <c r="BA5" i="23" l="1"/>
  <c r="BB4" i="23"/>
  <c r="AL6" i="23"/>
  <c r="AH6" i="23" s="1"/>
  <c r="AC6" i="23"/>
  <c r="F91" i="2"/>
  <c r="F88" i="2" s="1"/>
  <c r="G90" i="2"/>
  <c r="AH12" i="23"/>
  <c r="AC11" i="23"/>
  <c r="BD11" i="23"/>
  <c r="AH11" i="23"/>
  <c r="BD4" i="23"/>
  <c r="BD7" i="23"/>
  <c r="BC12" i="23"/>
  <c r="BD8" i="23"/>
  <c r="BD5" i="23"/>
  <c r="AK13" i="23"/>
  <c r="AC13" i="23"/>
  <c r="AL9" i="23"/>
  <c r="AH9" i="23" s="1"/>
  <c r="AC9" i="23"/>
  <c r="AE15" i="23"/>
  <c r="AD14" i="23"/>
  <c r="AI14" i="23" s="1"/>
  <c r="AF14" i="23"/>
  <c r="AG14" i="23"/>
  <c r="AL10" i="23"/>
  <c r="AH10" i="23" s="1"/>
  <c r="AC10" i="23"/>
  <c r="U63" i="23"/>
  <c r="AA63" i="23"/>
  <c r="X63" i="23" s="1"/>
  <c r="AL13" i="23"/>
  <c r="BD13" i="23" s="1"/>
  <c r="BC11" i="23"/>
  <c r="K65" i="23"/>
  <c r="M75" i="2"/>
  <c r="T81" i="2"/>
  <c r="I81" i="2" s="1"/>
  <c r="K81" i="2" s="1"/>
  <c r="G91" i="2" l="1"/>
  <c r="G88" i="2" s="1"/>
  <c r="BD10" i="23"/>
  <c r="BD6" i="23"/>
  <c r="AE16" i="23"/>
  <c r="AD15" i="23"/>
  <c r="AI15" i="23" s="1"/>
  <c r="AF15" i="23"/>
  <c r="AG15" i="23"/>
  <c r="AH13" i="23"/>
  <c r="U64" i="23"/>
  <c r="AA64" i="23"/>
  <c r="X64" i="23" s="1"/>
  <c r="AL14" i="23"/>
  <c r="BD14" i="23" s="1"/>
  <c r="BD9" i="23"/>
  <c r="AK14" i="23"/>
  <c r="AC14" i="23"/>
  <c r="BC13" i="23"/>
  <c r="K66" i="23"/>
  <c r="T175" i="27"/>
  <c r="V175" i="27"/>
  <c r="W175" i="27"/>
  <c r="Y175" i="27"/>
  <c r="Z175" i="27"/>
  <c r="AA175" i="27"/>
  <c r="I43" i="2"/>
  <c r="I8" i="2"/>
  <c r="F169" i="2"/>
  <c r="AE97" i="2"/>
  <c r="D161" i="2"/>
  <c r="E161" i="2"/>
  <c r="F161" i="2"/>
  <c r="G161" i="2"/>
  <c r="H161" i="2"/>
  <c r="I161" i="2"/>
  <c r="E113" i="2"/>
  <c r="E112" i="2" s="1"/>
  <c r="AB77" i="2"/>
  <c r="I77" i="2" s="1"/>
  <c r="K77" i="2" s="1"/>
  <c r="AB78" i="2"/>
  <c r="I78" i="2" s="1"/>
  <c r="K78" i="2" s="1"/>
  <c r="AB79" i="2"/>
  <c r="I79" i="2" s="1"/>
  <c r="K79" i="2" s="1"/>
  <c r="AB80" i="2"/>
  <c r="I80" i="2" s="1"/>
  <c r="K80" i="2" s="1"/>
  <c r="AB81" i="2"/>
  <c r="AB76" i="2"/>
  <c r="I76" i="2" s="1"/>
  <c r="C35" i="19"/>
  <c r="C39" i="2"/>
  <c r="C13" i="2" s="1"/>
  <c r="I75" i="2" l="1"/>
  <c r="AH14" i="23"/>
  <c r="AE17" i="23"/>
  <c r="AF16" i="23"/>
  <c r="AD16" i="23"/>
  <c r="AI16" i="23" s="1"/>
  <c r="AG16" i="23"/>
  <c r="BC14" i="23"/>
  <c r="AL15" i="23"/>
  <c r="U65" i="23"/>
  <c r="AA65" i="23"/>
  <c r="X65" i="23" s="1"/>
  <c r="AK15" i="23"/>
  <c r="BC15" i="23" s="1"/>
  <c r="AC15" i="23"/>
  <c r="K67" i="23"/>
  <c r="K75" i="2"/>
  <c r="K76" i="2"/>
  <c r="G78" i="2"/>
  <c r="H78" i="2"/>
  <c r="F78" i="2"/>
  <c r="F80" i="2"/>
  <c r="G80" i="2"/>
  <c r="H80" i="2"/>
  <c r="G76" i="2"/>
  <c r="H76" i="2"/>
  <c r="F76" i="2"/>
  <c r="F81" i="2"/>
  <c r="G81" i="2"/>
  <c r="H81" i="2"/>
  <c r="F77" i="2"/>
  <c r="G77" i="2"/>
  <c r="H77" i="2"/>
  <c r="H79" i="2"/>
  <c r="F79" i="2"/>
  <c r="G79" i="2"/>
  <c r="AB115" i="27"/>
  <c r="AB116" i="27"/>
  <c r="AB117" i="27"/>
  <c r="AB118" i="27"/>
  <c r="AB119" i="27"/>
  <c r="AB120" i="27"/>
  <c r="AB121" i="27"/>
  <c r="AB122" i="27"/>
  <c r="AB123" i="27"/>
  <c r="AB124" i="27"/>
  <c r="AB125" i="27"/>
  <c r="AB126" i="27"/>
  <c r="AB127" i="27"/>
  <c r="AB128" i="27"/>
  <c r="AB129" i="27"/>
  <c r="AB130" i="27"/>
  <c r="AB131" i="27"/>
  <c r="AB132" i="27"/>
  <c r="AB133" i="27"/>
  <c r="AB134" i="27"/>
  <c r="AB135" i="27"/>
  <c r="AB136" i="27"/>
  <c r="AB137" i="27"/>
  <c r="AB138" i="27"/>
  <c r="AB139" i="27"/>
  <c r="AB140" i="27"/>
  <c r="AB141" i="27"/>
  <c r="AB142" i="27"/>
  <c r="AB143" i="27"/>
  <c r="AB144" i="27"/>
  <c r="AB145" i="27"/>
  <c r="AB146" i="27"/>
  <c r="AB147" i="27"/>
  <c r="AB148" i="27"/>
  <c r="AB149" i="27"/>
  <c r="AB151" i="27"/>
  <c r="AB152" i="27"/>
  <c r="AB153" i="27"/>
  <c r="AB154" i="27"/>
  <c r="AB155" i="27"/>
  <c r="AB156" i="27"/>
  <c r="AB157" i="27"/>
  <c r="AB158" i="27"/>
  <c r="AB159" i="27"/>
  <c r="AB160" i="27"/>
  <c r="AB161" i="27"/>
  <c r="AB162" i="27"/>
  <c r="AB163" i="27"/>
  <c r="AB164" i="27"/>
  <c r="AB165" i="27"/>
  <c r="AB166" i="27"/>
  <c r="AB167" i="27"/>
  <c r="AB114" i="27"/>
  <c r="T215" i="27" s="1"/>
  <c r="X115" i="27"/>
  <c r="Z115" i="27" s="1"/>
  <c r="X116" i="27"/>
  <c r="X117" i="27"/>
  <c r="X118" i="27"/>
  <c r="X119" i="27"/>
  <c r="X120" i="27"/>
  <c r="X122" i="27"/>
  <c r="X123" i="27"/>
  <c r="X124" i="27"/>
  <c r="X125" i="27"/>
  <c r="X126" i="27"/>
  <c r="X127" i="27"/>
  <c r="X128" i="27"/>
  <c r="X129" i="27"/>
  <c r="X130" i="27"/>
  <c r="X131" i="27"/>
  <c r="X132" i="27"/>
  <c r="X133" i="27"/>
  <c r="X134" i="27"/>
  <c r="X135" i="27"/>
  <c r="X136" i="27"/>
  <c r="X137" i="27"/>
  <c r="X138" i="27"/>
  <c r="X139" i="27"/>
  <c r="X140" i="27"/>
  <c r="X141" i="27"/>
  <c r="X142" i="27"/>
  <c r="X143" i="27"/>
  <c r="X144" i="27"/>
  <c r="X145" i="27"/>
  <c r="X146" i="27"/>
  <c r="X147" i="27"/>
  <c r="X148" i="27"/>
  <c r="X149" i="27"/>
  <c r="X151" i="27"/>
  <c r="X152" i="27"/>
  <c r="X153" i="27"/>
  <c r="X154" i="27"/>
  <c r="X155" i="27"/>
  <c r="X156" i="27"/>
  <c r="X157" i="27"/>
  <c r="X158" i="27"/>
  <c r="X159" i="27"/>
  <c r="X160" i="27"/>
  <c r="X161" i="27"/>
  <c r="X162" i="27"/>
  <c r="X163" i="27"/>
  <c r="X164" i="27"/>
  <c r="X165" i="27"/>
  <c r="X166" i="27"/>
  <c r="X167" i="27"/>
  <c r="X114" i="27"/>
  <c r="U115" i="27"/>
  <c r="U116" i="27"/>
  <c r="U117" i="27"/>
  <c r="U118" i="27"/>
  <c r="U119" i="27"/>
  <c r="U120" i="27"/>
  <c r="U121" i="27"/>
  <c r="U122" i="27"/>
  <c r="U123" i="27"/>
  <c r="U124" i="27"/>
  <c r="U125" i="27"/>
  <c r="U126" i="27"/>
  <c r="U127" i="27"/>
  <c r="U128" i="27"/>
  <c r="U129" i="27"/>
  <c r="U130" i="27"/>
  <c r="U131" i="27"/>
  <c r="U132" i="27"/>
  <c r="U133" i="27"/>
  <c r="U134" i="27"/>
  <c r="U135" i="27"/>
  <c r="U136" i="27"/>
  <c r="U137" i="27"/>
  <c r="U138" i="27"/>
  <c r="U139" i="27"/>
  <c r="U140" i="27"/>
  <c r="U141" i="27"/>
  <c r="U142" i="27"/>
  <c r="U143" i="27"/>
  <c r="U144" i="27"/>
  <c r="U145" i="27"/>
  <c r="U146" i="27"/>
  <c r="U147" i="27"/>
  <c r="U148" i="27"/>
  <c r="U149" i="27"/>
  <c r="U151" i="27"/>
  <c r="U152" i="27"/>
  <c r="U153" i="27"/>
  <c r="U154" i="27"/>
  <c r="U155" i="27"/>
  <c r="U156" i="27"/>
  <c r="U157" i="27"/>
  <c r="U158" i="27"/>
  <c r="U159" i="27"/>
  <c r="U160" i="27"/>
  <c r="U161" i="27"/>
  <c r="U162" i="27"/>
  <c r="U163" i="27"/>
  <c r="U164" i="27"/>
  <c r="U165" i="27"/>
  <c r="U166" i="27"/>
  <c r="U167" i="27"/>
  <c r="U114" i="27"/>
  <c r="S114" i="27"/>
  <c r="S153" i="27"/>
  <c r="AB5" i="27"/>
  <c r="AB6" i="27"/>
  <c r="AB7" i="27"/>
  <c r="AB8" i="27"/>
  <c r="AB9" i="27"/>
  <c r="AB10" i="27"/>
  <c r="AB11" i="27"/>
  <c r="AB12" i="27"/>
  <c r="AB13" i="27"/>
  <c r="AB14" i="27"/>
  <c r="AB15" i="27"/>
  <c r="AB16" i="27"/>
  <c r="AB17" i="27"/>
  <c r="AB18" i="27"/>
  <c r="AB19" i="27"/>
  <c r="AB20" i="27"/>
  <c r="AB21" i="27"/>
  <c r="AB22" i="27"/>
  <c r="AB23" i="27"/>
  <c r="AB24" i="27"/>
  <c r="AB25" i="27"/>
  <c r="AB26" i="27"/>
  <c r="AB27" i="27"/>
  <c r="AB28" i="27"/>
  <c r="AB29" i="27"/>
  <c r="AB30" i="27"/>
  <c r="AB31" i="27"/>
  <c r="AB32" i="27"/>
  <c r="AB33" i="27"/>
  <c r="AB34" i="27"/>
  <c r="AB35" i="27"/>
  <c r="AB36" i="27"/>
  <c r="AB37" i="27"/>
  <c r="AB38" i="27"/>
  <c r="AB39" i="27"/>
  <c r="AB40" i="27"/>
  <c r="AB41" i="27"/>
  <c r="AB42" i="27"/>
  <c r="AB43" i="27"/>
  <c r="AB44" i="27"/>
  <c r="AB45" i="27"/>
  <c r="AB46" i="27"/>
  <c r="AB47" i="27"/>
  <c r="AB48" i="27"/>
  <c r="AB49" i="27"/>
  <c r="AB50" i="27"/>
  <c r="AB51" i="27"/>
  <c r="AB52" i="27"/>
  <c r="AB53" i="27"/>
  <c r="AB54" i="27"/>
  <c r="AB55" i="27"/>
  <c r="AB56" i="27"/>
  <c r="AB57" i="27"/>
  <c r="AB58" i="27"/>
  <c r="AB70" i="27"/>
  <c r="AB71" i="27"/>
  <c r="AB72" i="27"/>
  <c r="AB73" i="27"/>
  <c r="AB74" i="27"/>
  <c r="AB75" i="27"/>
  <c r="AB76" i="27"/>
  <c r="AB77" i="27"/>
  <c r="AB78" i="27"/>
  <c r="AB79" i="27"/>
  <c r="AB80" i="27"/>
  <c r="AB81" i="27"/>
  <c r="AB82" i="27"/>
  <c r="AB83" i="27"/>
  <c r="AB84" i="27"/>
  <c r="AB85" i="27"/>
  <c r="AB86" i="27"/>
  <c r="AB87" i="27"/>
  <c r="AB88" i="27"/>
  <c r="AB89" i="27"/>
  <c r="AB90" i="27"/>
  <c r="AB91" i="27"/>
  <c r="AB92" i="27"/>
  <c r="AB93" i="27"/>
  <c r="AB94" i="27"/>
  <c r="AB95" i="27"/>
  <c r="AB96" i="27"/>
  <c r="AB97" i="27"/>
  <c r="AB98" i="27"/>
  <c r="AB99" i="27"/>
  <c r="AB100" i="27"/>
  <c r="AB101" i="27"/>
  <c r="AB102" i="27"/>
  <c r="AB103" i="27"/>
  <c r="AB104" i="27"/>
  <c r="AB105" i="27"/>
  <c r="AB106" i="27"/>
  <c r="AB107" i="27"/>
  <c r="AB108" i="27"/>
  <c r="AB109" i="27"/>
  <c r="AB110" i="27"/>
  <c r="AB111" i="27"/>
  <c r="AB112" i="27"/>
  <c r="AB113" i="27"/>
  <c r="X5" i="27"/>
  <c r="X6" i="27"/>
  <c r="X7" i="27"/>
  <c r="X8" i="27"/>
  <c r="X9" i="27"/>
  <c r="X10" i="27"/>
  <c r="X11" i="27"/>
  <c r="X12" i="27"/>
  <c r="X13" i="27"/>
  <c r="X14" i="27"/>
  <c r="X15" i="27"/>
  <c r="X16" i="27"/>
  <c r="X17" i="27"/>
  <c r="X18" i="27"/>
  <c r="X19" i="27"/>
  <c r="X20" i="27"/>
  <c r="X21" i="27"/>
  <c r="X22" i="27"/>
  <c r="X23" i="27"/>
  <c r="X24" i="27"/>
  <c r="X25" i="27"/>
  <c r="X26" i="27"/>
  <c r="X27" i="27"/>
  <c r="X28" i="27"/>
  <c r="X29" i="27"/>
  <c r="X30" i="27"/>
  <c r="X31" i="27"/>
  <c r="X32" i="27"/>
  <c r="X33" i="27"/>
  <c r="X34" i="27"/>
  <c r="X35" i="27"/>
  <c r="X36" i="27"/>
  <c r="X37" i="27"/>
  <c r="X38" i="27"/>
  <c r="X39" i="27"/>
  <c r="X40" i="27"/>
  <c r="X41" i="27"/>
  <c r="X42" i="27"/>
  <c r="X43" i="27"/>
  <c r="X44" i="27"/>
  <c r="X45" i="27"/>
  <c r="X46" i="27"/>
  <c r="X47" i="27"/>
  <c r="X48" i="27"/>
  <c r="X49" i="27"/>
  <c r="X50" i="27"/>
  <c r="X51" i="27"/>
  <c r="X52" i="27"/>
  <c r="X53" i="27"/>
  <c r="X54" i="27"/>
  <c r="X55" i="27"/>
  <c r="X56" i="27"/>
  <c r="X57" i="27"/>
  <c r="X58" i="27"/>
  <c r="X70" i="27"/>
  <c r="X71" i="27"/>
  <c r="X72" i="27"/>
  <c r="X73" i="27"/>
  <c r="X74" i="27"/>
  <c r="X75" i="27"/>
  <c r="X76" i="27"/>
  <c r="X77" i="27"/>
  <c r="X78" i="27"/>
  <c r="X79" i="27"/>
  <c r="X80" i="27"/>
  <c r="X81" i="27"/>
  <c r="X82" i="27"/>
  <c r="X83" i="27"/>
  <c r="X84" i="27"/>
  <c r="X85" i="27"/>
  <c r="X86" i="27"/>
  <c r="X87" i="27"/>
  <c r="X88" i="27"/>
  <c r="X89" i="27"/>
  <c r="X90" i="27"/>
  <c r="X91" i="27"/>
  <c r="X92" i="27"/>
  <c r="X93" i="27"/>
  <c r="X94" i="27"/>
  <c r="X95" i="27"/>
  <c r="X96" i="27"/>
  <c r="X97" i="27"/>
  <c r="X98" i="27"/>
  <c r="X99" i="27"/>
  <c r="X100" i="27"/>
  <c r="X101" i="27"/>
  <c r="X102" i="27"/>
  <c r="X103" i="27"/>
  <c r="X104" i="27"/>
  <c r="X105" i="27"/>
  <c r="X106" i="27"/>
  <c r="X107" i="27"/>
  <c r="X108" i="27"/>
  <c r="X109" i="27"/>
  <c r="X110" i="27"/>
  <c r="X111" i="27"/>
  <c r="X112" i="27"/>
  <c r="X113" i="27"/>
  <c r="U5" i="27"/>
  <c r="U6" i="27"/>
  <c r="U7" i="27"/>
  <c r="U8" i="27"/>
  <c r="U9" i="27"/>
  <c r="U10" i="27"/>
  <c r="U11" i="27"/>
  <c r="U12" i="27"/>
  <c r="U13" i="27"/>
  <c r="U14" i="27"/>
  <c r="U15" i="27"/>
  <c r="U16" i="27"/>
  <c r="U17" i="27"/>
  <c r="U18" i="27"/>
  <c r="U19" i="27"/>
  <c r="U20" i="27"/>
  <c r="U21" i="27"/>
  <c r="U22" i="27"/>
  <c r="U23" i="27"/>
  <c r="U24" i="27"/>
  <c r="U25" i="27"/>
  <c r="U26" i="27"/>
  <c r="U27" i="27"/>
  <c r="U28" i="27"/>
  <c r="U29" i="27"/>
  <c r="U30" i="27"/>
  <c r="U31" i="27"/>
  <c r="U32" i="27"/>
  <c r="U33" i="27"/>
  <c r="U34" i="27"/>
  <c r="U35" i="27"/>
  <c r="U36" i="27"/>
  <c r="U37" i="27"/>
  <c r="U38" i="27"/>
  <c r="U39" i="27"/>
  <c r="U40" i="27"/>
  <c r="U41" i="27"/>
  <c r="U42" i="27"/>
  <c r="U43" i="27"/>
  <c r="U44" i="27"/>
  <c r="U45" i="27"/>
  <c r="U46" i="27"/>
  <c r="U47" i="27"/>
  <c r="U48" i="27"/>
  <c r="U49" i="27"/>
  <c r="U50" i="27"/>
  <c r="U51" i="27"/>
  <c r="U52" i="27"/>
  <c r="U53" i="27"/>
  <c r="U54" i="27"/>
  <c r="U55" i="27"/>
  <c r="U56" i="27"/>
  <c r="U57" i="27"/>
  <c r="U58" i="27"/>
  <c r="U70" i="27"/>
  <c r="U71" i="27"/>
  <c r="U72" i="27"/>
  <c r="U73" i="27"/>
  <c r="U74" i="27"/>
  <c r="U75" i="27"/>
  <c r="U76" i="27"/>
  <c r="U77" i="27"/>
  <c r="U78" i="27"/>
  <c r="U79" i="27"/>
  <c r="U80" i="27"/>
  <c r="U81" i="27"/>
  <c r="U82" i="27"/>
  <c r="U83" i="27"/>
  <c r="U84" i="27"/>
  <c r="U85" i="27"/>
  <c r="U86" i="27"/>
  <c r="U87" i="27"/>
  <c r="U88" i="27"/>
  <c r="U89" i="27"/>
  <c r="U90" i="27"/>
  <c r="U91" i="27"/>
  <c r="U92" i="27"/>
  <c r="U93" i="27"/>
  <c r="U94" i="27"/>
  <c r="U95" i="27"/>
  <c r="U96" i="27"/>
  <c r="U97" i="27"/>
  <c r="U98" i="27"/>
  <c r="U99" i="27"/>
  <c r="U100" i="27"/>
  <c r="U101" i="27"/>
  <c r="U102" i="27"/>
  <c r="U103" i="27"/>
  <c r="U104" i="27"/>
  <c r="U105" i="27"/>
  <c r="U106" i="27"/>
  <c r="U107" i="27"/>
  <c r="U108" i="27"/>
  <c r="U109" i="27"/>
  <c r="U110" i="27"/>
  <c r="U111" i="27"/>
  <c r="U112" i="27"/>
  <c r="U113" i="27"/>
  <c r="S5" i="27"/>
  <c r="S6" i="27"/>
  <c r="AR6" i="27" s="1"/>
  <c r="AS6" i="27" s="1"/>
  <c r="S7" i="27"/>
  <c r="S8" i="27"/>
  <c r="S9" i="27"/>
  <c r="S10" i="27"/>
  <c r="S11" i="27"/>
  <c r="S12" i="27"/>
  <c r="S13" i="27"/>
  <c r="S14" i="27"/>
  <c r="S15" i="27"/>
  <c r="S16" i="27"/>
  <c r="S17" i="27"/>
  <c r="S18" i="27"/>
  <c r="S19" i="27"/>
  <c r="S20" i="27"/>
  <c r="S21" i="27"/>
  <c r="S22" i="27"/>
  <c r="S23" i="27"/>
  <c r="S24" i="27"/>
  <c r="S25" i="27"/>
  <c r="S26" i="27"/>
  <c r="S27" i="27"/>
  <c r="S28" i="27"/>
  <c r="S29" i="27"/>
  <c r="S30" i="27"/>
  <c r="S31" i="27"/>
  <c r="S32" i="27"/>
  <c r="S33" i="27"/>
  <c r="S34" i="27"/>
  <c r="S35" i="27"/>
  <c r="S36" i="27"/>
  <c r="S37" i="27"/>
  <c r="S38" i="27"/>
  <c r="S39" i="27"/>
  <c r="S40" i="27"/>
  <c r="S41" i="27"/>
  <c r="S42" i="27"/>
  <c r="S43" i="27"/>
  <c r="S44" i="27"/>
  <c r="S45" i="27"/>
  <c r="S46" i="27"/>
  <c r="S47" i="27"/>
  <c r="S48" i="27"/>
  <c r="S49" i="27"/>
  <c r="S50" i="27"/>
  <c r="S51" i="27"/>
  <c r="S52" i="27"/>
  <c r="S53" i="27"/>
  <c r="S54" i="27"/>
  <c r="S55" i="27"/>
  <c r="S56" i="27"/>
  <c r="S57" i="27"/>
  <c r="S58" i="27"/>
  <c r="S70" i="27"/>
  <c r="S71" i="27"/>
  <c r="S72" i="27"/>
  <c r="S73" i="27"/>
  <c r="S74" i="27"/>
  <c r="S75" i="27"/>
  <c r="S76" i="27"/>
  <c r="S77" i="27"/>
  <c r="S78" i="27"/>
  <c r="S79" i="27"/>
  <c r="S80" i="27"/>
  <c r="S81" i="27"/>
  <c r="AR81" i="27" s="1"/>
  <c r="AS81" i="27" s="1"/>
  <c r="S82" i="27"/>
  <c r="S83" i="27"/>
  <c r="S84" i="27"/>
  <c r="S85" i="27"/>
  <c r="AR85" i="27" s="1"/>
  <c r="AS85" i="27" s="1"/>
  <c r="S86" i="27"/>
  <c r="S87" i="27"/>
  <c r="S88" i="27"/>
  <c r="S89" i="27"/>
  <c r="S90" i="27"/>
  <c r="S91" i="27"/>
  <c r="S92" i="27"/>
  <c r="S93" i="27"/>
  <c r="S94" i="27"/>
  <c r="S95" i="27"/>
  <c r="S96" i="27"/>
  <c r="S97" i="27"/>
  <c r="S98" i="27"/>
  <c r="S99" i="27"/>
  <c r="S100" i="27"/>
  <c r="S101" i="27"/>
  <c r="S102" i="27"/>
  <c r="S103" i="27"/>
  <c r="S104" i="27"/>
  <c r="S105" i="27"/>
  <c r="S106" i="27"/>
  <c r="S107" i="27"/>
  <c r="S108" i="27"/>
  <c r="S109" i="27"/>
  <c r="S110" i="27"/>
  <c r="S111" i="27"/>
  <c r="S112" i="27"/>
  <c r="S113" i="27"/>
  <c r="R5" i="27"/>
  <c r="J115" i="27"/>
  <c r="J114" i="27"/>
  <c r="T225" i="27" s="1"/>
  <c r="P150" i="27"/>
  <c r="P170" i="27" s="1"/>
  <c r="P168" i="27"/>
  <c r="P169" i="27"/>
  <c r="N31" i="27"/>
  <c r="Q31" i="27" s="1"/>
  <c r="N32" i="27"/>
  <c r="Q32" i="27" s="1"/>
  <c r="N33" i="27"/>
  <c r="Q33" i="27" s="1"/>
  <c r="N34" i="27"/>
  <c r="Q34" i="27" s="1"/>
  <c r="N35" i="27"/>
  <c r="Q35" i="27" s="1"/>
  <c r="N36" i="27"/>
  <c r="Q36" i="27" s="1"/>
  <c r="N37" i="27"/>
  <c r="Q37" i="27" s="1"/>
  <c r="N38" i="27"/>
  <c r="Q38" i="27" s="1"/>
  <c r="N39" i="27"/>
  <c r="Q39" i="27" s="1"/>
  <c r="N40" i="27"/>
  <c r="Q40" i="27" s="1"/>
  <c r="N41" i="27"/>
  <c r="Q41" i="27" s="1"/>
  <c r="N42" i="27"/>
  <c r="Q42" i="27" s="1"/>
  <c r="N43" i="27"/>
  <c r="Q43" i="27" s="1"/>
  <c r="N44" i="27"/>
  <c r="Q44" i="27" s="1"/>
  <c r="N45" i="27"/>
  <c r="Q45" i="27" s="1"/>
  <c r="N46" i="27"/>
  <c r="Q46" i="27" s="1"/>
  <c r="N47" i="27"/>
  <c r="N48" i="27"/>
  <c r="Q48" i="27" s="1"/>
  <c r="N49" i="27"/>
  <c r="Q49" i="27" s="1"/>
  <c r="N50" i="27"/>
  <c r="Q50" i="27" s="1"/>
  <c r="N51" i="27"/>
  <c r="Q51" i="27" s="1"/>
  <c r="N52" i="27"/>
  <c r="Q52" i="27" s="1"/>
  <c r="N53" i="27"/>
  <c r="Q53" i="27" s="1"/>
  <c r="N54" i="27"/>
  <c r="Q54" i="27" s="1"/>
  <c r="N55" i="27"/>
  <c r="Q55" i="27" s="1"/>
  <c r="N56" i="27"/>
  <c r="Q56" i="27" s="1"/>
  <c r="N57" i="27"/>
  <c r="Q57" i="27" s="1"/>
  <c r="N58" i="27"/>
  <c r="Q58" i="27" s="1"/>
  <c r="N70" i="27"/>
  <c r="Q70" i="27" s="1"/>
  <c r="N71" i="27"/>
  <c r="Q71" i="27" s="1"/>
  <c r="N72" i="27"/>
  <c r="Q72" i="27" s="1"/>
  <c r="N73" i="27"/>
  <c r="Q73" i="27" s="1"/>
  <c r="N74" i="27"/>
  <c r="Q74" i="27" s="1"/>
  <c r="N75" i="27"/>
  <c r="Q75" i="27" s="1"/>
  <c r="N76" i="27"/>
  <c r="Q76" i="27" s="1"/>
  <c r="N77" i="27"/>
  <c r="N78" i="27"/>
  <c r="Q78" i="27" s="1"/>
  <c r="N79" i="27"/>
  <c r="Q79" i="27" s="1"/>
  <c r="N80" i="27"/>
  <c r="Q80" i="27" s="1"/>
  <c r="N81" i="27"/>
  <c r="Q81" i="27" s="1"/>
  <c r="N82" i="27"/>
  <c r="Q82" i="27" s="1"/>
  <c r="N83" i="27"/>
  <c r="Q83" i="27" s="1"/>
  <c r="N84" i="27"/>
  <c r="Q84" i="27" s="1"/>
  <c r="N85" i="27"/>
  <c r="N86" i="27"/>
  <c r="Q86" i="27" s="1"/>
  <c r="N87" i="27"/>
  <c r="Q87" i="27" s="1"/>
  <c r="N88" i="27"/>
  <c r="Q88" i="27" s="1"/>
  <c r="N89" i="27"/>
  <c r="N90" i="27"/>
  <c r="N91" i="27"/>
  <c r="Q91" i="27" s="1"/>
  <c r="N92" i="27"/>
  <c r="Q92" i="27" s="1"/>
  <c r="N93" i="27"/>
  <c r="N94" i="27"/>
  <c r="Q94" i="27" s="1"/>
  <c r="N95" i="27"/>
  <c r="Q95" i="27" s="1"/>
  <c r="N96" i="27"/>
  <c r="Q96" i="27" s="1"/>
  <c r="N97" i="27"/>
  <c r="N98" i="27"/>
  <c r="N99" i="27"/>
  <c r="N100" i="27"/>
  <c r="Q100" i="27" s="1"/>
  <c r="N101" i="27"/>
  <c r="N102" i="27"/>
  <c r="Q102" i="27" s="1"/>
  <c r="N103" i="27"/>
  <c r="Q103" i="27" s="1"/>
  <c r="N104" i="27"/>
  <c r="Q104" i="27" s="1"/>
  <c r="N105" i="27"/>
  <c r="N106" i="27"/>
  <c r="Q106" i="27" s="1"/>
  <c r="N107" i="27"/>
  <c r="Q107" i="27" s="1"/>
  <c r="N108" i="27"/>
  <c r="Q108" i="27" s="1"/>
  <c r="N109" i="27"/>
  <c r="N110" i="27"/>
  <c r="Q110" i="27" s="1"/>
  <c r="N111" i="27"/>
  <c r="Q111" i="27" s="1"/>
  <c r="N112" i="27"/>
  <c r="Q112" i="27" s="1"/>
  <c r="N113" i="27"/>
  <c r="N5" i="27"/>
  <c r="Q5" i="27" s="1"/>
  <c r="N6" i="27"/>
  <c r="N7" i="27"/>
  <c r="Q7" i="27" s="1"/>
  <c r="N8" i="27"/>
  <c r="Q8" i="27" s="1"/>
  <c r="N9" i="27"/>
  <c r="Q9" i="27" s="1"/>
  <c r="N10" i="27"/>
  <c r="Q10" i="27" s="1"/>
  <c r="N11" i="27"/>
  <c r="Q11" i="27" s="1"/>
  <c r="N12" i="27"/>
  <c r="N13" i="27"/>
  <c r="Q13" i="27" s="1"/>
  <c r="N14" i="27"/>
  <c r="Q14" i="27" s="1"/>
  <c r="N15" i="27"/>
  <c r="Q15" i="27" s="1"/>
  <c r="N16" i="27"/>
  <c r="N17" i="27"/>
  <c r="Q17" i="27" s="1"/>
  <c r="N18" i="27"/>
  <c r="N19" i="27"/>
  <c r="Q19" i="27" s="1"/>
  <c r="N20" i="27"/>
  <c r="N21" i="27"/>
  <c r="Q21" i="27" s="1"/>
  <c r="N22" i="27"/>
  <c r="Q22" i="27" s="1"/>
  <c r="N23" i="27"/>
  <c r="Q23" i="27" s="1"/>
  <c r="N24" i="27"/>
  <c r="N25" i="27"/>
  <c r="Q25" i="27" s="1"/>
  <c r="N26" i="27"/>
  <c r="Q26" i="27" s="1"/>
  <c r="N27" i="27"/>
  <c r="Q27" i="27" s="1"/>
  <c r="N28" i="27"/>
  <c r="N29" i="27"/>
  <c r="Q29" i="27" s="1"/>
  <c r="N30" i="27"/>
  <c r="L5" i="27"/>
  <c r="L6" i="27"/>
  <c r="L7" i="27"/>
  <c r="L8" i="27"/>
  <c r="O8" i="27" s="1"/>
  <c r="P8" i="27" s="1"/>
  <c r="L9" i="27"/>
  <c r="L10" i="27"/>
  <c r="L11" i="27"/>
  <c r="L12" i="27"/>
  <c r="O12" i="27" s="1"/>
  <c r="P12" i="27" s="1"/>
  <c r="L13" i="27"/>
  <c r="L14" i="27"/>
  <c r="L15" i="27"/>
  <c r="L16" i="27"/>
  <c r="O16" i="27" s="1"/>
  <c r="P16" i="27" s="1"/>
  <c r="L17" i="27"/>
  <c r="L18" i="27"/>
  <c r="L19" i="27"/>
  <c r="L20" i="27"/>
  <c r="O20" i="27" s="1"/>
  <c r="P20" i="27" s="1"/>
  <c r="L21" i="27"/>
  <c r="L22" i="27"/>
  <c r="L23" i="27"/>
  <c r="L24" i="27"/>
  <c r="O24" i="27" s="1"/>
  <c r="P24" i="27" s="1"/>
  <c r="L25" i="27"/>
  <c r="L26" i="27"/>
  <c r="L27" i="27"/>
  <c r="L28" i="27"/>
  <c r="O28" i="27" s="1"/>
  <c r="P28" i="27" s="1"/>
  <c r="L29" i="27"/>
  <c r="L30" i="27"/>
  <c r="L31" i="27"/>
  <c r="L32" i="27"/>
  <c r="O32" i="27" s="1"/>
  <c r="P32" i="27" s="1"/>
  <c r="L33" i="27"/>
  <c r="L34" i="27"/>
  <c r="O34" i="27" s="1"/>
  <c r="P34" i="27" s="1"/>
  <c r="L35" i="27"/>
  <c r="L36" i="27"/>
  <c r="O36" i="27" s="1"/>
  <c r="P36" i="27" s="1"/>
  <c r="L37" i="27"/>
  <c r="L38" i="27"/>
  <c r="O38" i="27" s="1"/>
  <c r="P38" i="27" s="1"/>
  <c r="L39" i="27"/>
  <c r="L40" i="27"/>
  <c r="O40" i="27" s="1"/>
  <c r="P40" i="27" s="1"/>
  <c r="L41" i="27"/>
  <c r="L42" i="27"/>
  <c r="O42" i="27" s="1"/>
  <c r="P42" i="27" s="1"/>
  <c r="L43" i="27"/>
  <c r="L44" i="27"/>
  <c r="O44" i="27" s="1"/>
  <c r="P44" i="27" s="1"/>
  <c r="L45" i="27"/>
  <c r="L46" i="27"/>
  <c r="O46" i="27" s="1"/>
  <c r="P46" i="27" s="1"/>
  <c r="L47" i="27"/>
  <c r="L48" i="27"/>
  <c r="O48" i="27" s="1"/>
  <c r="P48" i="27" s="1"/>
  <c r="L49" i="27"/>
  <c r="L50" i="27"/>
  <c r="O50" i="27" s="1"/>
  <c r="P50" i="27" s="1"/>
  <c r="L51" i="27"/>
  <c r="L52" i="27"/>
  <c r="O52" i="27" s="1"/>
  <c r="P52" i="27" s="1"/>
  <c r="L53" i="27"/>
  <c r="L54" i="27"/>
  <c r="O54" i="27" s="1"/>
  <c r="P54" i="27" s="1"/>
  <c r="L55" i="27"/>
  <c r="L56" i="27"/>
  <c r="O56" i="27" s="1"/>
  <c r="P56" i="27" s="1"/>
  <c r="L57" i="27"/>
  <c r="L58" i="27"/>
  <c r="O58" i="27" s="1"/>
  <c r="P58" i="27" s="1"/>
  <c r="L70" i="27"/>
  <c r="O70" i="27" s="1"/>
  <c r="P70" i="27" s="1"/>
  <c r="L71" i="27"/>
  <c r="L72" i="27"/>
  <c r="O72" i="27" s="1"/>
  <c r="P72" i="27" s="1"/>
  <c r="L73" i="27"/>
  <c r="L74" i="27"/>
  <c r="O74" i="27" s="1"/>
  <c r="P74" i="27" s="1"/>
  <c r="L75" i="27"/>
  <c r="L76" i="27"/>
  <c r="O76" i="27" s="1"/>
  <c r="P76" i="27" s="1"/>
  <c r="L77" i="27"/>
  <c r="L78" i="27"/>
  <c r="O78" i="27" s="1"/>
  <c r="P78" i="27" s="1"/>
  <c r="L79" i="27"/>
  <c r="L80" i="27"/>
  <c r="O80" i="27" s="1"/>
  <c r="P80" i="27" s="1"/>
  <c r="L81" i="27"/>
  <c r="L82" i="27"/>
  <c r="O82" i="27" s="1"/>
  <c r="P82" i="27" s="1"/>
  <c r="L83" i="27"/>
  <c r="L84" i="27"/>
  <c r="O84" i="27" s="1"/>
  <c r="P84" i="27" s="1"/>
  <c r="L85" i="27"/>
  <c r="L86" i="27"/>
  <c r="O86" i="27" s="1"/>
  <c r="P86" i="27" s="1"/>
  <c r="L87" i="27"/>
  <c r="L88" i="27"/>
  <c r="O88" i="27" s="1"/>
  <c r="P88" i="27" s="1"/>
  <c r="L89" i="27"/>
  <c r="L90" i="27"/>
  <c r="O90" i="27" s="1"/>
  <c r="P90" i="27" s="1"/>
  <c r="L91" i="27"/>
  <c r="L92" i="27"/>
  <c r="O92" i="27" s="1"/>
  <c r="P92" i="27" s="1"/>
  <c r="L93" i="27"/>
  <c r="L94" i="27"/>
  <c r="O94" i="27" s="1"/>
  <c r="P94" i="27" s="1"/>
  <c r="L95" i="27"/>
  <c r="L96" i="27"/>
  <c r="O96" i="27" s="1"/>
  <c r="P96" i="27" s="1"/>
  <c r="L97" i="27"/>
  <c r="L98" i="27"/>
  <c r="O98" i="27" s="1"/>
  <c r="P98" i="27" s="1"/>
  <c r="L99" i="27"/>
  <c r="L100" i="27"/>
  <c r="O100" i="27" s="1"/>
  <c r="P100" i="27" s="1"/>
  <c r="L101" i="27"/>
  <c r="L102" i="27"/>
  <c r="O102" i="27" s="1"/>
  <c r="P102" i="27" s="1"/>
  <c r="L103" i="27"/>
  <c r="L104" i="27"/>
  <c r="O104" i="27" s="1"/>
  <c r="P104" i="27" s="1"/>
  <c r="L105" i="27"/>
  <c r="L106" i="27"/>
  <c r="O106" i="27" s="1"/>
  <c r="P106" i="27" s="1"/>
  <c r="L107" i="27"/>
  <c r="L108" i="27"/>
  <c r="O108" i="27" s="1"/>
  <c r="P108" i="27" s="1"/>
  <c r="L109" i="27"/>
  <c r="L110" i="27"/>
  <c r="O110" i="27" s="1"/>
  <c r="P110" i="27" s="1"/>
  <c r="L111" i="27"/>
  <c r="L112" i="27"/>
  <c r="O112" i="27" s="1"/>
  <c r="P112" i="27" s="1"/>
  <c r="L113" i="27"/>
  <c r="C189" i="27"/>
  <c r="N181" i="27"/>
  <c r="M181" i="27"/>
  <c r="L181" i="27"/>
  <c r="K181" i="27"/>
  <c r="G179" i="27"/>
  <c r="AR176" i="27"/>
  <c r="C173" i="27"/>
  <c r="M172" i="27"/>
  <c r="K172" i="27"/>
  <c r="G172" i="27"/>
  <c r="AE172" i="27" s="1"/>
  <c r="AE171" i="27"/>
  <c r="AE170" i="27"/>
  <c r="AA170" i="27"/>
  <c r="AA171" i="27" s="1"/>
  <c r="Z170" i="27"/>
  <c r="Z171" i="27" s="1"/>
  <c r="W170" i="27"/>
  <c r="W171" i="27" s="1"/>
  <c r="R170" i="27"/>
  <c r="R171" i="27" s="1"/>
  <c r="Q170" i="27"/>
  <c r="Q171" i="27" s="1"/>
  <c r="AE169" i="27"/>
  <c r="AA169" i="27"/>
  <c r="Z169" i="27"/>
  <c r="W169" i="27"/>
  <c r="R169" i="27"/>
  <c r="Q169" i="27"/>
  <c r="AE168" i="27"/>
  <c r="AA168" i="27"/>
  <c r="Z168" i="27"/>
  <c r="W168" i="27"/>
  <c r="R168" i="27"/>
  <c r="Q168" i="27"/>
  <c r="D168" i="27"/>
  <c r="AE167" i="27"/>
  <c r="AE166" i="27"/>
  <c r="AI166" i="27" s="1"/>
  <c r="AE165" i="27"/>
  <c r="AE164" i="27"/>
  <c r="AE163" i="27"/>
  <c r="AE162" i="27"/>
  <c r="AI162" i="27" s="1"/>
  <c r="AE161" i="27"/>
  <c r="AE160" i="27"/>
  <c r="AE159" i="27"/>
  <c r="AE158" i="27"/>
  <c r="AI158" i="27" s="1"/>
  <c r="AE157" i="27"/>
  <c r="AE156" i="27"/>
  <c r="AE155" i="27"/>
  <c r="AE154" i="27"/>
  <c r="AI154" i="27" s="1"/>
  <c r="AE153" i="27"/>
  <c r="AE152" i="27"/>
  <c r="AE151" i="27"/>
  <c r="AE150" i="27"/>
  <c r="AE149" i="27"/>
  <c r="AE148" i="27"/>
  <c r="AH148" i="27" s="1"/>
  <c r="AE147" i="27"/>
  <c r="AE146" i="27"/>
  <c r="AH146" i="27" s="1"/>
  <c r="AE145" i="27"/>
  <c r="AE144" i="27"/>
  <c r="AH144" i="27" s="1"/>
  <c r="AE143" i="27"/>
  <c r="AE142" i="27"/>
  <c r="AH142" i="27" s="1"/>
  <c r="AE141" i="27"/>
  <c r="AE140" i="27"/>
  <c r="AH140" i="27" s="1"/>
  <c r="AE139" i="27"/>
  <c r="AE138" i="27"/>
  <c r="AH138" i="27" s="1"/>
  <c r="AE137" i="27"/>
  <c r="AE136" i="27"/>
  <c r="AH136" i="27" s="1"/>
  <c r="AE135" i="27"/>
  <c r="S135" i="27"/>
  <c r="AE134" i="27"/>
  <c r="AI134" i="27" s="1"/>
  <c r="S134" i="27"/>
  <c r="AE133" i="27"/>
  <c r="S133" i="27"/>
  <c r="AE132" i="27"/>
  <c r="AE131" i="27"/>
  <c r="AE130" i="27"/>
  <c r="AI130" i="27" s="1"/>
  <c r="AE129" i="27"/>
  <c r="AI129" i="27" s="1"/>
  <c r="S129" i="27"/>
  <c r="AE128" i="27"/>
  <c r="AH128" i="27" s="1"/>
  <c r="S128" i="27"/>
  <c r="AE127" i="27"/>
  <c r="AI127" i="27" s="1"/>
  <c r="S127" i="27"/>
  <c r="AE126" i="27"/>
  <c r="AE125" i="27"/>
  <c r="S125" i="27"/>
  <c r="AE124" i="27"/>
  <c r="S124" i="27"/>
  <c r="AE123" i="27"/>
  <c r="AE122" i="27"/>
  <c r="AH122" i="27" s="1"/>
  <c r="AE121" i="27"/>
  <c r="AE120" i="27"/>
  <c r="AE119" i="27"/>
  <c r="S119" i="27"/>
  <c r="AE118" i="27"/>
  <c r="J118" i="27"/>
  <c r="S118" i="27" s="1"/>
  <c r="AE117" i="27"/>
  <c r="AE116" i="27"/>
  <c r="AE115" i="27"/>
  <c r="AE114" i="27"/>
  <c r="AE113" i="27"/>
  <c r="Q113" i="27"/>
  <c r="AE112" i="27"/>
  <c r="AE111" i="27"/>
  <c r="AH111" i="27" s="1"/>
  <c r="AE110" i="27"/>
  <c r="AE109" i="27"/>
  <c r="Q109" i="27"/>
  <c r="AE108" i="27"/>
  <c r="AE107" i="27"/>
  <c r="AH107" i="27" s="1"/>
  <c r="AE106" i="27"/>
  <c r="AE105" i="27"/>
  <c r="Q105" i="27"/>
  <c r="AE104" i="27"/>
  <c r="AE103" i="27"/>
  <c r="AH103" i="27" s="1"/>
  <c r="AE102" i="27"/>
  <c r="AE101" i="27"/>
  <c r="AH101" i="27" s="1"/>
  <c r="Q101" i="27"/>
  <c r="AE100" i="27"/>
  <c r="AE99" i="27"/>
  <c r="AH99" i="27" s="1"/>
  <c r="Q99" i="27"/>
  <c r="AE98" i="27"/>
  <c r="Q98" i="27"/>
  <c r="AE97" i="27"/>
  <c r="Q97" i="27"/>
  <c r="AE96" i="27"/>
  <c r="AE95" i="27"/>
  <c r="AH95" i="27" s="1"/>
  <c r="AE94" i="27"/>
  <c r="AE93" i="27"/>
  <c r="Q93" i="27"/>
  <c r="AE92" i="27"/>
  <c r="AE91" i="27"/>
  <c r="AH91" i="27" s="1"/>
  <c r="AE90" i="27"/>
  <c r="Q90" i="27"/>
  <c r="AE89" i="27"/>
  <c r="Q89" i="27"/>
  <c r="AE88" i="27"/>
  <c r="AE87" i="27"/>
  <c r="AF87" i="27" s="1"/>
  <c r="AE86" i="27"/>
  <c r="AE85" i="27"/>
  <c r="Q85" i="27"/>
  <c r="AE84" i="27"/>
  <c r="AE83" i="27"/>
  <c r="AH83" i="27" s="1"/>
  <c r="AR83" i="27"/>
  <c r="AS83" i="27" s="1"/>
  <c r="AE82" i="27"/>
  <c r="AE81" i="27"/>
  <c r="AF81" i="27" s="1"/>
  <c r="AE80" i="27"/>
  <c r="AE79" i="27"/>
  <c r="AH79" i="27" s="1"/>
  <c r="AR79" i="27"/>
  <c r="AS79" i="27" s="1"/>
  <c r="AE78" i="27"/>
  <c r="AE77" i="27"/>
  <c r="AH77" i="27" s="1"/>
  <c r="Q77" i="27"/>
  <c r="AE76" i="27"/>
  <c r="AE75" i="27"/>
  <c r="AH75" i="27" s="1"/>
  <c r="AE74" i="27"/>
  <c r="AE73" i="27"/>
  <c r="AE72" i="27"/>
  <c r="AF72" i="27" s="1"/>
  <c r="AE71" i="27"/>
  <c r="AF71" i="27" s="1"/>
  <c r="AE70" i="27"/>
  <c r="AE69" i="27"/>
  <c r="AA69" i="27"/>
  <c r="W69" i="27"/>
  <c r="AE68" i="27"/>
  <c r="AE67" i="27"/>
  <c r="AE66" i="27"/>
  <c r="AE65" i="27"/>
  <c r="AA65" i="27"/>
  <c r="W65" i="27"/>
  <c r="AE64" i="27"/>
  <c r="AA64" i="27"/>
  <c r="AA66" i="27" s="1"/>
  <c r="AA67" i="27" s="1"/>
  <c r="W64" i="27"/>
  <c r="W66" i="27" s="1"/>
  <c r="AE63" i="27"/>
  <c r="AA63" i="27"/>
  <c r="W63" i="27"/>
  <c r="AE62" i="27"/>
  <c r="AA62" i="27"/>
  <c r="W62" i="27"/>
  <c r="AE61" i="27"/>
  <c r="AE60" i="27"/>
  <c r="AE59" i="27"/>
  <c r="J59" i="27"/>
  <c r="AE58" i="27"/>
  <c r="AI58" i="27" s="1"/>
  <c r="AE57" i="27"/>
  <c r="AE56" i="27"/>
  <c r="AE55" i="27"/>
  <c r="AE54" i="27"/>
  <c r="AI54" i="27" s="1"/>
  <c r="AE53" i="27"/>
  <c r="AE52" i="27"/>
  <c r="AE51" i="27"/>
  <c r="AE50" i="27"/>
  <c r="AE49" i="27"/>
  <c r="AE48" i="27"/>
  <c r="AA48" i="27"/>
  <c r="AA49" i="27" s="1"/>
  <c r="W48" i="27"/>
  <c r="W49" i="27" s="1"/>
  <c r="AE47" i="27"/>
  <c r="Q47" i="27"/>
  <c r="AE46" i="27"/>
  <c r="AE45" i="27"/>
  <c r="AE44" i="27"/>
  <c r="AF44" i="27" s="1"/>
  <c r="AE43" i="27"/>
  <c r="AE42" i="27"/>
  <c r="AE41" i="27"/>
  <c r="AE40" i="27"/>
  <c r="AH40" i="27" s="1"/>
  <c r="AE39" i="27"/>
  <c r="AE38" i="27"/>
  <c r="AF38" i="27" s="1"/>
  <c r="AE37" i="27"/>
  <c r="AE36" i="27"/>
  <c r="AF36" i="27" s="1"/>
  <c r="AE35" i="27"/>
  <c r="AE34" i="27"/>
  <c r="AE33" i="27"/>
  <c r="AE32" i="27"/>
  <c r="AH32" i="27" s="1"/>
  <c r="AE31" i="27"/>
  <c r="AE30" i="27"/>
  <c r="Q30" i="27"/>
  <c r="AE29" i="27"/>
  <c r="AE28" i="27"/>
  <c r="AH28" i="27" s="1"/>
  <c r="Q28" i="27"/>
  <c r="AE27" i="27"/>
  <c r="AE26" i="27"/>
  <c r="AE25" i="27"/>
  <c r="AE24" i="27"/>
  <c r="Q24" i="27"/>
  <c r="AE23" i="27"/>
  <c r="AE22" i="27"/>
  <c r="AE21" i="27"/>
  <c r="AE20" i="27"/>
  <c r="AH20" i="27" s="1"/>
  <c r="Q20" i="27"/>
  <c r="AE19" i="27"/>
  <c r="AE18" i="27"/>
  <c r="Q18" i="27"/>
  <c r="AE17" i="27"/>
  <c r="AE16" i="27"/>
  <c r="AH16" i="27" s="1"/>
  <c r="Q16" i="27"/>
  <c r="AE15" i="27"/>
  <c r="AE14" i="27"/>
  <c r="AE13" i="27"/>
  <c r="AE12" i="27"/>
  <c r="AF12" i="27" s="1"/>
  <c r="Q12" i="27"/>
  <c r="AE11" i="27"/>
  <c r="AE10" i="27"/>
  <c r="AE9" i="27"/>
  <c r="AE8" i="27"/>
  <c r="AF8" i="27" s="1"/>
  <c r="AG8" i="27" s="1"/>
  <c r="AE7" i="27"/>
  <c r="AE6" i="27"/>
  <c r="Q6" i="27"/>
  <c r="AE5" i="27"/>
  <c r="AE4" i="27"/>
  <c r="J4" i="27"/>
  <c r="AN15" i="23"/>
  <c r="AN14" i="23"/>
  <c r="AR14" i="23" s="1"/>
  <c r="AN13" i="23"/>
  <c r="AN11" i="23"/>
  <c r="S7" i="23"/>
  <c r="AF33" i="27" l="1"/>
  <c r="AF37" i="27"/>
  <c r="AI117" i="27"/>
  <c r="AH133" i="27"/>
  <c r="AH21" i="27"/>
  <c r="AF45" i="27"/>
  <c r="AH120" i="27"/>
  <c r="AI55" i="27"/>
  <c r="AM55" i="27" s="1"/>
  <c r="AQ55" i="27" s="1"/>
  <c r="AH145" i="27"/>
  <c r="BD15" i="23"/>
  <c r="AV14" i="23"/>
  <c r="AZ14" i="23" s="1"/>
  <c r="AO15" i="23"/>
  <c r="AP15" i="23"/>
  <c r="AQ14" i="23"/>
  <c r="AC16" i="23"/>
  <c r="AK16" i="23"/>
  <c r="BC16" i="23" s="1"/>
  <c r="AP11" i="23"/>
  <c r="AO11" i="23"/>
  <c r="AQ11" i="23"/>
  <c r="AR11" i="23"/>
  <c r="U66" i="23"/>
  <c r="AA66" i="23"/>
  <c r="X66" i="23" s="1"/>
  <c r="AE18" i="23"/>
  <c r="AD17" i="23"/>
  <c r="AI17" i="23" s="1"/>
  <c r="AF17" i="23"/>
  <c r="AG17" i="23"/>
  <c r="AO13" i="23"/>
  <c r="AP13" i="23"/>
  <c r="AQ13" i="23"/>
  <c r="AQ15" i="23"/>
  <c r="AH15" i="23"/>
  <c r="AL16" i="23"/>
  <c r="BD16" i="23" s="1"/>
  <c r="AR13" i="23"/>
  <c r="AO14" i="23"/>
  <c r="AP14" i="23"/>
  <c r="K68" i="23"/>
  <c r="G182" i="27"/>
  <c r="U227" i="27"/>
  <c r="T230" i="27"/>
  <c r="T220" i="27"/>
  <c r="H75" i="2"/>
  <c r="F75" i="2"/>
  <c r="G75" i="2"/>
  <c r="AF7" i="27"/>
  <c r="AG7" i="27" s="1"/>
  <c r="AK7" i="27" s="1"/>
  <c r="AO7" i="27" s="1"/>
  <c r="Z172" i="27"/>
  <c r="AF70" i="27"/>
  <c r="AR86" i="27"/>
  <c r="AS86" i="27" s="1"/>
  <c r="AR82" i="27"/>
  <c r="AS82" i="27" s="1"/>
  <c r="AF9" i="27"/>
  <c r="AF41" i="27"/>
  <c r="AG41" i="27" s="1"/>
  <c r="AK41" i="27" s="1"/>
  <c r="AI47" i="27"/>
  <c r="AH80" i="27"/>
  <c r="AL80" i="27" s="1"/>
  <c r="AP80" i="27" s="1"/>
  <c r="AI116" i="27"/>
  <c r="AH149" i="27"/>
  <c r="AL149" i="27" s="1"/>
  <c r="AP149" i="27" s="1"/>
  <c r="AR87" i="27"/>
  <c r="AS87" i="27" s="1"/>
  <c r="AH46" i="27"/>
  <c r="AL46" i="27" s="1"/>
  <c r="AP46" i="27" s="1"/>
  <c r="AH33" i="27"/>
  <c r="AF74" i="27"/>
  <c r="AI151" i="27"/>
  <c r="AI155" i="27"/>
  <c r="AI159" i="27"/>
  <c r="AI163" i="27"/>
  <c r="AI167" i="27"/>
  <c r="AH10" i="27"/>
  <c r="AL10" i="27" s="1"/>
  <c r="AP10" i="27" s="1"/>
  <c r="AH22" i="27"/>
  <c r="AH34" i="27"/>
  <c r="AI56" i="27"/>
  <c r="AH89" i="27"/>
  <c r="AL89" i="27" s="1"/>
  <c r="AP89" i="27" s="1"/>
  <c r="AH105" i="27"/>
  <c r="AI115" i="27"/>
  <c r="AI152" i="27"/>
  <c r="AI156" i="27"/>
  <c r="AM156" i="27" s="1"/>
  <c r="AQ156" i="27" s="1"/>
  <c r="AI160" i="27"/>
  <c r="AI164" i="27"/>
  <c r="AH18" i="27"/>
  <c r="AH30" i="27"/>
  <c r="AL30" i="27" s="1"/>
  <c r="AP30" i="27" s="1"/>
  <c r="AH42" i="27"/>
  <c r="AF73" i="27"/>
  <c r="AH97" i="27"/>
  <c r="AH113" i="27"/>
  <c r="AF6" i="27"/>
  <c r="AH14" i="27"/>
  <c r="AH26" i="27"/>
  <c r="AF46" i="27"/>
  <c r="AJ46" i="27" s="1"/>
  <c r="AN46" i="27" s="1"/>
  <c r="AF85" i="27"/>
  <c r="AH93" i="27"/>
  <c r="AH109" i="27"/>
  <c r="AH126" i="27"/>
  <c r="AL126" i="27" s="1"/>
  <c r="AP126" i="27" s="1"/>
  <c r="AI131" i="27"/>
  <c r="O30" i="27"/>
  <c r="P30" i="27" s="1"/>
  <c r="O26" i="27"/>
  <c r="P26" i="27" s="1"/>
  <c r="O22" i="27"/>
  <c r="P22" i="27" s="1"/>
  <c r="O18" i="27"/>
  <c r="P18" i="27" s="1"/>
  <c r="O14" i="27"/>
  <c r="P14" i="27" s="1"/>
  <c r="O10" i="27"/>
  <c r="P10" i="27" s="1"/>
  <c r="O6" i="27"/>
  <c r="P6" i="27" s="1"/>
  <c r="AF32" i="27"/>
  <c r="AF40" i="27"/>
  <c r="AF78" i="27"/>
  <c r="AJ78" i="27" s="1"/>
  <c r="AN78" i="27" s="1"/>
  <c r="AF43" i="27"/>
  <c r="AG43" i="27" s="1"/>
  <c r="AK43" i="27" s="1"/>
  <c r="AF35" i="27"/>
  <c r="AR88" i="27"/>
  <c r="AS88" i="27" s="1"/>
  <c r="AR84" i="27"/>
  <c r="AS84" i="27" s="1"/>
  <c r="AR9" i="27"/>
  <c r="AS9" i="27" s="1"/>
  <c r="AH74" i="27"/>
  <c r="AH39" i="27"/>
  <c r="AH31" i="27"/>
  <c r="AH38" i="27"/>
  <c r="AL38" i="27" s="1"/>
  <c r="AP38" i="27" s="1"/>
  <c r="AH41" i="27"/>
  <c r="AH70" i="27"/>
  <c r="AL70" i="27" s="1"/>
  <c r="AP70" i="27" s="1"/>
  <c r="AH135" i="27"/>
  <c r="AI153" i="27"/>
  <c r="AM153" i="27" s="1"/>
  <c r="AQ153" i="27" s="1"/>
  <c r="AI157" i="27"/>
  <c r="AI161" i="27"/>
  <c r="AM161" i="27" s="1"/>
  <c r="AQ161" i="27" s="1"/>
  <c r="AI165" i="27"/>
  <c r="AF31" i="27"/>
  <c r="AJ31" i="27" s="1"/>
  <c r="AN31" i="27" s="1"/>
  <c r="AF39" i="27"/>
  <c r="AH73" i="27"/>
  <c r="AL73" i="27" s="1"/>
  <c r="AP73" i="27" s="1"/>
  <c r="AF75" i="27"/>
  <c r="AH147" i="27"/>
  <c r="AL147" i="27" s="1"/>
  <c r="AP147" i="27" s="1"/>
  <c r="AF34" i="27"/>
  <c r="AH35" i="27"/>
  <c r="AF42" i="27"/>
  <c r="AH43" i="27"/>
  <c r="AL43" i="27" s="1"/>
  <c r="AP43" i="27" s="1"/>
  <c r="AI57" i="27"/>
  <c r="AH82" i="27"/>
  <c r="AL82" i="27" s="1"/>
  <c r="AP82" i="27" s="1"/>
  <c r="AF83" i="27"/>
  <c r="AI132" i="27"/>
  <c r="AM132" i="27" s="1"/>
  <c r="AQ132" i="27" s="1"/>
  <c r="AH36" i="27"/>
  <c r="AL36" i="27" s="1"/>
  <c r="AP36" i="27" s="1"/>
  <c r="AH37" i="27"/>
  <c r="AH44" i="27"/>
  <c r="AL44" i="27" s="1"/>
  <c r="AP44" i="27" s="1"/>
  <c r="AH45" i="27"/>
  <c r="AH71" i="27"/>
  <c r="AL71" i="27" s="1"/>
  <c r="AP71" i="27" s="1"/>
  <c r="AH72" i="27"/>
  <c r="AF119" i="27"/>
  <c r="AJ119" i="27" s="1"/>
  <c r="AN119" i="27" s="1"/>
  <c r="AF110" i="27"/>
  <c r="AG110" i="27" s="1"/>
  <c r="AK110" i="27" s="1"/>
  <c r="AF106" i="27"/>
  <c r="AG106" i="27" s="1"/>
  <c r="AK106" i="27" s="1"/>
  <c r="AF102" i="27"/>
  <c r="AF98" i="27"/>
  <c r="AF94" i="27"/>
  <c r="AG94" i="27" s="1"/>
  <c r="AK94" i="27" s="1"/>
  <c r="AF90" i="27"/>
  <c r="AJ90" i="27" s="1"/>
  <c r="AN90" i="27" s="1"/>
  <c r="AF86" i="27"/>
  <c r="AF27" i="27"/>
  <c r="AJ27" i="27" s="1"/>
  <c r="AN27" i="27" s="1"/>
  <c r="AF19" i="27"/>
  <c r="AJ19" i="27" s="1"/>
  <c r="AN19" i="27" s="1"/>
  <c r="AF15" i="27"/>
  <c r="AJ15" i="27" s="1"/>
  <c r="AH110" i="27"/>
  <c r="AH106" i="27"/>
  <c r="AL106" i="27" s="1"/>
  <c r="AP106" i="27" s="1"/>
  <c r="AH102" i="27"/>
  <c r="AL102" i="27" s="1"/>
  <c r="AP102" i="27" s="1"/>
  <c r="AH98" i="27"/>
  <c r="AL98" i="27" s="1"/>
  <c r="AP98" i="27" s="1"/>
  <c r="AH94" i="27"/>
  <c r="AH90" i="27"/>
  <c r="AL90" i="27" s="1"/>
  <c r="AP90" i="27" s="1"/>
  <c r="AH86" i="27"/>
  <c r="AL86" i="27" s="1"/>
  <c r="AP86" i="27" s="1"/>
  <c r="AH27" i="27"/>
  <c r="AH19" i="27"/>
  <c r="AH15" i="27"/>
  <c r="AH143" i="27"/>
  <c r="AL143" i="27" s="1"/>
  <c r="AP143" i="27" s="1"/>
  <c r="AH139" i="27"/>
  <c r="AH119" i="27"/>
  <c r="AF128" i="27"/>
  <c r="AG128" i="27" s="1"/>
  <c r="AK128" i="27" s="1"/>
  <c r="AF22" i="27"/>
  <c r="AJ22" i="27" s="1"/>
  <c r="AN22" i="27" s="1"/>
  <c r="AF112" i="27"/>
  <c r="AJ112" i="27" s="1"/>
  <c r="AN112" i="27" s="1"/>
  <c r="AF108" i="27"/>
  <c r="AG108" i="27" s="1"/>
  <c r="AF104" i="27"/>
  <c r="AG104" i="27" s="1"/>
  <c r="AF100" i="27"/>
  <c r="AG100" i="27" s="1"/>
  <c r="AK100" i="27" s="1"/>
  <c r="AF96" i="27"/>
  <c r="AJ96" i="27" s="1"/>
  <c r="AN96" i="27" s="1"/>
  <c r="AF92" i="27"/>
  <c r="AF88" i="27"/>
  <c r="AG88" i="27" s="1"/>
  <c r="AK88" i="27" s="1"/>
  <c r="AF84" i="27"/>
  <c r="AJ84" i="27" s="1"/>
  <c r="AN84" i="27" s="1"/>
  <c r="AF76" i="27"/>
  <c r="AG76" i="27" s="1"/>
  <c r="AK76" i="27" s="1"/>
  <c r="AF29" i="27"/>
  <c r="AF21" i="27"/>
  <c r="AG21" i="27" s="1"/>
  <c r="AK21" i="27" s="1"/>
  <c r="AF17" i="27"/>
  <c r="AJ17" i="27" s="1"/>
  <c r="AN17" i="27" s="1"/>
  <c r="AH112" i="27"/>
  <c r="AL112" i="27" s="1"/>
  <c r="AP112" i="27" s="1"/>
  <c r="AH108" i="27"/>
  <c r="AH104" i="27"/>
  <c r="AH100" i="27"/>
  <c r="AL100" i="27" s="1"/>
  <c r="AP100" i="27" s="1"/>
  <c r="AH96" i="27"/>
  <c r="AL96" i="27" s="1"/>
  <c r="AP96" i="27" s="1"/>
  <c r="AH92" i="27"/>
  <c r="AH88" i="27"/>
  <c r="AL88" i="27" s="1"/>
  <c r="AP88" i="27" s="1"/>
  <c r="AH84" i="27"/>
  <c r="AL84" i="27" s="1"/>
  <c r="AP84" i="27" s="1"/>
  <c r="AH76" i="27"/>
  <c r="AL76" i="27" s="1"/>
  <c r="AP76" i="27" s="1"/>
  <c r="AH29" i="27"/>
  <c r="AH17" i="27"/>
  <c r="AL17" i="27" s="1"/>
  <c r="AP17" i="27" s="1"/>
  <c r="AH141" i="27"/>
  <c r="AL141" i="27" s="1"/>
  <c r="AP141" i="27" s="1"/>
  <c r="AH137" i="27"/>
  <c r="AL137" i="27" s="1"/>
  <c r="AP137" i="27" s="1"/>
  <c r="AH121" i="27"/>
  <c r="AH5" i="27"/>
  <c r="AH9" i="27"/>
  <c r="AL9" i="27" s="1"/>
  <c r="AF10" i="27"/>
  <c r="AG10" i="27" s="1"/>
  <c r="AK10" i="27" s="1"/>
  <c r="AO10" i="27" s="1"/>
  <c r="AF11" i="27"/>
  <c r="AG11" i="27" s="1"/>
  <c r="AK11" i="27" s="1"/>
  <c r="AF13" i="27"/>
  <c r="AJ13" i="27" s="1"/>
  <c r="AN13" i="27" s="1"/>
  <c r="AF14" i="27"/>
  <c r="AG14" i="27" s="1"/>
  <c r="AK14" i="27" s="1"/>
  <c r="AO14" i="27" s="1"/>
  <c r="AF16" i="27"/>
  <c r="AG16" i="27" s="1"/>
  <c r="AK16" i="27" s="1"/>
  <c r="AF18" i="27"/>
  <c r="AF20" i="27"/>
  <c r="AG20" i="27" s="1"/>
  <c r="AK20" i="27" s="1"/>
  <c r="AI25" i="27"/>
  <c r="AM25" i="27" s="1"/>
  <c r="AQ25" i="27" s="1"/>
  <c r="AF26" i="27"/>
  <c r="AJ26" i="27" s="1"/>
  <c r="AN26" i="27" s="1"/>
  <c r="AF28" i="27"/>
  <c r="AF30" i="27"/>
  <c r="AG30" i="27" s="1"/>
  <c r="AK30" i="27" s="1"/>
  <c r="AF77" i="27"/>
  <c r="AG77" i="27" s="1"/>
  <c r="AK77" i="27" s="1"/>
  <c r="AH78" i="27"/>
  <c r="AL78" i="27" s="1"/>
  <c r="AP78" i="27" s="1"/>
  <c r="AH81" i="27"/>
  <c r="AF82" i="27"/>
  <c r="AG82" i="27" s="1"/>
  <c r="AK82" i="27" s="1"/>
  <c r="AF89" i="27"/>
  <c r="AG89" i="27" s="1"/>
  <c r="AK89" i="27" s="1"/>
  <c r="AF91" i="27"/>
  <c r="AG91" i="27" s="1"/>
  <c r="AK91" i="27" s="1"/>
  <c r="AF93" i="27"/>
  <c r="AF95" i="27"/>
  <c r="AG95" i="27" s="1"/>
  <c r="AK95" i="27" s="1"/>
  <c r="AF97" i="27"/>
  <c r="AG97" i="27" s="1"/>
  <c r="AK97" i="27" s="1"/>
  <c r="AF99" i="27"/>
  <c r="AG99" i="27" s="1"/>
  <c r="AK99" i="27" s="1"/>
  <c r="AF101" i="27"/>
  <c r="AF103" i="27"/>
  <c r="AG103" i="27" s="1"/>
  <c r="AF105" i="27"/>
  <c r="AG105" i="27" s="1"/>
  <c r="AK105" i="27" s="1"/>
  <c r="AO105" i="27" s="1"/>
  <c r="AF107" i="27"/>
  <c r="AG107" i="27" s="1"/>
  <c r="AK107" i="27" s="1"/>
  <c r="AF109" i="27"/>
  <c r="AF111" i="27"/>
  <c r="AJ111" i="27" s="1"/>
  <c r="AN111" i="27" s="1"/>
  <c r="AF113" i="27"/>
  <c r="AJ113" i="27" s="1"/>
  <c r="AN113" i="27" s="1"/>
  <c r="AH114" i="27"/>
  <c r="AL114" i="27" s="1"/>
  <c r="AP114" i="27" s="1"/>
  <c r="AI118" i="27"/>
  <c r="AH123" i="27"/>
  <c r="AI124" i="27"/>
  <c r="AM124" i="27" s="1"/>
  <c r="AQ124" i="27" s="1"/>
  <c r="AH125" i="27"/>
  <c r="AL125" i="27" s="1"/>
  <c r="AP125" i="27" s="1"/>
  <c r="AF133" i="27"/>
  <c r="AF135" i="27"/>
  <c r="AB4" i="27"/>
  <c r="AI4" i="27" s="1"/>
  <c r="X4" i="27"/>
  <c r="AH4" i="27" s="1"/>
  <c r="AB59" i="27"/>
  <c r="X59" i="27"/>
  <c r="AH59" i="27" s="1"/>
  <c r="AC113" i="27"/>
  <c r="Y113" i="27"/>
  <c r="AC111" i="27"/>
  <c r="Y111" i="27"/>
  <c r="AC109" i="27"/>
  <c r="Y109" i="27"/>
  <c r="AC107" i="27"/>
  <c r="Y107" i="27"/>
  <c r="AC105" i="27"/>
  <c r="Y105" i="27"/>
  <c r="AC103" i="27"/>
  <c r="Y103" i="27"/>
  <c r="AC101" i="27"/>
  <c r="Y101" i="27"/>
  <c r="AC99" i="27"/>
  <c r="Y99" i="27"/>
  <c r="AC97" i="27"/>
  <c r="Y97" i="27"/>
  <c r="AC95" i="27"/>
  <c r="Y95" i="27"/>
  <c r="AC93" i="27"/>
  <c r="Y93" i="27"/>
  <c r="AC91" i="27"/>
  <c r="Y91" i="27"/>
  <c r="AC89" i="27"/>
  <c r="Y89" i="27"/>
  <c r="AC87" i="27"/>
  <c r="Y87" i="27"/>
  <c r="AC85" i="27"/>
  <c r="Y85" i="27"/>
  <c r="AC83" i="27"/>
  <c r="Y83" i="27"/>
  <c r="AC81" i="27"/>
  <c r="Y81" i="27"/>
  <c r="AC79" i="27"/>
  <c r="Y79" i="27"/>
  <c r="AC77" i="27"/>
  <c r="Y77" i="27"/>
  <c r="AC75" i="27"/>
  <c r="Y75" i="27"/>
  <c r="AC73" i="27"/>
  <c r="Y73" i="27"/>
  <c r="AC71" i="27"/>
  <c r="Y71" i="27"/>
  <c r="AC57" i="27"/>
  <c r="Y57" i="27"/>
  <c r="AC55" i="27"/>
  <c r="Y55" i="27"/>
  <c r="AC53" i="27"/>
  <c r="Y53" i="27"/>
  <c r="AC51" i="27"/>
  <c r="Y51" i="27"/>
  <c r="AC49" i="27"/>
  <c r="Y49" i="27"/>
  <c r="AC47" i="27"/>
  <c r="Y47" i="27"/>
  <c r="AC45" i="27"/>
  <c r="Y45" i="27"/>
  <c r="AC43" i="27"/>
  <c r="Y43" i="27"/>
  <c r="AC41" i="27"/>
  <c r="Y41" i="27"/>
  <c r="AC39" i="27"/>
  <c r="Y39" i="27"/>
  <c r="AC37" i="27"/>
  <c r="Y37" i="27"/>
  <c r="AC35" i="27"/>
  <c r="Y35" i="27"/>
  <c r="AC33" i="27"/>
  <c r="Y33" i="27"/>
  <c r="AC31" i="27"/>
  <c r="Y31" i="27"/>
  <c r="AC29" i="27"/>
  <c r="Y29" i="27"/>
  <c r="V29" i="27"/>
  <c r="AC27" i="27"/>
  <c r="Y27" i="27"/>
  <c r="V27" i="27"/>
  <c r="AC25" i="27"/>
  <c r="Y25" i="27"/>
  <c r="V25" i="27"/>
  <c r="AC23" i="27"/>
  <c r="Y23" i="27"/>
  <c r="V23" i="27"/>
  <c r="AC21" i="27"/>
  <c r="Y21" i="27"/>
  <c r="V21" i="27"/>
  <c r="AC19" i="27"/>
  <c r="Y19" i="27"/>
  <c r="V19" i="27"/>
  <c r="AC17" i="27"/>
  <c r="Y17" i="27"/>
  <c r="V17" i="27"/>
  <c r="AC15" i="27"/>
  <c r="Y15" i="27"/>
  <c r="V15" i="27"/>
  <c r="AC13" i="27"/>
  <c r="Y13" i="27"/>
  <c r="V13" i="27"/>
  <c r="AC11" i="27"/>
  <c r="Y11" i="27"/>
  <c r="V11" i="27"/>
  <c r="AC9" i="27"/>
  <c r="Y9" i="27"/>
  <c r="V9" i="27"/>
  <c r="AC7" i="27"/>
  <c r="Y7" i="27"/>
  <c r="V7" i="27"/>
  <c r="AC5" i="27"/>
  <c r="Y5" i="27"/>
  <c r="V5" i="27"/>
  <c r="S169" i="27"/>
  <c r="AB169" i="27"/>
  <c r="X169" i="27"/>
  <c r="U169" i="27"/>
  <c r="AB150" i="27"/>
  <c r="X150" i="27"/>
  <c r="AH150" i="27" s="1"/>
  <c r="AL150" i="27" s="1"/>
  <c r="U150" i="27"/>
  <c r="AF5" i="27"/>
  <c r="AG5" i="27" s="1"/>
  <c r="AH6" i="27"/>
  <c r="AH7" i="27"/>
  <c r="AL7" i="27" s="1"/>
  <c r="AP7" i="27" s="1"/>
  <c r="AH8" i="27"/>
  <c r="AL8" i="27" s="1"/>
  <c r="AP8" i="27" s="1"/>
  <c r="AH11" i="27"/>
  <c r="AH12" i="27"/>
  <c r="AL12" i="27" s="1"/>
  <c r="AP12" i="27" s="1"/>
  <c r="AH13" i="27"/>
  <c r="AL13" i="27" s="1"/>
  <c r="AP13" i="27" s="1"/>
  <c r="AF79" i="27"/>
  <c r="AG79" i="27" s="1"/>
  <c r="AK79" i="27" s="1"/>
  <c r="AF80" i="27"/>
  <c r="AH85" i="27"/>
  <c r="AL85" i="27" s="1"/>
  <c r="AP85" i="27" s="1"/>
  <c r="AH87" i="27"/>
  <c r="AF125" i="27"/>
  <c r="AR128" i="27"/>
  <c r="AS128" i="27" s="1"/>
  <c r="AI150" i="27"/>
  <c r="L59" i="27"/>
  <c r="N59" i="27"/>
  <c r="Q59" i="27" s="1"/>
  <c r="S59" i="27"/>
  <c r="S4" i="27"/>
  <c r="AF4" i="27" s="1"/>
  <c r="AJ4" i="27" s="1"/>
  <c r="AR89" i="27"/>
  <c r="AS89" i="27" s="1"/>
  <c r="AR80" i="27"/>
  <c r="AS80" i="27" s="1"/>
  <c r="U59" i="27"/>
  <c r="AC112" i="27"/>
  <c r="Y112" i="27"/>
  <c r="AC110" i="27"/>
  <c r="Y110" i="27"/>
  <c r="AC108" i="27"/>
  <c r="Y108" i="27"/>
  <c r="AC106" i="27"/>
  <c r="Y106" i="27"/>
  <c r="AC104" i="27"/>
  <c r="Y104" i="27"/>
  <c r="AC102" i="27"/>
  <c r="Y102" i="27"/>
  <c r="AC100" i="27"/>
  <c r="Y100" i="27"/>
  <c r="AC98" i="27"/>
  <c r="Y98" i="27"/>
  <c r="AC96" i="27"/>
  <c r="Y96" i="27"/>
  <c r="AC94" i="27"/>
  <c r="Y94" i="27"/>
  <c r="AC92" i="27"/>
  <c r="Y92" i="27"/>
  <c r="AC90" i="27"/>
  <c r="Y90" i="27"/>
  <c r="AC88" i="27"/>
  <c r="Y88" i="27"/>
  <c r="AC86" i="27"/>
  <c r="Y86" i="27"/>
  <c r="AC84" i="27"/>
  <c r="Y84" i="27"/>
  <c r="AC82" i="27"/>
  <c r="Y82" i="27"/>
  <c r="AC80" i="27"/>
  <c r="Y80" i="27"/>
  <c r="AC78" i="27"/>
  <c r="Y78" i="27"/>
  <c r="AC76" i="27"/>
  <c r="Y76" i="27"/>
  <c r="AC74" i="27"/>
  <c r="Y74" i="27"/>
  <c r="AC72" i="27"/>
  <c r="Y72" i="27"/>
  <c r="AC70" i="27"/>
  <c r="Y70" i="27"/>
  <c r="AC58" i="27"/>
  <c r="Y58" i="27"/>
  <c r="AC56" i="27"/>
  <c r="Y56" i="27"/>
  <c r="AC54" i="27"/>
  <c r="Y54" i="27"/>
  <c r="AC52" i="27"/>
  <c r="Y52" i="27"/>
  <c r="AC50" i="27"/>
  <c r="Y50" i="27"/>
  <c r="AC48" i="27"/>
  <c r="Y48" i="27"/>
  <c r="AC46" i="27"/>
  <c r="Y46" i="27"/>
  <c r="AC44" i="27"/>
  <c r="Y44" i="27"/>
  <c r="AC42" i="27"/>
  <c r="Y42" i="27"/>
  <c r="AC40" i="27"/>
  <c r="Y40" i="27"/>
  <c r="AC38" i="27"/>
  <c r="Y38" i="27"/>
  <c r="AC36" i="27"/>
  <c r="Y36" i="27"/>
  <c r="AC34" i="27"/>
  <c r="Y34" i="27"/>
  <c r="AC32" i="27"/>
  <c r="Y32" i="27"/>
  <c r="AC30" i="27"/>
  <c r="Y30" i="27"/>
  <c r="AC28" i="27"/>
  <c r="Y28" i="27"/>
  <c r="V28" i="27"/>
  <c r="AC26" i="27"/>
  <c r="Y26" i="27"/>
  <c r="V26" i="27"/>
  <c r="AC24" i="27"/>
  <c r="Y24" i="27"/>
  <c r="V24" i="27"/>
  <c r="AC22" i="27"/>
  <c r="Y22" i="27"/>
  <c r="V22" i="27"/>
  <c r="AC20" i="27"/>
  <c r="Y20" i="27"/>
  <c r="V20" i="27"/>
  <c r="AC18" i="27"/>
  <c r="Y18" i="27"/>
  <c r="V18" i="27"/>
  <c r="AC16" i="27"/>
  <c r="Y16" i="27"/>
  <c r="V16" i="27"/>
  <c r="AC14" i="27"/>
  <c r="Y14" i="27"/>
  <c r="V14" i="27"/>
  <c r="AC12" i="27"/>
  <c r="Y12" i="27"/>
  <c r="V12" i="27"/>
  <c r="AC10" i="27"/>
  <c r="Y10" i="27"/>
  <c r="V10" i="27"/>
  <c r="AC8" i="27"/>
  <c r="Y8" i="27"/>
  <c r="V8" i="27"/>
  <c r="AC6" i="27"/>
  <c r="Y6" i="27"/>
  <c r="V6" i="27"/>
  <c r="P171" i="27"/>
  <c r="AB170" i="27"/>
  <c r="X170" i="27"/>
  <c r="U170" i="27"/>
  <c r="S170" i="27"/>
  <c r="AB168" i="27"/>
  <c r="X168" i="27"/>
  <c r="U168" i="27"/>
  <c r="S168" i="27"/>
  <c r="J60" i="27"/>
  <c r="L4" i="27"/>
  <c r="N4" i="27"/>
  <c r="Q4" i="27" s="1"/>
  <c r="O113" i="27"/>
  <c r="P113" i="27" s="1"/>
  <c r="O111" i="27"/>
  <c r="P111" i="27" s="1"/>
  <c r="O109" i="27"/>
  <c r="P109" i="27" s="1"/>
  <c r="O107" i="27"/>
  <c r="P107" i="27" s="1"/>
  <c r="O105" i="27"/>
  <c r="P105" i="27" s="1"/>
  <c r="O103" i="27"/>
  <c r="P103" i="27" s="1"/>
  <c r="O101" i="27"/>
  <c r="P101" i="27" s="1"/>
  <c r="O99" i="27"/>
  <c r="P99" i="27" s="1"/>
  <c r="O97" i="27"/>
  <c r="P97" i="27" s="1"/>
  <c r="O95" i="27"/>
  <c r="P95" i="27" s="1"/>
  <c r="O93" i="27"/>
  <c r="P93" i="27" s="1"/>
  <c r="O91" i="27"/>
  <c r="P91" i="27" s="1"/>
  <c r="O89" i="27"/>
  <c r="P89" i="27" s="1"/>
  <c r="O87" i="27"/>
  <c r="P87" i="27" s="1"/>
  <c r="O85" i="27"/>
  <c r="P85" i="27" s="1"/>
  <c r="O83" i="27"/>
  <c r="P83" i="27" s="1"/>
  <c r="O81" i="27"/>
  <c r="P81" i="27" s="1"/>
  <c r="O79" i="27"/>
  <c r="P79" i="27" s="1"/>
  <c r="O77" i="27"/>
  <c r="P77" i="27" s="1"/>
  <c r="O75" i="27"/>
  <c r="P75" i="27" s="1"/>
  <c r="O73" i="27"/>
  <c r="P73" i="27" s="1"/>
  <c r="O71" i="27"/>
  <c r="P71" i="27" s="1"/>
  <c r="O57" i="27"/>
  <c r="P57" i="27" s="1"/>
  <c r="O55" i="27"/>
  <c r="P55" i="27" s="1"/>
  <c r="O53" i="27"/>
  <c r="P53" i="27" s="1"/>
  <c r="O51" i="27"/>
  <c r="P51" i="27" s="1"/>
  <c r="O49" i="27"/>
  <c r="P49" i="27" s="1"/>
  <c r="O47" i="27"/>
  <c r="P47" i="27" s="1"/>
  <c r="O45" i="27"/>
  <c r="P45" i="27" s="1"/>
  <c r="O43" i="27"/>
  <c r="P43" i="27" s="1"/>
  <c r="O41" i="27"/>
  <c r="P41" i="27" s="1"/>
  <c r="O39" i="27"/>
  <c r="P39" i="27" s="1"/>
  <c r="O37" i="27"/>
  <c r="P37" i="27" s="1"/>
  <c r="O35" i="27"/>
  <c r="P35" i="27" s="1"/>
  <c r="O33" i="27"/>
  <c r="P33" i="27" s="1"/>
  <c r="O31" i="27"/>
  <c r="P31" i="27" s="1"/>
  <c r="O29" i="27"/>
  <c r="P29" i="27" s="1"/>
  <c r="O27" i="27"/>
  <c r="P27" i="27" s="1"/>
  <c r="O25" i="27"/>
  <c r="P25" i="27" s="1"/>
  <c r="R25" i="27" s="1"/>
  <c r="W24" i="27" s="1"/>
  <c r="O23" i="27"/>
  <c r="P23" i="27" s="1"/>
  <c r="O21" i="27"/>
  <c r="P21" i="27" s="1"/>
  <c r="O19" i="27"/>
  <c r="P19" i="27" s="1"/>
  <c r="O17" i="27"/>
  <c r="P17" i="27" s="1"/>
  <c r="O15" i="27"/>
  <c r="P15" i="27" s="1"/>
  <c r="O13" i="27"/>
  <c r="P13" i="27" s="1"/>
  <c r="O11" i="27"/>
  <c r="P11" i="27" s="1"/>
  <c r="O9" i="27"/>
  <c r="P9" i="27" s="1"/>
  <c r="O7" i="27"/>
  <c r="P7" i="27" s="1"/>
  <c r="O5" i="27"/>
  <c r="P5" i="27" s="1"/>
  <c r="T113" i="27"/>
  <c r="T112" i="27"/>
  <c r="T111" i="27"/>
  <c r="T110" i="27"/>
  <c r="T109" i="27"/>
  <c r="T108" i="27"/>
  <c r="T107" i="27"/>
  <c r="T106" i="27"/>
  <c r="T105" i="27"/>
  <c r="T104" i="27"/>
  <c r="T103" i="27"/>
  <c r="T102" i="27"/>
  <c r="T101" i="27"/>
  <c r="T100" i="27"/>
  <c r="T99" i="27"/>
  <c r="T98" i="27"/>
  <c r="T97" i="27"/>
  <c r="T96" i="27"/>
  <c r="T95" i="27"/>
  <c r="T94" i="27"/>
  <c r="T93" i="27"/>
  <c r="T92" i="27"/>
  <c r="T91" i="27"/>
  <c r="T90" i="27"/>
  <c r="T89" i="27"/>
  <c r="T88" i="27"/>
  <c r="T87" i="27"/>
  <c r="T86" i="27"/>
  <c r="T85" i="27"/>
  <c r="T84" i="27"/>
  <c r="T83" i="27"/>
  <c r="T82" i="27"/>
  <c r="T81" i="27"/>
  <c r="T80" i="27"/>
  <c r="T79" i="27"/>
  <c r="T78" i="27"/>
  <c r="T77" i="27"/>
  <c r="T76" i="27"/>
  <c r="T75" i="27"/>
  <c r="T74" i="27"/>
  <c r="T73" i="27"/>
  <c r="T72" i="27"/>
  <c r="T71" i="27"/>
  <c r="T70" i="27"/>
  <c r="T58" i="27"/>
  <c r="T57" i="27"/>
  <c r="T56" i="27"/>
  <c r="T55" i="27"/>
  <c r="T54" i="27"/>
  <c r="T53" i="27"/>
  <c r="T52" i="27"/>
  <c r="T51" i="27"/>
  <c r="T50" i="27"/>
  <c r="T49" i="27"/>
  <c r="T48" i="27"/>
  <c r="T47" i="27"/>
  <c r="T46" i="27"/>
  <c r="T45" i="27"/>
  <c r="T44" i="27"/>
  <c r="T43" i="27"/>
  <c r="T42" i="27"/>
  <c r="T41" i="27"/>
  <c r="T40" i="27"/>
  <c r="T39" i="27"/>
  <c r="T38" i="27"/>
  <c r="T37" i="27"/>
  <c r="T36" i="27"/>
  <c r="T35" i="27"/>
  <c r="T34" i="27"/>
  <c r="T33" i="27"/>
  <c r="T32" i="27"/>
  <c r="T31" i="27"/>
  <c r="T30" i="27"/>
  <c r="T29" i="27"/>
  <c r="T28" i="27"/>
  <c r="T27" i="27"/>
  <c r="T26" i="27"/>
  <c r="T25" i="27"/>
  <c r="T24" i="27"/>
  <c r="T23" i="27"/>
  <c r="T22" i="27"/>
  <c r="T21" i="27"/>
  <c r="T20" i="27"/>
  <c r="T19" i="27"/>
  <c r="T18" i="27"/>
  <c r="T17" i="27"/>
  <c r="T16" i="27"/>
  <c r="T15" i="27"/>
  <c r="T14" i="27"/>
  <c r="T13" i="27"/>
  <c r="T12" i="27"/>
  <c r="T11" i="27"/>
  <c r="T10" i="27"/>
  <c r="T9" i="27"/>
  <c r="T8" i="27"/>
  <c r="T7" i="27"/>
  <c r="T6" i="27"/>
  <c r="T5" i="27"/>
  <c r="U4" i="27"/>
  <c r="V113" i="27"/>
  <c r="V112" i="27"/>
  <c r="V111" i="27"/>
  <c r="V110" i="27"/>
  <c r="V109" i="27"/>
  <c r="V108" i="27"/>
  <c r="V107" i="27"/>
  <c r="V106" i="27"/>
  <c r="V105" i="27"/>
  <c r="V104" i="27"/>
  <c r="V103" i="27"/>
  <c r="V102" i="27"/>
  <c r="V101" i="27"/>
  <c r="V100" i="27"/>
  <c r="V99" i="27"/>
  <c r="V98" i="27"/>
  <c r="V97" i="27"/>
  <c r="V96" i="27"/>
  <c r="V95" i="27"/>
  <c r="V94" i="27"/>
  <c r="V93" i="27"/>
  <c r="V92" i="27"/>
  <c r="V91" i="27"/>
  <c r="V90" i="27"/>
  <c r="V89" i="27"/>
  <c r="V88" i="27"/>
  <c r="V87" i="27"/>
  <c r="V86" i="27"/>
  <c r="V85" i="27"/>
  <c r="V84" i="27"/>
  <c r="V83" i="27"/>
  <c r="V82" i="27"/>
  <c r="V81" i="27"/>
  <c r="V80" i="27"/>
  <c r="V79" i="27"/>
  <c r="V78" i="27"/>
  <c r="V77" i="27"/>
  <c r="V76" i="27"/>
  <c r="V75" i="27"/>
  <c r="V74" i="27"/>
  <c r="V73" i="27"/>
  <c r="V72" i="27"/>
  <c r="V71" i="27"/>
  <c r="V70" i="27"/>
  <c r="V58" i="27"/>
  <c r="V57" i="27"/>
  <c r="V56" i="27"/>
  <c r="V55" i="27"/>
  <c r="V54" i="27"/>
  <c r="V53" i="27"/>
  <c r="V52" i="27"/>
  <c r="V51" i="27"/>
  <c r="V50" i="27"/>
  <c r="V49" i="27"/>
  <c r="V48" i="27"/>
  <c r="V47" i="27"/>
  <c r="V46" i="27"/>
  <c r="V45" i="27"/>
  <c r="V44" i="27"/>
  <c r="V43" i="27"/>
  <c r="V42" i="27"/>
  <c r="V41" i="27"/>
  <c r="V40" i="27"/>
  <c r="V39" i="27"/>
  <c r="V38" i="27"/>
  <c r="V37" i="27"/>
  <c r="V36" i="27"/>
  <c r="V35" i="27"/>
  <c r="V34" i="27"/>
  <c r="V33" i="27"/>
  <c r="V32" i="27"/>
  <c r="V31" i="27"/>
  <c r="V30" i="27"/>
  <c r="AR12" i="27"/>
  <c r="AS12" i="27" s="1"/>
  <c r="AK8" i="27"/>
  <c r="AO8" i="27" s="1"/>
  <c r="AR119" i="27"/>
  <c r="AS119" i="27" s="1"/>
  <c r="AR133" i="27"/>
  <c r="AS133" i="27" s="1"/>
  <c r="AR70" i="27"/>
  <c r="AS70" i="27" s="1"/>
  <c r="AR71" i="27"/>
  <c r="AS71" i="27" s="1"/>
  <c r="AR72" i="27"/>
  <c r="AS72" i="27" s="1"/>
  <c r="AR73" i="27"/>
  <c r="AS73" i="27" s="1"/>
  <c r="AR74" i="27"/>
  <c r="AS74" i="27" s="1"/>
  <c r="AR75" i="27"/>
  <c r="AS75" i="27" s="1"/>
  <c r="AR76" i="27"/>
  <c r="AS76" i="27" s="1"/>
  <c r="AR77" i="27"/>
  <c r="AS77" i="27" s="1"/>
  <c r="AR78" i="27"/>
  <c r="AS78" i="27" s="1"/>
  <c r="AR15" i="27"/>
  <c r="AS15" i="27" s="1"/>
  <c r="AR16" i="27"/>
  <c r="AS16" i="27" s="1"/>
  <c r="AR17" i="27"/>
  <c r="AS17" i="27" s="1"/>
  <c r="AR18" i="27"/>
  <c r="AS18" i="27" s="1"/>
  <c r="AR19" i="27"/>
  <c r="AS19" i="27" s="1"/>
  <c r="AR20" i="27"/>
  <c r="AS20" i="27" s="1"/>
  <c r="AR21" i="27"/>
  <c r="AS21" i="27" s="1"/>
  <c r="AR22" i="27"/>
  <c r="AS22" i="27" s="1"/>
  <c r="AK5" i="27"/>
  <c r="AO5" i="27" s="1"/>
  <c r="AR90" i="27"/>
  <c r="AS90" i="27" s="1"/>
  <c r="AR91" i="27"/>
  <c r="AS91" i="27" s="1"/>
  <c r="AR92" i="27"/>
  <c r="AS92" i="27" s="1"/>
  <c r="AR93" i="27"/>
  <c r="AS93" i="27" s="1"/>
  <c r="AR94" i="27"/>
  <c r="AS94" i="27" s="1"/>
  <c r="AR95" i="27"/>
  <c r="AS95" i="27" s="1"/>
  <c r="AR96" i="27"/>
  <c r="AS96" i="27" s="1"/>
  <c r="AR97" i="27"/>
  <c r="AS97" i="27" s="1"/>
  <c r="AR98" i="27"/>
  <c r="AS98" i="27" s="1"/>
  <c r="AR99" i="27"/>
  <c r="AS99" i="27" s="1"/>
  <c r="AR100" i="27"/>
  <c r="AS100" i="27" s="1"/>
  <c r="AR101" i="27"/>
  <c r="AS101" i="27" s="1"/>
  <c r="AR102" i="27"/>
  <c r="AS102" i="27" s="1"/>
  <c r="AK104" i="27"/>
  <c r="AO104" i="27" s="1"/>
  <c r="AK108" i="27"/>
  <c r="AO108" i="27" s="1"/>
  <c r="AR110" i="27"/>
  <c r="AS110" i="27" s="1"/>
  <c r="AR111" i="27"/>
  <c r="AS111" i="27" s="1"/>
  <c r="AR112" i="27"/>
  <c r="AS112" i="27" s="1"/>
  <c r="AR113" i="27"/>
  <c r="AS113" i="27" s="1"/>
  <c r="AR125" i="27"/>
  <c r="AS125" i="27" s="1"/>
  <c r="AR135" i="27"/>
  <c r="AS135" i="27" s="1"/>
  <c r="AR26" i="27"/>
  <c r="AS26" i="27" s="1"/>
  <c r="AR27" i="27"/>
  <c r="AS27" i="27" s="1"/>
  <c r="AR28" i="27"/>
  <c r="AS28" i="27" s="1"/>
  <c r="AR29" i="27"/>
  <c r="AS29" i="27" s="1"/>
  <c r="AR30" i="27"/>
  <c r="AS30" i="27" s="1"/>
  <c r="AR31" i="27"/>
  <c r="AS31" i="27" s="1"/>
  <c r="AR32" i="27"/>
  <c r="AS32" i="27" s="1"/>
  <c r="AR33" i="27"/>
  <c r="AS33" i="27" s="1"/>
  <c r="AR34" i="27"/>
  <c r="AS34" i="27" s="1"/>
  <c r="AR35" i="27"/>
  <c r="AS35" i="27" s="1"/>
  <c r="AR36" i="27"/>
  <c r="AS36" i="27" s="1"/>
  <c r="AR37" i="27"/>
  <c r="AS37" i="27" s="1"/>
  <c r="AR38" i="27"/>
  <c r="AS38" i="27" s="1"/>
  <c r="AR39" i="27"/>
  <c r="AS39" i="27" s="1"/>
  <c r="AR40" i="27"/>
  <c r="AS40" i="27" s="1"/>
  <c r="AR41" i="27"/>
  <c r="AS41" i="27" s="1"/>
  <c r="AR42" i="27"/>
  <c r="AS42" i="27" s="1"/>
  <c r="AR43" i="27"/>
  <c r="AS43" i="27" s="1"/>
  <c r="AR44" i="27"/>
  <c r="AS44" i="27" s="1"/>
  <c r="AR45" i="27"/>
  <c r="AS45" i="27" s="1"/>
  <c r="AR46" i="27"/>
  <c r="AS46" i="27" s="1"/>
  <c r="AF48" i="27"/>
  <c r="AJ48" i="27" s="1"/>
  <c r="AR48" i="27"/>
  <c r="AS48" i="27" s="1"/>
  <c r="W50" i="27"/>
  <c r="AA50" i="27" s="1"/>
  <c r="AA51" i="27" s="1"/>
  <c r="AA52" i="27" s="1"/>
  <c r="AA53" i="27" s="1"/>
  <c r="AM54" i="27"/>
  <c r="AQ54" i="27" s="1"/>
  <c r="AM56" i="27"/>
  <c r="AQ56" i="27" s="1"/>
  <c r="AF47" i="27"/>
  <c r="AJ47" i="27" s="1"/>
  <c r="AR47" i="27"/>
  <c r="AS47" i="27" s="1"/>
  <c r="AM47" i="27"/>
  <c r="AQ47" i="27" s="1"/>
  <c r="AF49" i="27"/>
  <c r="AJ49" i="27" s="1"/>
  <c r="AR49" i="27"/>
  <c r="AS49" i="27" s="1"/>
  <c r="AO11" i="27"/>
  <c r="AF50" i="27"/>
  <c r="AJ50" i="27" s="1"/>
  <c r="AF51" i="27"/>
  <c r="AJ51" i="27" s="1"/>
  <c r="AF52" i="27"/>
  <c r="AJ52" i="27" s="1"/>
  <c r="AF53" i="27"/>
  <c r="AJ53" i="27" s="1"/>
  <c r="AF54" i="27"/>
  <c r="AJ54" i="27" s="1"/>
  <c r="AR54" i="27"/>
  <c r="AS54" i="27" s="1"/>
  <c r="AF55" i="27"/>
  <c r="AJ55" i="27" s="1"/>
  <c r="AR55" i="27"/>
  <c r="AS55" i="27" s="1"/>
  <c r="AF56" i="27"/>
  <c r="AJ56" i="27" s="1"/>
  <c r="AR56" i="27"/>
  <c r="AS56" i="27" s="1"/>
  <c r="AF57" i="27"/>
  <c r="AJ57" i="27" s="1"/>
  <c r="AR57" i="27"/>
  <c r="AS57" i="27" s="1"/>
  <c r="AM58" i="27"/>
  <c r="AQ58" i="27" s="1"/>
  <c r="AJ5" i="27"/>
  <c r="AN5" i="27" s="1"/>
  <c r="AR5" i="27"/>
  <c r="AS5" i="27" s="1"/>
  <c r="AJ6" i="27"/>
  <c r="AN6" i="27" s="1"/>
  <c r="AL6" i="27"/>
  <c r="AP6" i="27" s="1"/>
  <c r="AR7" i="27"/>
  <c r="AS7" i="27" s="1"/>
  <c r="AJ8" i="27"/>
  <c r="AN8" i="27" s="1"/>
  <c r="AR8" i="27"/>
  <c r="AS8" i="27" s="1"/>
  <c r="AJ9" i="27"/>
  <c r="AN9" i="27" s="1"/>
  <c r="AR10" i="27"/>
  <c r="AS10" i="27" s="1"/>
  <c r="AJ11" i="27"/>
  <c r="AN11" i="27" s="1"/>
  <c r="AR11" i="27"/>
  <c r="AS11" i="27" s="1"/>
  <c r="AR13" i="27"/>
  <c r="AS13" i="27" s="1"/>
  <c r="AJ14" i="27"/>
  <c r="AN14" i="27" s="1"/>
  <c r="AR14" i="27"/>
  <c r="AS14" i="27" s="1"/>
  <c r="AN15" i="27"/>
  <c r="R4" i="27"/>
  <c r="AI5" i="27"/>
  <c r="AG6" i="27"/>
  <c r="AK6" i="27" s="1"/>
  <c r="AI6" i="27"/>
  <c r="AI7" i="27"/>
  <c r="AI8" i="27"/>
  <c r="AM8" i="27" s="1"/>
  <c r="AG9" i="27"/>
  <c r="AK9" i="27" s="1"/>
  <c r="AI9" i="27"/>
  <c r="AM9" i="27" s="1"/>
  <c r="AI10" i="27"/>
  <c r="AM10" i="27" s="1"/>
  <c r="AI11" i="27"/>
  <c r="AG12" i="27"/>
  <c r="AK12" i="27" s="1"/>
  <c r="AI12" i="27"/>
  <c r="AI13" i="27"/>
  <c r="AM13" i="27" s="1"/>
  <c r="AI14" i="27"/>
  <c r="AG15" i="27"/>
  <c r="AK15" i="27" s="1"/>
  <c r="AI15" i="27"/>
  <c r="AI16" i="27"/>
  <c r="AM16" i="27" s="1"/>
  <c r="AG17" i="27"/>
  <c r="AK17" i="27" s="1"/>
  <c r="AI17" i="27"/>
  <c r="AG18" i="27"/>
  <c r="AK18" i="27" s="1"/>
  <c r="AI18" i="27"/>
  <c r="AG19" i="27"/>
  <c r="AK19" i="27" s="1"/>
  <c r="AI19" i="27"/>
  <c r="AI20" i="27"/>
  <c r="AI21" i="27"/>
  <c r="AG22" i="27"/>
  <c r="AK22" i="27" s="1"/>
  <c r="AI22" i="27"/>
  <c r="AM22" i="27" s="1"/>
  <c r="AF25" i="27"/>
  <c r="AJ25" i="27" s="1"/>
  <c r="AH25" i="27"/>
  <c r="AL25" i="27" s="1"/>
  <c r="AI26" i="27"/>
  <c r="AG27" i="27"/>
  <c r="AK27" i="27" s="1"/>
  <c r="AI27" i="27"/>
  <c r="AG28" i="27"/>
  <c r="AK28" i="27" s="1"/>
  <c r="AI28" i="27"/>
  <c r="AG29" i="27"/>
  <c r="AK29" i="27" s="1"/>
  <c r="AI29" i="27"/>
  <c r="AI30" i="27"/>
  <c r="AG31" i="27"/>
  <c r="AK31" i="27" s="1"/>
  <c r="AI31" i="27"/>
  <c r="AM31" i="27" s="1"/>
  <c r="AG32" i="27"/>
  <c r="AK32" i="27" s="1"/>
  <c r="AI32" i="27"/>
  <c r="AG33" i="27"/>
  <c r="AK33" i="27" s="1"/>
  <c r="AI33" i="27"/>
  <c r="AM33" i="27" s="1"/>
  <c r="AG34" i="27"/>
  <c r="AK34" i="27" s="1"/>
  <c r="AI34" i="27"/>
  <c r="AG35" i="27"/>
  <c r="AK35" i="27" s="1"/>
  <c r="AI35" i="27"/>
  <c r="AG36" i="27"/>
  <c r="AK36" i="27" s="1"/>
  <c r="AI36" i="27"/>
  <c r="AG37" i="27"/>
  <c r="AK37" i="27" s="1"/>
  <c r="AI37" i="27"/>
  <c r="AG38" i="27"/>
  <c r="AK38" i="27" s="1"/>
  <c r="AI38" i="27"/>
  <c r="AG39" i="27"/>
  <c r="AK39" i="27" s="1"/>
  <c r="AI39" i="27"/>
  <c r="AG40" i="27"/>
  <c r="AK40" i="27" s="1"/>
  <c r="AI40" i="27"/>
  <c r="AI41" i="27"/>
  <c r="AG42" i="27"/>
  <c r="AK42" i="27" s="1"/>
  <c r="AI42" i="27"/>
  <c r="AI43" i="27"/>
  <c r="AG44" i="27"/>
  <c r="AK44" i="27" s="1"/>
  <c r="AI44" i="27"/>
  <c r="AG45" i="27"/>
  <c r="AK45" i="27" s="1"/>
  <c r="AI45" i="27"/>
  <c r="AI46" i="27"/>
  <c r="AH47" i="27"/>
  <c r="AI48" i="27"/>
  <c r="AM48" i="27" s="1"/>
  <c r="AH54" i="27"/>
  <c r="AL54" i="27" s="1"/>
  <c r="AH55" i="27"/>
  <c r="AL55" i="27" s="1"/>
  <c r="AH56" i="27"/>
  <c r="AL56" i="27" s="1"/>
  <c r="AM57" i="27"/>
  <c r="AQ57" i="27" s="1"/>
  <c r="W67" i="27"/>
  <c r="AL5" i="27"/>
  <c r="AP5" i="27" s="1"/>
  <c r="AL11" i="27"/>
  <c r="AP11" i="27" s="1"/>
  <c r="AJ12" i="27"/>
  <c r="AN12" i="27" s="1"/>
  <c r="AL14" i="27"/>
  <c r="AP14" i="27" s="1"/>
  <c r="AL15" i="27"/>
  <c r="AP15" i="27" s="1"/>
  <c r="AL16" i="27"/>
  <c r="AP16" i="27" s="1"/>
  <c r="AJ18" i="27"/>
  <c r="AN18" i="27" s="1"/>
  <c r="AL18" i="27"/>
  <c r="AP18" i="27" s="1"/>
  <c r="AL19" i="27"/>
  <c r="AP19" i="27" s="1"/>
  <c r="AJ20" i="27"/>
  <c r="AN20" i="27" s="1"/>
  <c r="AL20" i="27"/>
  <c r="AP20" i="27" s="1"/>
  <c r="AJ21" i="27"/>
  <c r="AN21" i="27" s="1"/>
  <c r="AL21" i="27"/>
  <c r="AP21" i="27" s="1"/>
  <c r="AL22" i="27"/>
  <c r="AP22" i="27" s="1"/>
  <c r="AL26" i="27"/>
  <c r="AP26" i="27" s="1"/>
  <c r="AL27" i="27"/>
  <c r="AP27" i="27" s="1"/>
  <c r="AJ28" i="27"/>
  <c r="AN28" i="27" s="1"/>
  <c r="AL28" i="27"/>
  <c r="AP28" i="27" s="1"/>
  <c r="AJ29" i="27"/>
  <c r="AN29" i="27" s="1"/>
  <c r="AL29" i="27"/>
  <c r="AP29" i="27" s="1"/>
  <c r="AL31" i="27"/>
  <c r="AP31" i="27" s="1"/>
  <c r="AJ32" i="27"/>
  <c r="AN32" i="27" s="1"/>
  <c r="AL32" i="27"/>
  <c r="AP32" i="27" s="1"/>
  <c r="AJ33" i="27"/>
  <c r="AN33" i="27" s="1"/>
  <c r="AL33" i="27"/>
  <c r="AP33" i="27" s="1"/>
  <c r="AJ34" i="27"/>
  <c r="AN34" i="27" s="1"/>
  <c r="AL34" i="27"/>
  <c r="AP34" i="27" s="1"/>
  <c r="AJ35" i="27"/>
  <c r="AN35" i="27" s="1"/>
  <c r="AL35" i="27"/>
  <c r="AP35" i="27" s="1"/>
  <c r="AJ36" i="27"/>
  <c r="AN36" i="27" s="1"/>
  <c r="AJ37" i="27"/>
  <c r="AN37" i="27" s="1"/>
  <c r="AL37" i="27"/>
  <c r="AP37" i="27" s="1"/>
  <c r="AJ38" i="27"/>
  <c r="AN38" i="27" s="1"/>
  <c r="AJ39" i="27"/>
  <c r="AN39" i="27" s="1"/>
  <c r="AL39" i="27"/>
  <c r="AP39" i="27" s="1"/>
  <c r="AJ40" i="27"/>
  <c r="AN40" i="27" s="1"/>
  <c r="AL40" i="27"/>
  <c r="AP40" i="27" s="1"/>
  <c r="AL41" i="27"/>
  <c r="AP41" i="27" s="1"/>
  <c r="AJ42" i="27"/>
  <c r="AN42" i="27" s="1"/>
  <c r="AL42" i="27"/>
  <c r="AP42" i="27" s="1"/>
  <c r="AJ44" i="27"/>
  <c r="AN44" i="27" s="1"/>
  <c r="AJ45" i="27"/>
  <c r="AN45" i="27" s="1"/>
  <c r="AL45" i="27"/>
  <c r="AP45" i="27" s="1"/>
  <c r="AH48" i="27"/>
  <c r="AL48" i="27" s="1"/>
  <c r="AI104" i="27"/>
  <c r="AM104" i="27" s="1"/>
  <c r="AI106" i="27"/>
  <c r="AM106" i="27" s="1"/>
  <c r="AI108" i="27"/>
  <c r="AM108" i="27" s="1"/>
  <c r="AL109" i="27"/>
  <c r="AP109" i="27" s="1"/>
  <c r="AM116" i="27"/>
  <c r="AQ116" i="27" s="1"/>
  <c r="AM118" i="27"/>
  <c r="AQ118" i="27" s="1"/>
  <c r="AM127" i="27"/>
  <c r="AQ127" i="27" s="1"/>
  <c r="AM130" i="27"/>
  <c r="AQ130" i="27" s="1"/>
  <c r="AM152" i="27"/>
  <c r="AQ152" i="27" s="1"/>
  <c r="AM154" i="27"/>
  <c r="AQ154" i="27" s="1"/>
  <c r="AH57" i="27"/>
  <c r="AL57" i="27" s="1"/>
  <c r="AR58" i="27"/>
  <c r="AS58" i="27" s="1"/>
  <c r="AF58" i="27"/>
  <c r="AJ58" i="27" s="1"/>
  <c r="AH58" i="27"/>
  <c r="AL58" i="27" s="1"/>
  <c r="AI59" i="27"/>
  <c r="AM59" i="27" s="1"/>
  <c r="J61" i="27"/>
  <c r="AG70" i="27"/>
  <c r="AK70" i="27" s="1"/>
  <c r="AI70" i="27"/>
  <c r="AM70" i="27" s="1"/>
  <c r="AG71" i="27"/>
  <c r="AK71" i="27" s="1"/>
  <c r="AI71" i="27"/>
  <c r="AG72" i="27"/>
  <c r="AK72" i="27" s="1"/>
  <c r="AI72" i="27"/>
  <c r="AM72" i="27" s="1"/>
  <c r="AG73" i="27"/>
  <c r="AK73" i="27" s="1"/>
  <c r="AI73" i="27"/>
  <c r="AG74" i="27"/>
  <c r="AK74" i="27" s="1"/>
  <c r="AI74" i="27"/>
  <c r="AM74" i="27" s="1"/>
  <c r="AG75" i="27"/>
  <c r="AK75" i="27" s="1"/>
  <c r="AI75" i="27"/>
  <c r="AI76" i="27"/>
  <c r="AM76" i="27" s="1"/>
  <c r="AI77" i="27"/>
  <c r="AI78" i="27"/>
  <c r="AM78" i="27" s="1"/>
  <c r="AI79" i="27"/>
  <c r="AG80" i="27"/>
  <c r="AK80" i="27" s="1"/>
  <c r="AI80" i="27"/>
  <c r="AM80" i="27" s="1"/>
  <c r="AG81" i="27"/>
  <c r="AK81" i="27" s="1"/>
  <c r="AI81" i="27"/>
  <c r="AI82" i="27"/>
  <c r="AM82" i="27" s="1"/>
  <c r="AG83" i="27"/>
  <c r="AK83" i="27" s="1"/>
  <c r="AI83" i="27"/>
  <c r="AG84" i="27"/>
  <c r="AK84" i="27" s="1"/>
  <c r="AI84" i="27"/>
  <c r="AM84" i="27" s="1"/>
  <c r="AG85" i="27"/>
  <c r="AK85" i="27" s="1"/>
  <c r="AI85" i="27"/>
  <c r="AG86" i="27"/>
  <c r="AK86" i="27" s="1"/>
  <c r="AI86" i="27"/>
  <c r="AM86" i="27" s="1"/>
  <c r="AG87" i="27"/>
  <c r="AK87" i="27" s="1"/>
  <c r="AI87" i="27"/>
  <c r="AI88" i="27"/>
  <c r="AM88" i="27" s="1"/>
  <c r="AI89" i="27"/>
  <c r="AI90" i="27"/>
  <c r="AM90" i="27" s="1"/>
  <c r="AI91" i="27"/>
  <c r="AG92" i="27"/>
  <c r="AK92" i="27" s="1"/>
  <c r="AI92" i="27"/>
  <c r="AM92" i="27" s="1"/>
  <c r="AG93" i="27"/>
  <c r="AK93" i="27" s="1"/>
  <c r="AI93" i="27"/>
  <c r="AI94" i="27"/>
  <c r="AM94" i="27" s="1"/>
  <c r="AI95" i="27"/>
  <c r="AI96" i="27"/>
  <c r="AM96" i="27" s="1"/>
  <c r="AI97" i="27"/>
  <c r="AG98" i="27"/>
  <c r="AK98" i="27" s="1"/>
  <c r="AI98" i="27"/>
  <c r="AM98" i="27" s="1"/>
  <c r="AI99" i="27"/>
  <c r="AI100" i="27"/>
  <c r="AM100" i="27" s="1"/>
  <c r="AG101" i="27"/>
  <c r="AK101" i="27" s="1"/>
  <c r="AI101" i="27"/>
  <c r="AG102" i="27"/>
  <c r="AK102" i="27" s="1"/>
  <c r="AI102" i="27"/>
  <c r="AM102" i="27" s="1"/>
  <c r="AL103" i="27"/>
  <c r="AP103" i="27" s="1"/>
  <c r="AJ104" i="27"/>
  <c r="AN104" i="27" s="1"/>
  <c r="AR104" i="27"/>
  <c r="AS104" i="27" s="1"/>
  <c r="AL105" i="27"/>
  <c r="AP105" i="27" s="1"/>
  <c r="AR106" i="27"/>
  <c r="AS106" i="27" s="1"/>
  <c r="AL107" i="27"/>
  <c r="AP107" i="27" s="1"/>
  <c r="AJ108" i="27"/>
  <c r="AN108" i="27" s="1"/>
  <c r="AR108" i="27"/>
  <c r="AS108" i="27" s="1"/>
  <c r="AI103" i="27"/>
  <c r="AM103" i="27" s="1"/>
  <c r="AI105" i="27"/>
  <c r="AM105" i="27" s="1"/>
  <c r="AI107" i="27"/>
  <c r="AM107" i="27" s="1"/>
  <c r="AR109" i="27"/>
  <c r="AS109" i="27" s="1"/>
  <c r="AI109" i="27"/>
  <c r="AM109" i="27" s="1"/>
  <c r="AJ109" i="27"/>
  <c r="AN109" i="27" s="1"/>
  <c r="AG109" i="27"/>
  <c r="AK109" i="27" s="1"/>
  <c r="AM115" i="27"/>
  <c r="AQ115" i="27" s="1"/>
  <c r="AM117" i="27"/>
  <c r="AQ117" i="27" s="1"/>
  <c r="AM129" i="27"/>
  <c r="AQ129" i="27" s="1"/>
  <c r="AM131" i="27"/>
  <c r="AQ131" i="27" s="1"/>
  <c r="AM134" i="27"/>
  <c r="AQ134" i="27" s="1"/>
  <c r="AM151" i="27"/>
  <c r="AQ151" i="27" s="1"/>
  <c r="AM155" i="27"/>
  <c r="AQ155" i="27" s="1"/>
  <c r="AJ70" i="27"/>
  <c r="AN70" i="27" s="1"/>
  <c r="AJ71" i="27"/>
  <c r="AN71" i="27" s="1"/>
  <c r="AJ72" i="27"/>
  <c r="AN72" i="27" s="1"/>
  <c r="AL72" i="27"/>
  <c r="AP72" i="27" s="1"/>
  <c r="AJ73" i="27"/>
  <c r="AN73" i="27" s="1"/>
  <c r="AJ74" i="27"/>
  <c r="AN74" i="27" s="1"/>
  <c r="AL74" i="27"/>
  <c r="AP74" i="27" s="1"/>
  <c r="AJ75" i="27"/>
  <c r="AN75" i="27" s="1"/>
  <c r="AL75" i="27"/>
  <c r="AP75" i="27" s="1"/>
  <c r="AJ77" i="27"/>
  <c r="AN77" i="27" s="1"/>
  <c r="AL77" i="27"/>
  <c r="AP77" i="27" s="1"/>
  <c r="AJ79" i="27"/>
  <c r="AN79" i="27" s="1"/>
  <c r="AL79" i="27"/>
  <c r="AP79" i="27" s="1"/>
  <c r="AJ80" i="27"/>
  <c r="AN80" i="27" s="1"/>
  <c r="AJ81" i="27"/>
  <c r="AN81" i="27" s="1"/>
  <c r="AL81" i="27"/>
  <c r="AP81" i="27" s="1"/>
  <c r="AJ83" i="27"/>
  <c r="AN83" i="27" s="1"/>
  <c r="AL83" i="27"/>
  <c r="AP83" i="27" s="1"/>
  <c r="AJ85" i="27"/>
  <c r="AN85" i="27" s="1"/>
  <c r="AJ86" i="27"/>
  <c r="AN86" i="27" s="1"/>
  <c r="AJ87" i="27"/>
  <c r="AN87" i="27" s="1"/>
  <c r="AL87" i="27"/>
  <c r="AP87" i="27" s="1"/>
  <c r="AJ88" i="27"/>
  <c r="AN88" i="27" s="1"/>
  <c r="AJ91" i="27"/>
  <c r="AN91" i="27" s="1"/>
  <c r="AL91" i="27"/>
  <c r="AP91" i="27" s="1"/>
  <c r="AJ92" i="27"/>
  <c r="AN92" i="27" s="1"/>
  <c r="AL92" i="27"/>
  <c r="AP92" i="27" s="1"/>
  <c r="AJ93" i="27"/>
  <c r="AN93" i="27" s="1"/>
  <c r="AL93" i="27"/>
  <c r="AP93" i="27" s="1"/>
  <c r="AL94" i="27"/>
  <c r="AP94" i="27" s="1"/>
  <c r="AJ95" i="27"/>
  <c r="AN95" i="27" s="1"/>
  <c r="AL95" i="27"/>
  <c r="AP95" i="27" s="1"/>
  <c r="AL97" i="27"/>
  <c r="AP97" i="27" s="1"/>
  <c r="AJ98" i="27"/>
  <c r="AN98" i="27" s="1"/>
  <c r="AJ99" i="27"/>
  <c r="AN99" i="27" s="1"/>
  <c r="AL99" i="27"/>
  <c r="AP99" i="27" s="1"/>
  <c r="AJ101" i="27"/>
  <c r="AN101" i="27" s="1"/>
  <c r="AL101" i="27"/>
  <c r="AP101" i="27" s="1"/>
  <c r="AJ102" i="27"/>
  <c r="AN102" i="27" s="1"/>
  <c r="AJ103" i="27"/>
  <c r="AN103" i="27" s="1"/>
  <c r="AR103" i="27"/>
  <c r="AS103" i="27" s="1"/>
  <c r="AL104" i="27"/>
  <c r="AP104" i="27" s="1"/>
  <c r="AR105" i="27"/>
  <c r="AS105" i="27" s="1"/>
  <c r="AJ107" i="27"/>
  <c r="AN107" i="27" s="1"/>
  <c r="AR107" i="27"/>
  <c r="AS107" i="27" s="1"/>
  <c r="AL108" i="27"/>
  <c r="AP108" i="27" s="1"/>
  <c r="AI147" i="27"/>
  <c r="AM147" i="27" s="1"/>
  <c r="AI149" i="27"/>
  <c r="AM149" i="27" s="1"/>
  <c r="AH151" i="27"/>
  <c r="AL151" i="27" s="1"/>
  <c r="AH152" i="27"/>
  <c r="AL152" i="27" s="1"/>
  <c r="AH153" i="27"/>
  <c r="AL153" i="27" s="1"/>
  <c r="AH154" i="27"/>
  <c r="AL154" i="27" s="1"/>
  <c r="AH155" i="27"/>
  <c r="AL155" i="27" s="1"/>
  <c r="AH156" i="27"/>
  <c r="AL156" i="27" s="1"/>
  <c r="AM158" i="27"/>
  <c r="AQ158" i="27" s="1"/>
  <c r="AM160" i="27"/>
  <c r="AQ160" i="27" s="1"/>
  <c r="AM162" i="27"/>
  <c r="AQ162" i="27" s="1"/>
  <c r="AM164" i="27"/>
  <c r="AQ164" i="27" s="1"/>
  <c r="AM166" i="27"/>
  <c r="AQ166" i="27" s="1"/>
  <c r="AI110" i="27"/>
  <c r="AG111" i="27"/>
  <c r="AK111" i="27" s="1"/>
  <c r="AI111" i="27"/>
  <c r="AM111" i="27" s="1"/>
  <c r="AI112" i="27"/>
  <c r="AG113" i="27"/>
  <c r="AK113" i="27" s="1"/>
  <c r="AI113" i="27"/>
  <c r="AM113" i="27" s="1"/>
  <c r="AI114" i="27"/>
  <c r="AH115" i="27"/>
  <c r="AH116" i="27"/>
  <c r="AL116" i="27" s="1"/>
  <c r="AH117" i="27"/>
  <c r="AF118" i="27"/>
  <c r="AJ118" i="27" s="1"/>
  <c r="AH118" i="27"/>
  <c r="AI119" i="27"/>
  <c r="AI120" i="27"/>
  <c r="AI121" i="27"/>
  <c r="AI122" i="27"/>
  <c r="AI123" i="27"/>
  <c r="AF124" i="27"/>
  <c r="AJ124" i="27" s="1"/>
  <c r="AH124" i="27"/>
  <c r="AG125" i="27"/>
  <c r="AK125" i="27" s="1"/>
  <c r="AI125" i="27"/>
  <c r="AI126" i="27"/>
  <c r="AM126" i="27" s="1"/>
  <c r="AR127" i="27"/>
  <c r="AS127" i="27" s="1"/>
  <c r="AF127" i="27"/>
  <c r="AJ127" i="27" s="1"/>
  <c r="AH127" i="27"/>
  <c r="AL127" i="27" s="1"/>
  <c r="AI128" i="27"/>
  <c r="AF129" i="27"/>
  <c r="AJ129" i="27" s="1"/>
  <c r="AH129" i="27"/>
  <c r="AH130" i="27"/>
  <c r="AH131" i="27"/>
  <c r="AH132" i="27"/>
  <c r="AG133" i="27"/>
  <c r="AK133" i="27" s="1"/>
  <c r="AI133" i="27"/>
  <c r="AF134" i="27"/>
  <c r="AJ134" i="27" s="1"/>
  <c r="AH134" i="27"/>
  <c r="AG135" i="27"/>
  <c r="AK135" i="27" s="1"/>
  <c r="AI135" i="27"/>
  <c r="AI136" i="27"/>
  <c r="AM136" i="27" s="1"/>
  <c r="AI137" i="27"/>
  <c r="AI138" i="27"/>
  <c r="AM138" i="27" s="1"/>
  <c r="AI139" i="27"/>
  <c r="AI140" i="27"/>
  <c r="AM140" i="27" s="1"/>
  <c r="AI141" i="27"/>
  <c r="AI142" i="27"/>
  <c r="AM142" i="27" s="1"/>
  <c r="AI143" i="27"/>
  <c r="AI144" i="27"/>
  <c r="AM144" i="27" s="1"/>
  <c r="AI145" i="27"/>
  <c r="AI146" i="27"/>
  <c r="AM146" i="27" s="1"/>
  <c r="AL148" i="27"/>
  <c r="AP148" i="27" s="1"/>
  <c r="AH168" i="27"/>
  <c r="AL168" i="27" s="1"/>
  <c r="AI148" i="27"/>
  <c r="AM148" i="27" s="1"/>
  <c r="AI170" i="27"/>
  <c r="AM170" i="27" s="1"/>
  <c r="AI169" i="27"/>
  <c r="AM169" i="27" s="1"/>
  <c r="AM157" i="27"/>
  <c r="AQ157" i="27" s="1"/>
  <c r="AM159" i="27"/>
  <c r="AQ159" i="27" s="1"/>
  <c r="AM163" i="27"/>
  <c r="AQ163" i="27" s="1"/>
  <c r="AM165" i="27"/>
  <c r="AQ165" i="27" s="1"/>
  <c r="AM167" i="27"/>
  <c r="AQ167" i="27" s="1"/>
  <c r="AJ110" i="27"/>
  <c r="AN110" i="27" s="1"/>
  <c r="AL110" i="27"/>
  <c r="AP110" i="27" s="1"/>
  <c r="AL111" i="27"/>
  <c r="AP111" i="27" s="1"/>
  <c r="AL113" i="27"/>
  <c r="AP113" i="27" s="1"/>
  <c r="AL119" i="27"/>
  <c r="AP119" i="27" s="1"/>
  <c r="AL120" i="27"/>
  <c r="AP120" i="27" s="1"/>
  <c r="AL121" i="27"/>
  <c r="AP121" i="27" s="1"/>
  <c r="AL122" i="27"/>
  <c r="AP122" i="27" s="1"/>
  <c r="AL123" i="27"/>
  <c r="AP123" i="27" s="1"/>
  <c r="AJ125" i="27"/>
  <c r="AN125" i="27" s="1"/>
  <c r="AJ128" i="27"/>
  <c r="AN128" i="27" s="1"/>
  <c r="AL128" i="27"/>
  <c r="AP128" i="27" s="1"/>
  <c r="AJ133" i="27"/>
  <c r="AN133" i="27" s="1"/>
  <c r="AL133" i="27"/>
  <c r="AP133" i="27" s="1"/>
  <c r="AJ135" i="27"/>
  <c r="AN135" i="27" s="1"/>
  <c r="AL135" i="27"/>
  <c r="AP135" i="27" s="1"/>
  <c r="AL136" i="27"/>
  <c r="AP136" i="27" s="1"/>
  <c r="AL138" i="27"/>
  <c r="AP138" i="27" s="1"/>
  <c r="AL139" i="27"/>
  <c r="AP139" i="27" s="1"/>
  <c r="AL140" i="27"/>
  <c r="AP140" i="27" s="1"/>
  <c r="AL142" i="27"/>
  <c r="AP142" i="27" s="1"/>
  <c r="AL144" i="27"/>
  <c r="AP144" i="27" s="1"/>
  <c r="AL145" i="27"/>
  <c r="AP145" i="27" s="1"/>
  <c r="AL146" i="27"/>
  <c r="AP146" i="27" s="1"/>
  <c r="AH157" i="27"/>
  <c r="AH158" i="27"/>
  <c r="AH159" i="27"/>
  <c r="AL159" i="27" s="1"/>
  <c r="AH160" i="27"/>
  <c r="AH161" i="27"/>
  <c r="AH162" i="27"/>
  <c r="AH163" i="27"/>
  <c r="AH164" i="27"/>
  <c r="AH165" i="27"/>
  <c r="AH166" i="27"/>
  <c r="AH167" i="27"/>
  <c r="AJ105" i="27" l="1"/>
  <c r="AN105" i="27" s="1"/>
  <c r="AJ100" i="27"/>
  <c r="AN100" i="27" s="1"/>
  <c r="AP9" i="27"/>
  <c r="AJ89" i="27"/>
  <c r="AN89" i="27" s="1"/>
  <c r="AJ97" i="27"/>
  <c r="AN97" i="27" s="1"/>
  <c r="AJ94" i="27"/>
  <c r="AN94" i="27" s="1"/>
  <c r="AJ43" i="27"/>
  <c r="AN43" i="27" s="1"/>
  <c r="AJ7" i="27"/>
  <c r="AN7" i="27" s="1"/>
  <c r="AV13" i="23"/>
  <c r="AZ13" i="23" s="1"/>
  <c r="AU13" i="23"/>
  <c r="AY13" i="23" s="1"/>
  <c r="AK17" i="23"/>
  <c r="AC17" i="23"/>
  <c r="AS11" i="23"/>
  <c r="AW11" i="23" s="1"/>
  <c r="AT15" i="23"/>
  <c r="AX15" i="23" s="1"/>
  <c r="AT13" i="23"/>
  <c r="AX13" i="23" s="1"/>
  <c r="AT11" i="23"/>
  <c r="AX11" i="23" s="1"/>
  <c r="AS15" i="23"/>
  <c r="AW15" i="23" s="1"/>
  <c r="U67" i="23"/>
  <c r="AA67" i="23"/>
  <c r="X67" i="23" s="1"/>
  <c r="AT14" i="23"/>
  <c r="AX14" i="23" s="1"/>
  <c r="AS13" i="23"/>
  <c r="AW13" i="23" s="1"/>
  <c r="AF18" i="23"/>
  <c r="AE19" i="23"/>
  <c r="AD18" i="23"/>
  <c r="AI18" i="23" s="1"/>
  <c r="AG18" i="23"/>
  <c r="AV11" i="23"/>
  <c r="AZ11" i="23" s="1"/>
  <c r="AH16" i="23"/>
  <c r="AS14" i="23"/>
  <c r="AW14" i="23" s="1"/>
  <c r="AR15" i="23"/>
  <c r="AU15" i="23"/>
  <c r="AY15" i="23" s="1"/>
  <c r="AL17" i="23"/>
  <c r="BD17" i="23" s="1"/>
  <c r="AU11" i="23"/>
  <c r="AY11" i="23" s="1"/>
  <c r="AU14" i="23"/>
  <c r="AY14" i="23" s="1"/>
  <c r="K69" i="23"/>
  <c r="AM150" i="27"/>
  <c r="AQ150" i="27" s="1"/>
  <c r="AG119" i="27"/>
  <c r="AK119" i="27" s="1"/>
  <c r="AL59" i="27"/>
  <c r="AP59" i="27" s="1"/>
  <c r="AJ30" i="27"/>
  <c r="AN30" i="27" s="1"/>
  <c r="AG13" i="27"/>
  <c r="AR4" i="27"/>
  <c r="AS4" i="27" s="1"/>
  <c r="AK103" i="27"/>
  <c r="AO103" i="27" s="1"/>
  <c r="AJ82" i="27"/>
  <c r="AN82" i="27" s="1"/>
  <c r="AG46" i="27"/>
  <c r="AK46" i="27" s="1"/>
  <c r="AO107" i="27"/>
  <c r="AJ106" i="27"/>
  <c r="AN106" i="27" s="1"/>
  <c r="AG96" i="27"/>
  <c r="AK96" i="27" s="1"/>
  <c r="AG90" i="27"/>
  <c r="AK90" i="27" s="1"/>
  <c r="AG78" i="27"/>
  <c r="AK78" i="27" s="1"/>
  <c r="AJ41" i="27"/>
  <c r="AN41" i="27" s="1"/>
  <c r="AJ16" i="27"/>
  <c r="AN16" i="27" s="1"/>
  <c r="AG26" i="27"/>
  <c r="AK26" i="27" s="1"/>
  <c r="AG112" i="27"/>
  <c r="AK112" i="27" s="1"/>
  <c r="AJ76" i="27"/>
  <c r="AN76" i="27" s="1"/>
  <c r="AO106" i="27"/>
  <c r="AJ10" i="27"/>
  <c r="AN10" i="27" s="1"/>
  <c r="O59" i="27"/>
  <c r="P59" i="27" s="1"/>
  <c r="T4" i="27"/>
  <c r="AM4" i="27"/>
  <c r="AQ4" i="27" s="1"/>
  <c r="AB61" i="27"/>
  <c r="AI61" i="27" s="1"/>
  <c r="X61" i="27"/>
  <c r="U61" i="27"/>
  <c r="S61" i="27"/>
  <c r="N61" i="27"/>
  <c r="L61" i="27"/>
  <c r="AC4" i="27"/>
  <c r="Y4" i="27"/>
  <c r="V4" i="27"/>
  <c r="AB60" i="27"/>
  <c r="X60" i="27"/>
  <c r="AH60" i="27" s="1"/>
  <c r="N60" i="27"/>
  <c r="Q60" i="27" s="1"/>
  <c r="L60" i="27"/>
  <c r="U60" i="27"/>
  <c r="S60" i="27"/>
  <c r="AF60" i="27" s="1"/>
  <c r="AJ60" i="27" s="1"/>
  <c r="S171" i="27"/>
  <c r="AB171" i="27"/>
  <c r="V202" i="27" s="1"/>
  <c r="X171" i="27"/>
  <c r="U202" i="27" s="1"/>
  <c r="U203" i="27" s="1"/>
  <c r="U171" i="27"/>
  <c r="T202" i="27" s="1"/>
  <c r="T203" i="27" s="1"/>
  <c r="AC59" i="27"/>
  <c r="Y59" i="27"/>
  <c r="V59" i="27"/>
  <c r="T59" i="27"/>
  <c r="O4" i="27"/>
  <c r="P4" i="27" s="1"/>
  <c r="AG134" i="27"/>
  <c r="AN134" i="27"/>
  <c r="AG127" i="27"/>
  <c r="AK127" i="27" s="1"/>
  <c r="AN127" i="27"/>
  <c r="AG124" i="27"/>
  <c r="AK124" i="27" s="1"/>
  <c r="AN124" i="27"/>
  <c r="AH169" i="27"/>
  <c r="AI168" i="27"/>
  <c r="AG58" i="27"/>
  <c r="AK58" i="27" s="1"/>
  <c r="AN58" i="27"/>
  <c r="AG4" i="27"/>
  <c r="AK4" i="27" s="1"/>
  <c r="AN4" i="27"/>
  <c r="AH49" i="27"/>
  <c r="AL49" i="27" s="1"/>
  <c r="AI49" i="27"/>
  <c r="AM49" i="27" s="1"/>
  <c r="AN48" i="27"/>
  <c r="AG48" i="27"/>
  <c r="AK48" i="27" s="1"/>
  <c r="AF24" i="27"/>
  <c r="AJ24" i="27" s="1"/>
  <c r="AL167" i="27"/>
  <c r="AP167" i="27" s="1"/>
  <c r="AL165" i="27"/>
  <c r="AP165" i="27" s="1"/>
  <c r="AL163" i="27"/>
  <c r="AP163" i="27" s="1"/>
  <c r="AL161" i="27"/>
  <c r="AP161" i="27" s="1"/>
  <c r="AL157" i="27"/>
  <c r="AP157" i="27" s="1"/>
  <c r="AQ169" i="27"/>
  <c r="AO133" i="27"/>
  <c r="AO113" i="27"/>
  <c r="AO111" i="27"/>
  <c r="AP156" i="27"/>
  <c r="AP155" i="27"/>
  <c r="AP154" i="27"/>
  <c r="AP153" i="27"/>
  <c r="AP152" i="27"/>
  <c r="AP151" i="27"/>
  <c r="AQ149" i="27"/>
  <c r="AQ147" i="27"/>
  <c r="AM145" i="27"/>
  <c r="AQ145" i="27" s="1"/>
  <c r="AM143" i="27"/>
  <c r="AQ143" i="27" s="1"/>
  <c r="AM141" i="27"/>
  <c r="AQ141" i="27" s="1"/>
  <c r="AM139" i="27"/>
  <c r="AQ139" i="27" s="1"/>
  <c r="AM137" i="27"/>
  <c r="AQ137" i="27" s="1"/>
  <c r="AM135" i="27"/>
  <c r="AQ135" i="27" s="1"/>
  <c r="AL131" i="27"/>
  <c r="AP131" i="27" s="1"/>
  <c r="AL129" i="27"/>
  <c r="AP129" i="27" s="1"/>
  <c r="AM125" i="27"/>
  <c r="AQ125" i="27" s="1"/>
  <c r="AL117" i="27"/>
  <c r="AP117" i="27" s="1"/>
  <c r="AM114" i="27"/>
  <c r="AQ114" i="27" s="1"/>
  <c r="AM112" i="27"/>
  <c r="AQ112" i="27" s="1"/>
  <c r="AM110" i="27"/>
  <c r="AQ110" i="27" s="1"/>
  <c r="AQ109" i="27"/>
  <c r="AQ107" i="27"/>
  <c r="AQ105" i="27"/>
  <c r="AQ103" i="27"/>
  <c r="AL132" i="27"/>
  <c r="AP132" i="27" s="1"/>
  <c r="AL130" i="27"/>
  <c r="AP130" i="27" s="1"/>
  <c r="AL118" i="27"/>
  <c r="AP118" i="27" s="1"/>
  <c r="AO102" i="27"/>
  <c r="AO100" i="27"/>
  <c r="AO98" i="27"/>
  <c r="AO94" i="27"/>
  <c r="AO92" i="27"/>
  <c r="AO88" i="27"/>
  <c r="AO86" i="27"/>
  <c r="AO84" i="27"/>
  <c r="AO82" i="27"/>
  <c r="AO80" i="27"/>
  <c r="AO78" i="27"/>
  <c r="AO76" i="27"/>
  <c r="AO74" i="27"/>
  <c r="AO72" i="27"/>
  <c r="AO70" i="27"/>
  <c r="AP57" i="27"/>
  <c r="AM101" i="27"/>
  <c r="AQ101" i="27" s="1"/>
  <c r="AM99" i="27"/>
  <c r="AQ99" i="27" s="1"/>
  <c r="AM97" i="27"/>
  <c r="AQ97" i="27" s="1"/>
  <c r="AM95" i="27"/>
  <c r="AQ95" i="27" s="1"/>
  <c r="AM93" i="27"/>
  <c r="AQ93" i="27" s="1"/>
  <c r="AM91" i="27"/>
  <c r="AQ91" i="27" s="1"/>
  <c r="AM89" i="27"/>
  <c r="AQ89" i="27" s="1"/>
  <c r="AM87" i="27"/>
  <c r="AQ87" i="27" s="1"/>
  <c r="AM85" i="27"/>
  <c r="AQ85" i="27" s="1"/>
  <c r="AM83" i="27"/>
  <c r="AQ83" i="27" s="1"/>
  <c r="AM81" i="27"/>
  <c r="AQ81" i="27" s="1"/>
  <c r="AM79" i="27"/>
  <c r="AQ79" i="27" s="1"/>
  <c r="AM77" i="27"/>
  <c r="AQ77" i="27" s="1"/>
  <c r="AM75" i="27"/>
  <c r="AQ75" i="27" s="1"/>
  <c r="AM73" i="27"/>
  <c r="AQ73" i="27" s="1"/>
  <c r="AM71" i="27"/>
  <c r="AQ71" i="27" s="1"/>
  <c r="AO45" i="27"/>
  <c r="AO43" i="27"/>
  <c r="AO41" i="27"/>
  <c r="AO39" i="27"/>
  <c r="AO37" i="27"/>
  <c r="AO35" i="27"/>
  <c r="AO33" i="27"/>
  <c r="AO31" i="27"/>
  <c r="AO29" i="27"/>
  <c r="AO27" i="27"/>
  <c r="AP25" i="27"/>
  <c r="AO22" i="27"/>
  <c r="AO20" i="27"/>
  <c r="AO18" i="27"/>
  <c r="AO16" i="27"/>
  <c r="AO9" i="27"/>
  <c r="AM30" i="27"/>
  <c r="AQ30" i="27" s="1"/>
  <c r="AM28" i="27"/>
  <c r="AQ28" i="27" s="1"/>
  <c r="AR25" i="27"/>
  <c r="AS25" i="27" s="1"/>
  <c r="AM7" i="27"/>
  <c r="AQ7" i="27" s="1"/>
  <c r="R26" i="27"/>
  <c r="AA24" i="27" s="1"/>
  <c r="AM34" i="27"/>
  <c r="AQ34" i="27" s="1"/>
  <c r="AM15" i="27"/>
  <c r="AQ15" i="27" s="1"/>
  <c r="AM12" i="27"/>
  <c r="AQ12" i="27" s="1"/>
  <c r="AM6" i="27"/>
  <c r="AQ6" i="27" s="1"/>
  <c r="AG129" i="27"/>
  <c r="AN129" i="27"/>
  <c r="AG118" i="27"/>
  <c r="AN118" i="27"/>
  <c r="AH170" i="27"/>
  <c r="AL170" i="27" s="1"/>
  <c r="J62" i="27"/>
  <c r="AF59" i="27"/>
  <c r="AJ59" i="27" s="1"/>
  <c r="AR59" i="27"/>
  <c r="AS59" i="27" s="1"/>
  <c r="AG25" i="27"/>
  <c r="AN25" i="27"/>
  <c r="AG57" i="27"/>
  <c r="AN57" i="27"/>
  <c r="AN56" i="27"/>
  <c r="AG56" i="27"/>
  <c r="AN55" i="27"/>
  <c r="AG55" i="27"/>
  <c r="AK55" i="27" s="1"/>
  <c r="AN54" i="27"/>
  <c r="AG54" i="27"/>
  <c r="AN53" i="27"/>
  <c r="AG53" i="27"/>
  <c r="AK53" i="27" s="1"/>
  <c r="AN52" i="27"/>
  <c r="AG52" i="27"/>
  <c r="AN51" i="27"/>
  <c r="AG51" i="27"/>
  <c r="AK51" i="27" s="1"/>
  <c r="AN50" i="27"/>
  <c r="AG50" i="27"/>
  <c r="AN49" i="27"/>
  <c r="AG49" i="27"/>
  <c r="AK49" i="27" s="1"/>
  <c r="AG47" i="27"/>
  <c r="AN47" i="27"/>
  <c r="W51" i="27"/>
  <c r="AP159" i="27"/>
  <c r="AQ170" i="27"/>
  <c r="AQ148" i="27"/>
  <c r="AP168" i="27"/>
  <c r="AL166" i="27"/>
  <c r="AP166" i="27" s="1"/>
  <c r="AL164" i="27"/>
  <c r="AP164" i="27" s="1"/>
  <c r="AL162" i="27"/>
  <c r="AP162" i="27" s="1"/>
  <c r="AL160" i="27"/>
  <c r="AP160" i="27" s="1"/>
  <c r="AL158" i="27"/>
  <c r="AP158" i="27" s="1"/>
  <c r="AQ146" i="27"/>
  <c r="AQ144" i="27"/>
  <c r="AQ142" i="27"/>
  <c r="AQ140" i="27"/>
  <c r="AQ138" i="27"/>
  <c r="AQ136" i="27"/>
  <c r="AO135" i="27"/>
  <c r="AK134" i="27"/>
  <c r="AO128" i="27"/>
  <c r="AP127" i="27"/>
  <c r="AQ126" i="27"/>
  <c r="AO125" i="27"/>
  <c r="AP116" i="27"/>
  <c r="AQ113" i="27"/>
  <c r="AQ111" i="27"/>
  <c r="AO110" i="27"/>
  <c r="AP150" i="27"/>
  <c r="AL134" i="27"/>
  <c r="AP134" i="27" s="1"/>
  <c r="AL124" i="27"/>
  <c r="AP124" i="27" s="1"/>
  <c r="AR118" i="27"/>
  <c r="AS118" i="27" s="1"/>
  <c r="AO109" i="27"/>
  <c r="AR134" i="27"/>
  <c r="AS134" i="27" s="1"/>
  <c r="AM133" i="27"/>
  <c r="AQ133" i="27" s="1"/>
  <c r="AR129" i="27"/>
  <c r="AS129" i="27" s="1"/>
  <c r="AM128" i="27"/>
  <c r="AQ128" i="27" s="1"/>
  <c r="AR124" i="27"/>
  <c r="AS124" i="27" s="1"/>
  <c r="AM123" i="27"/>
  <c r="AQ123" i="27" s="1"/>
  <c r="AM122" i="27"/>
  <c r="AQ122" i="27" s="1"/>
  <c r="AM121" i="27"/>
  <c r="AQ121" i="27" s="1"/>
  <c r="AM120" i="27"/>
  <c r="AQ120" i="27" s="1"/>
  <c r="AM119" i="27"/>
  <c r="AQ119" i="27" s="1"/>
  <c r="AL115" i="27"/>
  <c r="AP115" i="27" s="1"/>
  <c r="AQ102" i="27"/>
  <c r="AO101" i="27"/>
  <c r="AQ100" i="27"/>
  <c r="AO99" i="27"/>
  <c r="AQ98" i="27"/>
  <c r="AO97" i="27"/>
  <c r="AQ96" i="27"/>
  <c r="AO95" i="27"/>
  <c r="AQ94" i="27"/>
  <c r="AO93" i="27"/>
  <c r="AQ92" i="27"/>
  <c r="AO91" i="27"/>
  <c r="AQ90" i="27"/>
  <c r="AO89" i="27"/>
  <c r="AQ88" i="27"/>
  <c r="AO87" i="27"/>
  <c r="AQ86" i="27"/>
  <c r="AO85" i="27"/>
  <c r="AQ84" i="27"/>
  <c r="AO83" i="27"/>
  <c r="AQ82" i="27"/>
  <c r="AO81" i="27"/>
  <c r="AQ80" i="27"/>
  <c r="AO79" i="27"/>
  <c r="AQ78" i="27"/>
  <c r="AO77" i="27"/>
  <c r="AQ76" i="27"/>
  <c r="AO75" i="27"/>
  <c r="AQ74" i="27"/>
  <c r="AO73" i="27"/>
  <c r="AQ72" i="27"/>
  <c r="AO71" i="27"/>
  <c r="AQ70" i="27"/>
  <c r="AQ59" i="27"/>
  <c r="AP58" i="27"/>
  <c r="AQ108" i="27"/>
  <c r="AQ106" i="27"/>
  <c r="AQ104" i="27"/>
  <c r="AP48" i="27"/>
  <c r="AP56" i="27"/>
  <c r="AP55" i="27"/>
  <c r="AP54" i="27"/>
  <c r="AQ48" i="27"/>
  <c r="AO46" i="27"/>
  <c r="AO44" i="27"/>
  <c r="AO42" i="27"/>
  <c r="AO40" i="27"/>
  <c r="AO38" i="27"/>
  <c r="AO36" i="27"/>
  <c r="AO34" i="27"/>
  <c r="AQ33" i="27"/>
  <c r="AO32" i="27"/>
  <c r="AQ31" i="27"/>
  <c r="AO30" i="27"/>
  <c r="AO28" i="27"/>
  <c r="AQ22" i="27"/>
  <c r="AO21" i="27"/>
  <c r="AO19" i="27"/>
  <c r="AO17" i="27"/>
  <c r="AQ16" i="27"/>
  <c r="AO15" i="27"/>
  <c r="AQ13" i="27"/>
  <c r="AO12" i="27"/>
  <c r="AQ10" i="27"/>
  <c r="AQ9" i="27"/>
  <c r="AQ8" i="27"/>
  <c r="AO6" i="27"/>
  <c r="AL47" i="27"/>
  <c r="AP47" i="27" s="1"/>
  <c r="AM46" i="27"/>
  <c r="AQ46" i="27" s="1"/>
  <c r="AM45" i="27"/>
  <c r="AQ45" i="27" s="1"/>
  <c r="AM44" i="27"/>
  <c r="AQ44" i="27" s="1"/>
  <c r="AM43" i="27"/>
  <c r="AQ43" i="27" s="1"/>
  <c r="AM42" i="27"/>
  <c r="AQ42" i="27" s="1"/>
  <c r="AM41" i="27"/>
  <c r="AQ41" i="27" s="1"/>
  <c r="AM40" i="27"/>
  <c r="AQ40" i="27" s="1"/>
  <c r="AM39" i="27"/>
  <c r="AQ39" i="27" s="1"/>
  <c r="AM38" i="27"/>
  <c r="AQ38" i="27" s="1"/>
  <c r="AM37" i="27"/>
  <c r="AQ37" i="27" s="1"/>
  <c r="AM36" i="27"/>
  <c r="AQ36" i="27" s="1"/>
  <c r="AM35" i="27"/>
  <c r="AQ35" i="27" s="1"/>
  <c r="AM26" i="27"/>
  <c r="AQ26" i="27" s="1"/>
  <c r="AM17" i="27"/>
  <c r="AQ17" i="27" s="1"/>
  <c r="AM14" i="27"/>
  <c r="AQ14" i="27" s="1"/>
  <c r="AL4" i="27"/>
  <c r="AM32" i="27"/>
  <c r="AQ32" i="27" s="1"/>
  <c r="AM29" i="27"/>
  <c r="AQ29" i="27" s="1"/>
  <c r="AM27" i="27"/>
  <c r="AQ27" i="27" s="1"/>
  <c r="AM21" i="27"/>
  <c r="AQ21" i="27" s="1"/>
  <c r="AM20" i="27"/>
  <c r="AQ20" i="27" s="1"/>
  <c r="AM19" i="27"/>
  <c r="AQ19" i="27" s="1"/>
  <c r="AM18" i="27"/>
  <c r="AQ18" i="27" s="1"/>
  <c r="AK13" i="27"/>
  <c r="AO13" i="27" s="1"/>
  <c r="AM11" i="27"/>
  <c r="AQ11" i="27" s="1"/>
  <c r="AM5" i="27"/>
  <c r="AO119" i="27" l="1"/>
  <c r="AO112" i="27"/>
  <c r="U69" i="23"/>
  <c r="AA69" i="23"/>
  <c r="X69" i="23" s="1"/>
  <c r="AC18" i="23"/>
  <c r="AK18" i="23"/>
  <c r="AL18" i="23"/>
  <c r="BD18" i="23" s="1"/>
  <c r="AH17" i="23"/>
  <c r="U68" i="23"/>
  <c r="AA68" i="23"/>
  <c r="X68" i="23" s="1"/>
  <c r="AV15" i="23"/>
  <c r="AZ15" i="23" s="1"/>
  <c r="AE20" i="23"/>
  <c r="AF19" i="23"/>
  <c r="AG19" i="23"/>
  <c r="AD19" i="23"/>
  <c r="AI19" i="23" s="1"/>
  <c r="BC17" i="23"/>
  <c r="AO96" i="27"/>
  <c r="AO90" i="27"/>
  <c r="AO26" i="27"/>
  <c r="AI171" i="27"/>
  <c r="AM171" i="27" s="1"/>
  <c r="O60" i="27"/>
  <c r="P60" i="27" s="1"/>
  <c r="AL60" i="27"/>
  <c r="AP60" i="27" s="1"/>
  <c r="AR60" i="27"/>
  <c r="AS60" i="27" s="1"/>
  <c r="AM61" i="27"/>
  <c r="AQ61" i="27" s="1"/>
  <c r="V203" i="27"/>
  <c r="AI60" i="27"/>
  <c r="AM60" i="27" s="1"/>
  <c r="AC61" i="27"/>
  <c r="Y61" i="27"/>
  <c r="V61" i="27"/>
  <c r="T61" i="27"/>
  <c r="O61" i="27"/>
  <c r="P61" i="27" s="1"/>
  <c r="AB62" i="27"/>
  <c r="AI62" i="27" s="1"/>
  <c r="X62" i="27"/>
  <c r="AH62" i="27" s="1"/>
  <c r="AL62" i="27" s="1"/>
  <c r="N62" i="27"/>
  <c r="Q62" i="27" s="1"/>
  <c r="L62" i="27"/>
  <c r="U62" i="27"/>
  <c r="S62" i="27"/>
  <c r="AC60" i="27"/>
  <c r="Y60" i="27"/>
  <c r="V60" i="27"/>
  <c r="T60" i="27"/>
  <c r="AH61" i="27"/>
  <c r="AL61" i="27" s="1"/>
  <c r="AP61" i="27" s="1"/>
  <c r="AI24" i="27"/>
  <c r="AR24" i="27"/>
  <c r="AS24" i="27" s="1"/>
  <c r="AH24" i="27"/>
  <c r="AL24" i="27" s="1"/>
  <c r="W52" i="27"/>
  <c r="AI50" i="27"/>
  <c r="AM50" i="27" s="1"/>
  <c r="G184" i="27"/>
  <c r="AN59" i="27"/>
  <c r="AG59" i="27"/>
  <c r="AK59" i="27" s="1"/>
  <c r="AG60" i="27"/>
  <c r="AK60" i="27" s="1"/>
  <c r="AN60" i="27"/>
  <c r="J63" i="27"/>
  <c r="AN24" i="27"/>
  <c r="AG24" i="27"/>
  <c r="AK24" i="27" s="1"/>
  <c r="AO4" i="27"/>
  <c r="W23" i="27"/>
  <c r="AP170" i="27"/>
  <c r="AK57" i="27"/>
  <c r="AO57" i="27" s="1"/>
  <c r="AQ5" i="27"/>
  <c r="AK25" i="27"/>
  <c r="AO25" i="27" s="1"/>
  <c r="AH50" i="27"/>
  <c r="AL50" i="27" s="1"/>
  <c r="AR50" i="27"/>
  <c r="AS50" i="27" s="1"/>
  <c r="F184" i="27"/>
  <c r="Q61" i="27"/>
  <c r="AH171" i="27"/>
  <c r="AL171" i="27" s="1"/>
  <c r="AO49" i="27"/>
  <c r="AO51" i="27"/>
  <c r="AO53" i="27"/>
  <c r="AO55" i="27"/>
  <c r="AP4" i="27"/>
  <c r="AP62" i="27"/>
  <c r="AK47" i="27"/>
  <c r="AO47" i="27" s="1"/>
  <c r="AK50" i="27"/>
  <c r="AO50" i="27" s="1"/>
  <c r="AK52" i="27"/>
  <c r="AO52" i="27" s="1"/>
  <c r="AK54" i="27"/>
  <c r="AO54" i="27" s="1"/>
  <c r="AK56" i="27"/>
  <c r="AO56" i="27" s="1"/>
  <c r="AK118" i="27"/>
  <c r="AO118" i="27" s="1"/>
  <c r="AK129" i="27"/>
  <c r="AO129" i="27" s="1"/>
  <c r="AO48" i="27"/>
  <c r="AQ49" i="27"/>
  <c r="AP49" i="27"/>
  <c r="AO58" i="27"/>
  <c r="AM168" i="27"/>
  <c r="AQ168" i="27" s="1"/>
  <c r="AL169" i="27"/>
  <c r="AP169" i="27" s="1"/>
  <c r="AO124" i="27"/>
  <c r="AO127" i="27"/>
  <c r="AO134" i="27"/>
  <c r="AH18" i="23" l="1"/>
  <c r="AC19" i="23"/>
  <c r="AK19" i="23"/>
  <c r="BC18" i="23"/>
  <c r="AD20" i="23"/>
  <c r="AI20" i="23" s="1"/>
  <c r="AE21" i="23"/>
  <c r="AF20" i="23"/>
  <c r="AG20" i="23"/>
  <c r="AL19" i="23"/>
  <c r="BD19" i="23" s="1"/>
  <c r="AQ171" i="27"/>
  <c r="O62" i="27"/>
  <c r="P62" i="27" s="1"/>
  <c r="AB63" i="27"/>
  <c r="X63" i="27"/>
  <c r="U63" i="27"/>
  <c r="S63" i="27"/>
  <c r="N63" i="27"/>
  <c r="L63" i="27"/>
  <c r="AC62" i="27"/>
  <c r="Y62" i="27"/>
  <c r="V62" i="27"/>
  <c r="T62" i="27"/>
  <c r="AQ60" i="27"/>
  <c r="AM62" i="27"/>
  <c r="AQ62" i="27" s="1"/>
  <c r="AF62" i="27"/>
  <c r="AJ62" i="27" s="1"/>
  <c r="AR62" i="27"/>
  <c r="AS62" i="27" s="1"/>
  <c r="AF23" i="27"/>
  <c r="AJ23" i="27" s="1"/>
  <c r="W53" i="27"/>
  <c r="AI51" i="27"/>
  <c r="AM51" i="27" s="1"/>
  <c r="AP171" i="27"/>
  <c r="AP50" i="27"/>
  <c r="AP181" i="27" s="1"/>
  <c r="AO60" i="27"/>
  <c r="AQ50" i="27"/>
  <c r="AQ181" i="27" s="1"/>
  <c r="AA23" i="27"/>
  <c r="AA172" i="27" s="1"/>
  <c r="J64" i="27"/>
  <c r="AH51" i="27"/>
  <c r="AL51" i="27" s="1"/>
  <c r="AR51" i="27"/>
  <c r="AS51" i="27" s="1"/>
  <c r="AO24" i="27"/>
  <c r="AO59" i="27"/>
  <c r="AP24" i="27"/>
  <c r="AM24" i="27"/>
  <c r="AQ24" i="27" s="1"/>
  <c r="AL20" i="23" l="1"/>
  <c r="BD20" i="23" s="1"/>
  <c r="AK20" i="23"/>
  <c r="AC20" i="23"/>
  <c r="AH19" i="23"/>
  <c r="AE22" i="23"/>
  <c r="AG21" i="23"/>
  <c r="AD21" i="23"/>
  <c r="AI21" i="23" s="1"/>
  <c r="AF21" i="23"/>
  <c r="BC19" i="23"/>
  <c r="F186" i="27"/>
  <c r="G186" i="27"/>
  <c r="AB64" i="27"/>
  <c r="X64" i="27"/>
  <c r="AH64" i="27" s="1"/>
  <c r="N64" i="27"/>
  <c r="Q64" i="27" s="1"/>
  <c r="L64" i="27"/>
  <c r="U64" i="27"/>
  <c r="S64" i="27"/>
  <c r="AH63" i="27"/>
  <c r="AL63" i="27" s="1"/>
  <c r="AP63" i="27" s="1"/>
  <c r="AC63" i="27"/>
  <c r="Y63" i="27"/>
  <c r="V63" i="27"/>
  <c r="T63" i="27"/>
  <c r="AI63" i="27"/>
  <c r="AM63" i="27" s="1"/>
  <c r="AQ63" i="27" s="1"/>
  <c r="O63" i="27"/>
  <c r="P63" i="27" s="1"/>
  <c r="AI23" i="27"/>
  <c r="AR23" i="27"/>
  <c r="AH23" i="27"/>
  <c r="Q63" i="27"/>
  <c r="AH52" i="27"/>
  <c r="AL52" i="27" s="1"/>
  <c r="AR52" i="27"/>
  <c r="AS52" i="27" s="1"/>
  <c r="AN23" i="27"/>
  <c r="AG23" i="27"/>
  <c r="AG62" i="27"/>
  <c r="AK62" i="27" s="1"/>
  <c r="AN62" i="27"/>
  <c r="AP51" i="27"/>
  <c r="J65" i="27"/>
  <c r="AI52" i="27"/>
  <c r="AM52" i="27" s="1"/>
  <c r="AQ51" i="27"/>
  <c r="AH20" i="23" l="1"/>
  <c r="BC20" i="23"/>
  <c r="AL21" i="23"/>
  <c r="BD21" i="23" s="1"/>
  <c r="AE23" i="23"/>
  <c r="AG22" i="23"/>
  <c r="AD22" i="23"/>
  <c r="AI22" i="23" s="1"/>
  <c r="AF22" i="23"/>
  <c r="AK21" i="23"/>
  <c r="AC21" i="23"/>
  <c r="AC64" i="27"/>
  <c r="Y64" i="27"/>
  <c r="V64" i="27"/>
  <c r="T64" i="27"/>
  <c r="AL64" i="27"/>
  <c r="AP64" i="27" s="1"/>
  <c r="AB65" i="27"/>
  <c r="AI65" i="27" s="1"/>
  <c r="X65" i="27"/>
  <c r="U65" i="27"/>
  <c r="S65" i="27"/>
  <c r="N65" i="27"/>
  <c r="Q65" i="27" s="1"/>
  <c r="L65" i="27"/>
  <c r="AI64" i="27"/>
  <c r="AM64" i="27" s="1"/>
  <c r="AQ64" i="27" s="1"/>
  <c r="O64" i="27"/>
  <c r="P64" i="27" s="1"/>
  <c r="AH53" i="27"/>
  <c r="AR53" i="27"/>
  <c r="AS53" i="27" s="1"/>
  <c r="J66" i="27"/>
  <c r="AF61" i="27"/>
  <c r="AR61" i="27"/>
  <c r="AS61" i="27" s="1"/>
  <c r="AS23" i="27"/>
  <c r="AI53" i="27"/>
  <c r="AM53" i="27" s="1"/>
  <c r="AF63" i="27"/>
  <c r="AJ63" i="27" s="1"/>
  <c r="AR63" i="27"/>
  <c r="AO62" i="27"/>
  <c r="AK23" i="27"/>
  <c r="AP52" i="27"/>
  <c r="AL23" i="27"/>
  <c r="AM23" i="27"/>
  <c r="AQ52" i="27"/>
  <c r="AH21" i="23" l="1"/>
  <c r="AK22" i="23"/>
  <c r="BC22" i="23" s="1"/>
  <c r="AC22" i="23"/>
  <c r="AL22" i="23"/>
  <c r="BD22" i="23" s="1"/>
  <c r="BC21" i="23"/>
  <c r="AF23" i="23"/>
  <c r="AG23" i="23"/>
  <c r="AD23" i="23"/>
  <c r="AI23" i="23" s="1"/>
  <c r="AE24" i="23"/>
  <c r="AB66" i="27"/>
  <c r="X66" i="27"/>
  <c r="N66" i="27"/>
  <c r="Q66" i="27" s="1"/>
  <c r="L66" i="27"/>
  <c r="U66" i="27"/>
  <c r="S66" i="27"/>
  <c r="AC65" i="27"/>
  <c r="Y65" i="27"/>
  <c r="V65" i="27"/>
  <c r="T65" i="27"/>
  <c r="AM65" i="27"/>
  <c r="AQ65" i="27" s="1"/>
  <c r="O65" i="27"/>
  <c r="P65" i="27" s="1"/>
  <c r="AH65" i="27"/>
  <c r="AL65" i="27" s="1"/>
  <c r="AP65" i="27" s="1"/>
  <c r="AS63" i="27"/>
  <c r="AG61" i="27"/>
  <c r="AK61" i="27" s="1"/>
  <c r="J67" i="27"/>
  <c r="AN63" i="27"/>
  <c r="AG63" i="27"/>
  <c r="AK63" i="27" s="1"/>
  <c r="AQ23" i="27"/>
  <c r="AP23" i="27"/>
  <c r="AO23" i="27"/>
  <c r="AJ61" i="27"/>
  <c r="AL53" i="27"/>
  <c r="AQ53" i="27"/>
  <c r="AL23" i="23" l="1"/>
  <c r="BD23" i="23" s="1"/>
  <c r="AH22" i="23"/>
  <c r="AK23" i="23"/>
  <c r="AC23" i="23"/>
  <c r="AE25" i="23"/>
  <c r="AF24" i="23"/>
  <c r="AG24" i="23"/>
  <c r="AD24" i="23"/>
  <c r="AI24" i="23" s="1"/>
  <c r="AC66" i="27"/>
  <c r="Y66" i="27"/>
  <c r="V66" i="27"/>
  <c r="T66" i="27"/>
  <c r="AB67" i="27"/>
  <c r="X67" i="27"/>
  <c r="AH67" i="27" s="1"/>
  <c r="U67" i="27"/>
  <c r="S67" i="27"/>
  <c r="N67" i="27"/>
  <c r="Q67" i="27" s="1"/>
  <c r="L67" i="27"/>
  <c r="AI66" i="27"/>
  <c r="O66" i="27"/>
  <c r="P66" i="27" s="1"/>
  <c r="AH66" i="27"/>
  <c r="AF64" i="27"/>
  <c r="AJ64" i="27" s="1"/>
  <c r="AR64" i="27"/>
  <c r="AF66" i="27"/>
  <c r="AJ66" i="27" s="1"/>
  <c r="AR66" i="27"/>
  <c r="AS66" i="27" s="1"/>
  <c r="AO61" i="27"/>
  <c r="J68" i="27"/>
  <c r="AF65" i="27"/>
  <c r="AR65" i="27"/>
  <c r="AS65" i="27" s="1"/>
  <c r="AP53" i="27"/>
  <c r="AO63" i="27"/>
  <c r="AN61" i="27"/>
  <c r="AH23" i="23" l="1"/>
  <c r="AC24" i="23"/>
  <c r="AK24" i="23"/>
  <c r="BC23" i="23"/>
  <c r="AG25" i="23"/>
  <c r="AE26" i="23"/>
  <c r="AD25" i="23"/>
  <c r="AF25" i="23"/>
  <c r="AL24" i="23"/>
  <c r="BD24" i="23" s="1"/>
  <c r="AB68" i="27"/>
  <c r="X68" i="27"/>
  <c r="N68" i="27"/>
  <c r="Q68" i="27" s="1"/>
  <c r="L68" i="27"/>
  <c r="U68" i="27"/>
  <c r="S68" i="27"/>
  <c r="AM66" i="27"/>
  <c r="AQ66" i="27" s="1"/>
  <c r="AL67" i="27"/>
  <c r="AP67" i="27" s="1"/>
  <c r="AC67" i="27"/>
  <c r="Y67" i="27"/>
  <c r="V67" i="27"/>
  <c r="T67" i="27"/>
  <c r="AI67" i="27"/>
  <c r="AM67" i="27" s="1"/>
  <c r="AL66" i="27"/>
  <c r="AP66" i="27" s="1"/>
  <c r="O67" i="27"/>
  <c r="P67" i="27" s="1"/>
  <c r="AS64" i="27"/>
  <c r="AG65" i="27"/>
  <c r="AK65" i="27" s="1"/>
  <c r="J69" i="27"/>
  <c r="AG64" i="27"/>
  <c r="AK64" i="27" s="1"/>
  <c r="AN64" i="27"/>
  <c r="AJ65" i="27"/>
  <c r="AN65" i="27" s="1"/>
  <c r="AG66" i="27"/>
  <c r="AN66" i="27"/>
  <c r="AK25" i="23" l="1"/>
  <c r="AC25" i="23"/>
  <c r="AI25" i="23"/>
  <c r="T25" i="23"/>
  <c r="AH24" i="23"/>
  <c r="AE27" i="23"/>
  <c r="AG26" i="23"/>
  <c r="AD26" i="23"/>
  <c r="AI26" i="23" s="1"/>
  <c r="AF26" i="23"/>
  <c r="AL25" i="23"/>
  <c r="BD25" i="23" s="1"/>
  <c r="BC24" i="23"/>
  <c r="O68" i="27"/>
  <c r="P68" i="27" s="1"/>
  <c r="AB69" i="27"/>
  <c r="AB172" i="27" s="1"/>
  <c r="X69" i="27"/>
  <c r="X172" i="27" s="1"/>
  <c r="U69" i="27"/>
  <c r="S69" i="27"/>
  <c r="N69" i="27"/>
  <c r="L69" i="27"/>
  <c r="L172" i="27" s="1"/>
  <c r="L182" i="27" s="1"/>
  <c r="AI68" i="27"/>
  <c r="AM68" i="27" s="1"/>
  <c r="AQ67" i="27"/>
  <c r="AC68" i="27"/>
  <c r="Y68" i="27"/>
  <c r="V68" i="27"/>
  <c r="T68" i="27"/>
  <c r="AH68" i="27"/>
  <c r="AL68" i="27" s="1"/>
  <c r="AF67" i="27"/>
  <c r="AJ67" i="27" s="1"/>
  <c r="AR67" i="27"/>
  <c r="AK66" i="27"/>
  <c r="AO66" i="27" s="1"/>
  <c r="AO65" i="27"/>
  <c r="AO64" i="27"/>
  <c r="AF68" i="27"/>
  <c r="AJ68" i="27" s="1"/>
  <c r="AR68" i="27"/>
  <c r="AS68" i="27" s="1"/>
  <c r="AL26" i="23" l="1"/>
  <c r="BD26" i="23" s="1"/>
  <c r="AE28" i="23"/>
  <c r="AF27" i="23"/>
  <c r="AG27" i="23"/>
  <c r="AD27" i="23"/>
  <c r="AI27" i="23" s="1"/>
  <c r="AC26" i="23"/>
  <c r="AK26" i="23"/>
  <c r="AH26" i="23" s="1"/>
  <c r="AH25" i="23"/>
  <c r="BC25" i="23"/>
  <c r="G183" i="27"/>
  <c r="G194" i="27" s="1"/>
  <c r="AQ68" i="27"/>
  <c r="AP68" i="27"/>
  <c r="AC69" i="27"/>
  <c r="Y69" i="27"/>
  <c r="V69" i="27"/>
  <c r="T69" i="27"/>
  <c r="T172" i="27" s="1"/>
  <c r="AI69" i="27"/>
  <c r="AM69" i="27" s="1"/>
  <c r="O69" i="27"/>
  <c r="P69" i="27" s="1"/>
  <c r="G195" i="27"/>
  <c r="G196" i="27"/>
  <c r="AH69" i="27"/>
  <c r="AH172" i="27" s="1"/>
  <c r="F183" i="27"/>
  <c r="F194" i="27" s="1"/>
  <c r="AS67" i="27"/>
  <c r="AG68" i="27"/>
  <c r="AK68" i="27" s="1"/>
  <c r="AN68" i="27"/>
  <c r="AN67" i="27"/>
  <c r="AG67" i="27"/>
  <c r="AK67" i="27" s="1"/>
  <c r="Q69" i="27"/>
  <c r="N172" i="27"/>
  <c r="N182" i="27" s="1"/>
  <c r="AK27" i="23" l="1"/>
  <c r="BC27" i="23" s="1"/>
  <c r="AC27" i="23"/>
  <c r="AF28" i="23"/>
  <c r="AG28" i="23"/>
  <c r="AD28" i="23"/>
  <c r="AI28" i="23" s="1"/>
  <c r="AE29" i="23"/>
  <c r="BC26" i="23"/>
  <c r="AL27" i="23"/>
  <c r="BD27" i="23" s="1"/>
  <c r="V199" i="27"/>
  <c r="X199" i="27" s="1"/>
  <c r="AC172" i="27"/>
  <c r="T199" i="27"/>
  <c r="T209" i="27" s="1"/>
  <c r="V172" i="27"/>
  <c r="U199" i="27"/>
  <c r="U209" i="27" s="1"/>
  <c r="Y172" i="27"/>
  <c r="AL69" i="27"/>
  <c r="AP69" i="27" s="1"/>
  <c r="AP172" i="27" s="1"/>
  <c r="F185" i="27" s="1"/>
  <c r="S199" i="27"/>
  <c r="AQ69" i="27"/>
  <c r="AQ172" i="27" s="1"/>
  <c r="G185" i="27" s="1"/>
  <c r="AM173" i="27"/>
  <c r="F195" i="27"/>
  <c r="F196" i="27"/>
  <c r="AI172" i="27"/>
  <c r="AL173" i="27"/>
  <c r="AO68" i="27"/>
  <c r="O172" i="27"/>
  <c r="AO67" i="27"/>
  <c r="V200" i="27" l="1"/>
  <c r="AC28" i="23"/>
  <c r="AK28" i="23"/>
  <c r="AH27" i="23"/>
  <c r="AD29" i="23"/>
  <c r="AI29" i="23" s="1"/>
  <c r="AF29" i="23"/>
  <c r="AG29" i="23"/>
  <c r="AE30" i="23"/>
  <c r="AL28" i="23"/>
  <c r="BD28" i="23" s="1"/>
  <c r="T200" i="27"/>
  <c r="T210" i="27" s="1"/>
  <c r="U200" i="27"/>
  <c r="U210" i="27" s="1"/>
  <c r="V209" i="27"/>
  <c r="X173" i="27"/>
  <c r="AB173" i="27"/>
  <c r="AQ173" i="27"/>
  <c r="V210" i="27"/>
  <c r="AP173" i="27"/>
  <c r="S200" i="27"/>
  <c r="AE31" i="23" l="1"/>
  <c r="AD30" i="23"/>
  <c r="AI30" i="23" s="1"/>
  <c r="AF30" i="23"/>
  <c r="AG30" i="23"/>
  <c r="AL29" i="23"/>
  <c r="BD29" i="23" s="1"/>
  <c r="AH28" i="23"/>
  <c r="AC29" i="23"/>
  <c r="AK29" i="23"/>
  <c r="BC28" i="23"/>
  <c r="AF69" i="27"/>
  <c r="AJ69" i="27" s="1"/>
  <c r="AH29" i="23" l="1"/>
  <c r="AL30" i="23"/>
  <c r="BD30" i="23" s="1"/>
  <c r="AC30" i="23"/>
  <c r="AK30" i="23"/>
  <c r="BC29" i="23"/>
  <c r="AG31" i="23"/>
  <c r="AD31" i="23"/>
  <c r="AI31" i="23" s="1"/>
  <c r="AE32" i="23"/>
  <c r="AF31" i="23"/>
  <c r="AN69" i="27"/>
  <c r="AG69" i="27"/>
  <c r="AR69" i="27"/>
  <c r="AH30" i="23" l="1"/>
  <c r="AL31" i="23"/>
  <c r="BD31" i="23" s="1"/>
  <c r="BC30" i="23"/>
  <c r="AK31" i="23"/>
  <c r="AC31" i="23"/>
  <c r="AG32" i="23"/>
  <c r="AD32" i="23"/>
  <c r="AI32" i="23" s="1"/>
  <c r="AE33" i="23"/>
  <c r="AF32" i="23"/>
  <c r="AS69" i="27"/>
  <c r="AK69" i="27"/>
  <c r="AH31" i="23" l="1"/>
  <c r="BC31" i="23"/>
  <c r="AL32" i="23"/>
  <c r="BD32" i="23" s="1"/>
  <c r="AC32" i="23"/>
  <c r="AK32" i="23"/>
  <c r="AE34" i="23"/>
  <c r="AD33" i="23"/>
  <c r="AI33" i="23" s="1"/>
  <c r="AF33" i="23"/>
  <c r="AG33" i="23"/>
  <c r="AO69" i="27"/>
  <c r="AH32" i="23" l="1"/>
  <c r="BC32" i="23"/>
  <c r="AF34" i="23"/>
  <c r="AE35" i="23"/>
  <c r="AG34" i="23"/>
  <c r="AD34" i="23"/>
  <c r="AI34" i="23" s="1"/>
  <c r="AL33" i="23"/>
  <c r="BD33" i="23" s="1"/>
  <c r="AK33" i="23"/>
  <c r="AC33" i="23"/>
  <c r="F25" i="10"/>
  <c r="F24" i="10"/>
  <c r="F23" i="10"/>
  <c r="D33" i="19"/>
  <c r="D35" i="19"/>
  <c r="E35" i="19"/>
  <c r="AN19" i="23"/>
  <c r="AL34" i="23" l="1"/>
  <c r="BD34" i="23" s="1"/>
  <c r="AH33" i="23"/>
  <c r="AE36" i="23"/>
  <c r="AG35" i="23"/>
  <c r="AD35" i="23"/>
  <c r="AI35" i="23" s="1"/>
  <c r="AF35" i="23"/>
  <c r="AO19" i="23"/>
  <c r="AP19" i="23"/>
  <c r="AQ19" i="23"/>
  <c r="AR19" i="23"/>
  <c r="BC33" i="23"/>
  <c r="AC34" i="23"/>
  <c r="AK34" i="23"/>
  <c r="AH34" i="23" s="1"/>
  <c r="T24" i="10"/>
  <c r="S23" i="10"/>
  <c r="S27" i="10" s="1"/>
  <c r="T28" i="10" s="1"/>
  <c r="K14" i="18"/>
  <c r="E61" i="18"/>
  <c r="K59" i="18"/>
  <c r="K41" i="18"/>
  <c r="C22" i="18"/>
  <c r="C21" i="18"/>
  <c r="C19" i="18"/>
  <c r="C12" i="18"/>
  <c r="J14" i="18"/>
  <c r="J17" i="18"/>
  <c r="C74" i="18"/>
  <c r="BC34" i="23" l="1"/>
  <c r="AU19" i="23"/>
  <c r="AY19" i="23" s="1"/>
  <c r="AT19" i="23"/>
  <c r="AX19" i="23" s="1"/>
  <c r="AL35" i="23"/>
  <c r="BD35" i="23" s="1"/>
  <c r="AS19" i="23"/>
  <c r="AW19" i="23" s="1"/>
  <c r="AG36" i="23"/>
  <c r="AD36" i="23"/>
  <c r="AI36" i="23" s="1"/>
  <c r="AE37" i="23"/>
  <c r="AF36" i="23"/>
  <c r="AV19" i="23"/>
  <c r="AZ19" i="23" s="1"/>
  <c r="AC35" i="23"/>
  <c r="AK35" i="23"/>
  <c r="BC35" i="23" s="1"/>
  <c r="S21" i="10"/>
  <c r="S20" i="10"/>
  <c r="S19" i="10"/>
  <c r="U19" i="10" s="1"/>
  <c r="U21" i="10"/>
  <c r="C18" i="18"/>
  <c r="T27" i="10"/>
  <c r="U20" i="10" s="1"/>
  <c r="AC36" i="23" l="1"/>
  <c r="AK36" i="23"/>
  <c r="BC36" i="23" s="1"/>
  <c r="AL36" i="23"/>
  <c r="BD36" i="23" s="1"/>
  <c r="AH35" i="23"/>
  <c r="AD37" i="23"/>
  <c r="AI37" i="23" s="1"/>
  <c r="AG37" i="23"/>
  <c r="AF37" i="23"/>
  <c r="AE38" i="23"/>
  <c r="D40" i="18"/>
  <c r="C161" i="2"/>
  <c r="AI189" i="2"/>
  <c r="AC190" i="2" s="1"/>
  <c r="AH189" i="2"/>
  <c r="AG189" i="2"/>
  <c r="AF189" i="2"/>
  <c r="AB190" i="2" l="1"/>
  <c r="AD38" i="23"/>
  <c r="AI38" i="23" s="1"/>
  <c r="AF38" i="23"/>
  <c r="AE39" i="23"/>
  <c r="AG38" i="23"/>
  <c r="AC37" i="23"/>
  <c r="AK37" i="23"/>
  <c r="AL37" i="23"/>
  <c r="BD37" i="23" s="1"/>
  <c r="AH36" i="23"/>
  <c r="C9" i="18"/>
  <c r="AB188" i="2"/>
  <c r="E24" i="19" s="1"/>
  <c r="F24" i="19" s="1"/>
  <c r="G24" i="19" s="1"/>
  <c r="H24" i="19" s="1"/>
  <c r="I24" i="19" s="1"/>
  <c r="AB154" i="2"/>
  <c r="AC154" i="2"/>
  <c r="AD154" i="2"/>
  <c r="AE154" i="2"/>
  <c r="AC118" i="2"/>
  <c r="AB119" i="2"/>
  <c r="AC119" i="2"/>
  <c r="AD119" i="2"/>
  <c r="AE119" i="2"/>
  <c r="AB120" i="2"/>
  <c r="AC120" i="2"/>
  <c r="AD120" i="2"/>
  <c r="AE120" i="2"/>
  <c r="AB127" i="2"/>
  <c r="AC127" i="2"/>
  <c r="AD127" i="2"/>
  <c r="AE127" i="2"/>
  <c r="AB129" i="2"/>
  <c r="AC129" i="2"/>
  <c r="AD129" i="2"/>
  <c r="AE129" i="2"/>
  <c r="AB131" i="2"/>
  <c r="AC131" i="2"/>
  <c r="AD131" i="2"/>
  <c r="AE131" i="2"/>
  <c r="AB136" i="2"/>
  <c r="AC136" i="2"/>
  <c r="AD136" i="2"/>
  <c r="AE136" i="2"/>
  <c r="AB137" i="2"/>
  <c r="AC137" i="2"/>
  <c r="AD137" i="2"/>
  <c r="AE137" i="2"/>
  <c r="AB138" i="2"/>
  <c r="AC138" i="2"/>
  <c r="AD138" i="2"/>
  <c r="AE138" i="2"/>
  <c r="AB139" i="2"/>
  <c r="AC139" i="2"/>
  <c r="AD139" i="2"/>
  <c r="AE139" i="2"/>
  <c r="AB140" i="2"/>
  <c r="AC140" i="2"/>
  <c r="AD140" i="2"/>
  <c r="AE140" i="2"/>
  <c r="AB141" i="2"/>
  <c r="AC141" i="2"/>
  <c r="AD141" i="2"/>
  <c r="AE141" i="2"/>
  <c r="AB142" i="2"/>
  <c r="AC142" i="2"/>
  <c r="AD142" i="2"/>
  <c r="AE142" i="2"/>
  <c r="AB144" i="2"/>
  <c r="AC144" i="2"/>
  <c r="AD144" i="2"/>
  <c r="AE144" i="2"/>
  <c r="AB145" i="2"/>
  <c r="AC145" i="2"/>
  <c r="AD145" i="2"/>
  <c r="AE145" i="2"/>
  <c r="AB146" i="2"/>
  <c r="AC146" i="2"/>
  <c r="AD146" i="2"/>
  <c r="AE146" i="2"/>
  <c r="AB147" i="2"/>
  <c r="AC147" i="2"/>
  <c r="AD147" i="2"/>
  <c r="AE147" i="2"/>
  <c r="AB148" i="2"/>
  <c r="AC148" i="2"/>
  <c r="AD148" i="2"/>
  <c r="AE148" i="2"/>
  <c r="AB149" i="2"/>
  <c r="AC149" i="2"/>
  <c r="AD149" i="2"/>
  <c r="AE149" i="2"/>
  <c r="AB103" i="2"/>
  <c r="AC103" i="2"/>
  <c r="AD103" i="2"/>
  <c r="AE103" i="2"/>
  <c r="AB104" i="2"/>
  <c r="AC104" i="2"/>
  <c r="AD104" i="2"/>
  <c r="AE104" i="2"/>
  <c r="AB105" i="2"/>
  <c r="AC105" i="2"/>
  <c r="AD105" i="2"/>
  <c r="AE105" i="2"/>
  <c r="AB106" i="2"/>
  <c r="AC106" i="2"/>
  <c r="AD106" i="2"/>
  <c r="AE106" i="2"/>
  <c r="AB31" i="2"/>
  <c r="AD31" i="2"/>
  <c r="AB32" i="2"/>
  <c r="AC32" i="2"/>
  <c r="AD32" i="2"/>
  <c r="AH37" i="23" l="1"/>
  <c r="AL38" i="23"/>
  <c r="BD38" i="23" s="1"/>
  <c r="AE40" i="23"/>
  <c r="AF39" i="23"/>
  <c r="AG39" i="23"/>
  <c r="AD39" i="23"/>
  <c r="AI39" i="23" s="1"/>
  <c r="AK38" i="23"/>
  <c r="AC38" i="23"/>
  <c r="BC37" i="23"/>
  <c r="D74" i="18"/>
  <c r="E59" i="18"/>
  <c r="D59" i="18"/>
  <c r="F40" i="18"/>
  <c r="G40" i="18"/>
  <c r="H40" i="18"/>
  <c r="I40" i="18"/>
  <c r="D9" i="18"/>
  <c r="D77" i="14"/>
  <c r="F77" i="14"/>
  <c r="AN5" i="23"/>
  <c r="AH38" i="23" l="1"/>
  <c r="AL39" i="23"/>
  <c r="BD39" i="23" s="1"/>
  <c r="AK39" i="23"/>
  <c r="AC39" i="23"/>
  <c r="AO5" i="23"/>
  <c r="AP5" i="23"/>
  <c r="AQ5" i="23"/>
  <c r="AR5" i="23"/>
  <c r="BC38" i="23"/>
  <c r="AD40" i="23"/>
  <c r="AI40" i="23" s="1"/>
  <c r="AG40" i="23"/>
  <c r="AE41" i="23"/>
  <c r="AF40" i="23"/>
  <c r="AH39" i="23" l="1"/>
  <c r="AU5" i="23"/>
  <c r="AY5" i="23" s="1"/>
  <c r="AT5" i="23"/>
  <c r="AX5" i="23" s="1"/>
  <c r="BC39" i="23"/>
  <c r="AL40" i="23"/>
  <c r="BD40" i="23" s="1"/>
  <c r="AK40" i="23"/>
  <c r="AC40" i="23"/>
  <c r="AS5" i="23"/>
  <c r="AW5" i="23" s="1"/>
  <c r="AG41" i="23"/>
  <c r="AF41" i="23"/>
  <c r="AE42" i="23"/>
  <c r="AD41" i="23"/>
  <c r="AI41" i="23" s="1"/>
  <c r="AV5" i="23"/>
  <c r="AZ5" i="23" s="1"/>
  <c r="H43" i="2"/>
  <c r="G43" i="2"/>
  <c r="F43" i="2"/>
  <c r="F9" i="2"/>
  <c r="G9" i="2" s="1"/>
  <c r="H9" i="2" s="1"/>
  <c r="E158" i="2"/>
  <c r="AH40" i="23" l="1"/>
  <c r="AC41" i="23"/>
  <c r="AK41" i="23"/>
  <c r="BC40" i="23"/>
  <c r="AL41" i="23"/>
  <c r="BD41" i="23" s="1"/>
  <c r="AG42" i="23"/>
  <c r="AD42" i="23"/>
  <c r="AI42" i="23" s="1"/>
  <c r="AF42" i="23"/>
  <c r="AE43" i="23"/>
  <c r="I9" i="2"/>
  <c r="C209" i="26"/>
  <c r="J208" i="26"/>
  <c r="K208" i="26" s="1"/>
  <c r="E207" i="26"/>
  <c r="I207" i="26" s="1"/>
  <c r="E206" i="26"/>
  <c r="I206" i="26" s="1"/>
  <c r="E205" i="26"/>
  <c r="G205" i="26" s="1"/>
  <c r="E204" i="26"/>
  <c r="E203" i="26"/>
  <c r="I203" i="26" s="1"/>
  <c r="E202" i="26"/>
  <c r="G202" i="26" s="1"/>
  <c r="E201" i="26"/>
  <c r="G201" i="26" s="1"/>
  <c r="C195" i="26"/>
  <c r="D195" i="26" s="1"/>
  <c r="T194" i="26"/>
  <c r="S194" i="26"/>
  <c r="R194" i="26"/>
  <c r="Q194" i="26"/>
  <c r="P194" i="26"/>
  <c r="O194" i="26"/>
  <c r="N194" i="26"/>
  <c r="M194" i="26"/>
  <c r="T193" i="26"/>
  <c r="S193" i="26"/>
  <c r="R193" i="26"/>
  <c r="Q193" i="26"/>
  <c r="P193" i="26"/>
  <c r="O193" i="26"/>
  <c r="N193" i="26"/>
  <c r="M193" i="26"/>
  <c r="T192" i="26"/>
  <c r="S192" i="26"/>
  <c r="R192" i="26"/>
  <c r="Q192" i="26"/>
  <c r="P192" i="26"/>
  <c r="O192" i="26"/>
  <c r="N192" i="26"/>
  <c r="M192" i="26"/>
  <c r="T191" i="26"/>
  <c r="S191" i="26"/>
  <c r="R191" i="26"/>
  <c r="Q191" i="26"/>
  <c r="P191" i="26"/>
  <c r="O191" i="26"/>
  <c r="N191" i="26"/>
  <c r="M191" i="26"/>
  <c r="T190" i="26"/>
  <c r="S190" i="26"/>
  <c r="R190" i="26"/>
  <c r="Q190" i="26"/>
  <c r="P190" i="26"/>
  <c r="O190" i="26"/>
  <c r="N190" i="26"/>
  <c r="M190" i="26"/>
  <c r="T189" i="26"/>
  <c r="S189" i="26"/>
  <c r="R189" i="26"/>
  <c r="Q189" i="26"/>
  <c r="P189" i="26"/>
  <c r="O189" i="26"/>
  <c r="N189" i="26"/>
  <c r="M189" i="26"/>
  <c r="T188" i="26"/>
  <c r="S188" i="26"/>
  <c r="R188" i="26"/>
  <c r="Q188" i="26"/>
  <c r="P188" i="26"/>
  <c r="O188" i="26"/>
  <c r="N188" i="26"/>
  <c r="M188" i="26"/>
  <c r="T187" i="26"/>
  <c r="S187" i="26"/>
  <c r="R187" i="26"/>
  <c r="Q187" i="26"/>
  <c r="P187" i="26"/>
  <c r="O187" i="26"/>
  <c r="N187" i="26"/>
  <c r="M187" i="26"/>
  <c r="T186" i="26"/>
  <c r="S186" i="26"/>
  <c r="R186" i="26"/>
  <c r="Q186" i="26"/>
  <c r="P186" i="26"/>
  <c r="O186" i="26"/>
  <c r="N186" i="26"/>
  <c r="M186" i="26"/>
  <c r="T185" i="26"/>
  <c r="S185" i="26"/>
  <c r="R185" i="26"/>
  <c r="Q185" i="26"/>
  <c r="P185" i="26"/>
  <c r="O185" i="26"/>
  <c r="N185" i="26"/>
  <c r="M185" i="26"/>
  <c r="T184" i="26"/>
  <c r="S184" i="26"/>
  <c r="R184" i="26"/>
  <c r="Q184" i="26"/>
  <c r="P184" i="26"/>
  <c r="O184" i="26"/>
  <c r="N184" i="26"/>
  <c r="M184" i="26"/>
  <c r="T183" i="26"/>
  <c r="S183" i="26"/>
  <c r="R183" i="26"/>
  <c r="Q183" i="26"/>
  <c r="P183" i="26"/>
  <c r="O183" i="26"/>
  <c r="N183" i="26"/>
  <c r="M183" i="26"/>
  <c r="T182" i="26"/>
  <c r="S182" i="26"/>
  <c r="R182" i="26"/>
  <c r="Q182" i="26"/>
  <c r="P182" i="26"/>
  <c r="O182" i="26"/>
  <c r="N182" i="26"/>
  <c r="M182" i="26"/>
  <c r="T181" i="26"/>
  <c r="U181" i="26" s="1"/>
  <c r="S181" i="26"/>
  <c r="R181" i="26"/>
  <c r="Q181" i="26"/>
  <c r="P181" i="26"/>
  <c r="O181" i="26"/>
  <c r="N181" i="26"/>
  <c r="M181" i="26"/>
  <c r="T180" i="26"/>
  <c r="S180" i="26"/>
  <c r="U180" i="26" s="1"/>
  <c r="R180" i="26"/>
  <c r="Q180" i="26"/>
  <c r="P180" i="26"/>
  <c r="O180" i="26"/>
  <c r="N180" i="26"/>
  <c r="M180" i="26"/>
  <c r="T179" i="26"/>
  <c r="S179" i="26"/>
  <c r="U179" i="26" s="1"/>
  <c r="R179" i="26"/>
  <c r="Q179" i="26"/>
  <c r="P179" i="26"/>
  <c r="O179" i="26"/>
  <c r="N179" i="26"/>
  <c r="M179" i="26"/>
  <c r="T178" i="26"/>
  <c r="S178" i="26"/>
  <c r="U178" i="26" s="1"/>
  <c r="R178" i="26"/>
  <c r="Q178" i="26"/>
  <c r="P178" i="26"/>
  <c r="O178" i="26"/>
  <c r="N178" i="26"/>
  <c r="M178" i="26"/>
  <c r="T177" i="26"/>
  <c r="S177" i="26"/>
  <c r="R177" i="26"/>
  <c r="Q177" i="26"/>
  <c r="P177" i="26"/>
  <c r="O177" i="26"/>
  <c r="N177" i="26"/>
  <c r="M177" i="26"/>
  <c r="T176" i="26"/>
  <c r="S176" i="26"/>
  <c r="U176" i="26" s="1"/>
  <c r="R176" i="26"/>
  <c r="Q176" i="26"/>
  <c r="P176" i="26"/>
  <c r="O176" i="26"/>
  <c r="N176" i="26"/>
  <c r="M176" i="26"/>
  <c r="T175" i="26"/>
  <c r="S175" i="26"/>
  <c r="R175" i="26"/>
  <c r="Q175" i="26"/>
  <c r="P175" i="26"/>
  <c r="O175" i="26"/>
  <c r="N175" i="26"/>
  <c r="M175" i="26"/>
  <c r="T174" i="26"/>
  <c r="S174" i="26"/>
  <c r="R174" i="26"/>
  <c r="Q174" i="26"/>
  <c r="P174" i="26"/>
  <c r="O174" i="26"/>
  <c r="N174" i="26"/>
  <c r="M174" i="26"/>
  <c r="T173" i="26"/>
  <c r="S173" i="26"/>
  <c r="R173" i="26"/>
  <c r="Q173" i="26"/>
  <c r="P173" i="26"/>
  <c r="O173" i="26"/>
  <c r="N173" i="26"/>
  <c r="M173" i="26"/>
  <c r="T172" i="26"/>
  <c r="S172" i="26"/>
  <c r="U172" i="26" s="1"/>
  <c r="R172" i="26"/>
  <c r="Q172" i="26"/>
  <c r="P172" i="26"/>
  <c r="O172" i="26"/>
  <c r="N172" i="26"/>
  <c r="M172" i="26"/>
  <c r="T171" i="26"/>
  <c r="S171" i="26"/>
  <c r="R171" i="26"/>
  <c r="Q171" i="26"/>
  <c r="P171" i="26"/>
  <c r="O171" i="26"/>
  <c r="N171" i="26"/>
  <c r="M171" i="26"/>
  <c r="T170" i="26"/>
  <c r="S170" i="26"/>
  <c r="R170" i="26"/>
  <c r="Q170" i="26"/>
  <c r="P170" i="26"/>
  <c r="O170" i="26"/>
  <c r="N170" i="26"/>
  <c r="M170" i="26"/>
  <c r="T169" i="26"/>
  <c r="S169" i="26"/>
  <c r="R169" i="26"/>
  <c r="Q169" i="26"/>
  <c r="P169" i="26"/>
  <c r="O169" i="26"/>
  <c r="N169" i="26"/>
  <c r="M169" i="26"/>
  <c r="T168" i="26"/>
  <c r="S168" i="26"/>
  <c r="R168" i="26"/>
  <c r="Q168" i="26"/>
  <c r="P168" i="26"/>
  <c r="O168" i="26"/>
  <c r="N168" i="26"/>
  <c r="M168" i="26"/>
  <c r="T167" i="26"/>
  <c r="S167" i="26"/>
  <c r="R167" i="26"/>
  <c r="Q167" i="26"/>
  <c r="P167" i="26"/>
  <c r="O167" i="26"/>
  <c r="N167" i="26"/>
  <c r="M167" i="26"/>
  <c r="T166" i="26"/>
  <c r="S166" i="26"/>
  <c r="R166" i="26"/>
  <c r="Q166" i="26"/>
  <c r="P166" i="26"/>
  <c r="O166" i="26"/>
  <c r="N166" i="26"/>
  <c r="M166" i="26"/>
  <c r="T165" i="26"/>
  <c r="S165" i="26"/>
  <c r="R165" i="26"/>
  <c r="Q165" i="26"/>
  <c r="P165" i="26"/>
  <c r="O165" i="26"/>
  <c r="N165" i="26"/>
  <c r="M165" i="26"/>
  <c r="T164" i="26"/>
  <c r="S164" i="26"/>
  <c r="R164" i="26"/>
  <c r="Q164" i="26"/>
  <c r="P164" i="26"/>
  <c r="O164" i="26"/>
  <c r="N164" i="26"/>
  <c r="M164" i="26"/>
  <c r="T163" i="26"/>
  <c r="S163" i="26"/>
  <c r="R163" i="26"/>
  <c r="Q163" i="26"/>
  <c r="P163" i="26"/>
  <c r="O163" i="26"/>
  <c r="N163" i="26"/>
  <c r="M163" i="26"/>
  <c r="T162" i="26"/>
  <c r="S162" i="26"/>
  <c r="R162" i="26"/>
  <c r="Q162" i="26"/>
  <c r="P162" i="26"/>
  <c r="O162" i="26"/>
  <c r="N162" i="26"/>
  <c r="M162" i="26"/>
  <c r="T161" i="26"/>
  <c r="S161" i="26"/>
  <c r="R161" i="26"/>
  <c r="Q161" i="26"/>
  <c r="P161" i="26"/>
  <c r="O161" i="26"/>
  <c r="N161" i="26"/>
  <c r="M161" i="26"/>
  <c r="T160" i="26"/>
  <c r="S160" i="26"/>
  <c r="R160" i="26"/>
  <c r="Q160" i="26"/>
  <c r="P160" i="26"/>
  <c r="O160" i="26"/>
  <c r="N160" i="26"/>
  <c r="M160" i="26"/>
  <c r="T159" i="26"/>
  <c r="S159" i="26"/>
  <c r="R159" i="26"/>
  <c r="Q159" i="26"/>
  <c r="P159" i="26"/>
  <c r="O159" i="26"/>
  <c r="N159" i="26"/>
  <c r="M159" i="26"/>
  <c r="T158" i="26"/>
  <c r="S158" i="26"/>
  <c r="R158" i="26"/>
  <c r="Q158" i="26"/>
  <c r="P158" i="26"/>
  <c r="O158" i="26"/>
  <c r="N158" i="26"/>
  <c r="M158" i="26"/>
  <c r="T157" i="26"/>
  <c r="S157" i="26"/>
  <c r="R157" i="26"/>
  <c r="Q157" i="26"/>
  <c r="P157" i="26"/>
  <c r="O157" i="26"/>
  <c r="N157" i="26"/>
  <c r="M157" i="26"/>
  <c r="T156" i="26"/>
  <c r="S156" i="26"/>
  <c r="R156" i="26"/>
  <c r="Q156" i="26"/>
  <c r="P156" i="26"/>
  <c r="O156" i="26"/>
  <c r="N156" i="26"/>
  <c r="M156" i="26"/>
  <c r="T155" i="26"/>
  <c r="S155" i="26"/>
  <c r="R155" i="26"/>
  <c r="Q155" i="26"/>
  <c r="P155" i="26"/>
  <c r="O155" i="26"/>
  <c r="N155" i="26"/>
  <c r="M155" i="26"/>
  <c r="T154" i="26"/>
  <c r="S154" i="26"/>
  <c r="R154" i="26"/>
  <c r="Q154" i="26"/>
  <c r="P154" i="26"/>
  <c r="O154" i="26"/>
  <c r="N154" i="26"/>
  <c r="M154" i="26"/>
  <c r="T153" i="26"/>
  <c r="S153" i="26"/>
  <c r="R153" i="26"/>
  <c r="Q153" i="26"/>
  <c r="P153" i="26"/>
  <c r="O153" i="26"/>
  <c r="N153" i="26"/>
  <c r="M153" i="26"/>
  <c r="T152" i="26"/>
  <c r="S152" i="26"/>
  <c r="R152" i="26"/>
  <c r="Q152" i="26"/>
  <c r="P152" i="26"/>
  <c r="O152" i="26"/>
  <c r="N152" i="26"/>
  <c r="M152" i="26"/>
  <c r="T151" i="26"/>
  <c r="S151" i="26"/>
  <c r="R151" i="26"/>
  <c r="Q151" i="26"/>
  <c r="P151" i="26"/>
  <c r="O151" i="26"/>
  <c r="N151" i="26"/>
  <c r="M151" i="26"/>
  <c r="T150" i="26"/>
  <c r="S150" i="26"/>
  <c r="R150" i="26"/>
  <c r="Q150" i="26"/>
  <c r="P150" i="26"/>
  <c r="O150" i="26"/>
  <c r="N150" i="26"/>
  <c r="M150" i="26"/>
  <c r="T149" i="26"/>
  <c r="U149" i="26" s="1"/>
  <c r="S149" i="26"/>
  <c r="R149" i="26"/>
  <c r="Q149" i="26"/>
  <c r="P149" i="26"/>
  <c r="O149" i="26"/>
  <c r="N149" i="26"/>
  <c r="M149" i="26"/>
  <c r="T148" i="26"/>
  <c r="S148" i="26"/>
  <c r="R148" i="26"/>
  <c r="Q148" i="26"/>
  <c r="P148" i="26"/>
  <c r="O148" i="26"/>
  <c r="N148" i="26"/>
  <c r="M148" i="26"/>
  <c r="T147" i="26"/>
  <c r="S147" i="26"/>
  <c r="R147" i="26"/>
  <c r="Q147" i="26"/>
  <c r="P147" i="26"/>
  <c r="O147" i="26"/>
  <c r="N147" i="26"/>
  <c r="M147" i="26"/>
  <c r="T146" i="26"/>
  <c r="S146" i="26"/>
  <c r="R146" i="26"/>
  <c r="Q146" i="26"/>
  <c r="P146" i="26"/>
  <c r="O146" i="26"/>
  <c r="N146" i="26"/>
  <c r="M146" i="26"/>
  <c r="T145" i="26"/>
  <c r="S145" i="26"/>
  <c r="R145" i="26"/>
  <c r="Q145" i="26"/>
  <c r="P145" i="26"/>
  <c r="O145" i="26"/>
  <c r="N145" i="26"/>
  <c r="M145" i="26"/>
  <c r="T144" i="26"/>
  <c r="S144" i="26"/>
  <c r="R144" i="26"/>
  <c r="Q144" i="26"/>
  <c r="P144" i="26"/>
  <c r="O144" i="26"/>
  <c r="N144" i="26"/>
  <c r="M144" i="26"/>
  <c r="T143" i="26"/>
  <c r="S143" i="26"/>
  <c r="R143" i="26"/>
  <c r="Q143" i="26"/>
  <c r="P143" i="26"/>
  <c r="O143" i="26"/>
  <c r="N143" i="26"/>
  <c r="M143" i="26"/>
  <c r="T142" i="26"/>
  <c r="S142" i="26"/>
  <c r="R142" i="26"/>
  <c r="Q142" i="26"/>
  <c r="P142" i="26"/>
  <c r="O142" i="26"/>
  <c r="N142" i="26"/>
  <c r="M142" i="26"/>
  <c r="T141" i="26"/>
  <c r="S141" i="26"/>
  <c r="R141" i="26"/>
  <c r="Q141" i="26"/>
  <c r="P141" i="26"/>
  <c r="O141" i="26"/>
  <c r="N141" i="26"/>
  <c r="M141" i="26"/>
  <c r="T140" i="26"/>
  <c r="S140" i="26"/>
  <c r="R140" i="26"/>
  <c r="Q140" i="26"/>
  <c r="P140" i="26"/>
  <c r="O140" i="26"/>
  <c r="N140" i="26"/>
  <c r="M140" i="26"/>
  <c r="T139" i="26"/>
  <c r="S139" i="26"/>
  <c r="R139" i="26"/>
  <c r="Q139" i="26"/>
  <c r="P139" i="26"/>
  <c r="O139" i="26"/>
  <c r="N139" i="26"/>
  <c r="M139" i="26"/>
  <c r="T138" i="26"/>
  <c r="S138" i="26"/>
  <c r="R138" i="26"/>
  <c r="Q138" i="26"/>
  <c r="P138" i="26"/>
  <c r="O138" i="26"/>
  <c r="N138" i="26"/>
  <c r="M138" i="26"/>
  <c r="T137" i="26"/>
  <c r="S137" i="26"/>
  <c r="R137" i="26"/>
  <c r="Q137" i="26"/>
  <c r="P137" i="26"/>
  <c r="O137" i="26"/>
  <c r="N137" i="26"/>
  <c r="M137" i="26"/>
  <c r="T136" i="26"/>
  <c r="S136" i="26"/>
  <c r="R136" i="26"/>
  <c r="Q136" i="26"/>
  <c r="P136" i="26"/>
  <c r="O136" i="26"/>
  <c r="N136" i="26"/>
  <c r="M136" i="26"/>
  <c r="T135" i="26"/>
  <c r="S135" i="26"/>
  <c r="R135" i="26"/>
  <c r="Q135" i="26"/>
  <c r="P135" i="26"/>
  <c r="O135" i="26"/>
  <c r="N135" i="26"/>
  <c r="M135" i="26"/>
  <c r="T134" i="26"/>
  <c r="U134" i="26" s="1"/>
  <c r="S134" i="26"/>
  <c r="R134" i="26"/>
  <c r="Q134" i="26"/>
  <c r="P134" i="26"/>
  <c r="O134" i="26"/>
  <c r="N134" i="26"/>
  <c r="M134" i="26"/>
  <c r="T133" i="26"/>
  <c r="S133" i="26"/>
  <c r="R133" i="26"/>
  <c r="Q133" i="26"/>
  <c r="P133" i="26"/>
  <c r="O133" i="26"/>
  <c r="N133" i="26"/>
  <c r="M133" i="26"/>
  <c r="T132" i="26"/>
  <c r="S132" i="26"/>
  <c r="R132" i="26"/>
  <c r="Q132" i="26"/>
  <c r="P132" i="26"/>
  <c r="O132" i="26"/>
  <c r="N132" i="26"/>
  <c r="M132" i="26"/>
  <c r="T131" i="26"/>
  <c r="S131" i="26"/>
  <c r="R131" i="26"/>
  <c r="Q131" i="26"/>
  <c r="P131" i="26"/>
  <c r="O131" i="26"/>
  <c r="N131" i="26"/>
  <c r="M131" i="26"/>
  <c r="T130" i="26"/>
  <c r="S130" i="26"/>
  <c r="R130" i="26"/>
  <c r="Q130" i="26"/>
  <c r="P130" i="26"/>
  <c r="O130" i="26"/>
  <c r="N130" i="26"/>
  <c r="M130" i="26"/>
  <c r="T129" i="26"/>
  <c r="U129" i="26" s="1"/>
  <c r="S129" i="26"/>
  <c r="R129" i="26"/>
  <c r="Q129" i="26"/>
  <c r="P129" i="26"/>
  <c r="O129" i="26"/>
  <c r="N129" i="26"/>
  <c r="M129" i="26"/>
  <c r="T128" i="26"/>
  <c r="S128" i="26"/>
  <c r="R128" i="26"/>
  <c r="Q128" i="26"/>
  <c r="P128" i="26"/>
  <c r="O128" i="26"/>
  <c r="N128" i="26"/>
  <c r="M128" i="26"/>
  <c r="T127" i="26"/>
  <c r="S127" i="26"/>
  <c r="R127" i="26"/>
  <c r="Q127" i="26"/>
  <c r="P127" i="26"/>
  <c r="O127" i="26"/>
  <c r="N127" i="26"/>
  <c r="M127" i="26"/>
  <c r="T126" i="26"/>
  <c r="U126" i="26" s="1"/>
  <c r="S126" i="26"/>
  <c r="R126" i="26"/>
  <c r="Q126" i="26"/>
  <c r="P126" i="26"/>
  <c r="O126" i="26"/>
  <c r="N126" i="26"/>
  <c r="M126" i="26"/>
  <c r="T125" i="26"/>
  <c r="S125" i="26"/>
  <c r="R125" i="26"/>
  <c r="Q125" i="26"/>
  <c r="P125" i="26"/>
  <c r="O125" i="26"/>
  <c r="N125" i="26"/>
  <c r="M125" i="26"/>
  <c r="T124" i="26"/>
  <c r="S124" i="26"/>
  <c r="R124" i="26"/>
  <c r="Q124" i="26"/>
  <c r="P124" i="26"/>
  <c r="O124" i="26"/>
  <c r="N124" i="26"/>
  <c r="M124" i="26"/>
  <c r="T123" i="26"/>
  <c r="S123" i="26"/>
  <c r="R123" i="26"/>
  <c r="Q123" i="26"/>
  <c r="P123" i="26"/>
  <c r="O123" i="26"/>
  <c r="N123" i="26"/>
  <c r="M123" i="26"/>
  <c r="T122" i="26"/>
  <c r="S122" i="26"/>
  <c r="R122" i="26"/>
  <c r="Q122" i="26"/>
  <c r="P122" i="26"/>
  <c r="O122" i="26"/>
  <c r="N122" i="26"/>
  <c r="M122" i="26"/>
  <c r="T121" i="26"/>
  <c r="S121" i="26"/>
  <c r="R121" i="26"/>
  <c r="Q121" i="26"/>
  <c r="P121" i="26"/>
  <c r="O121" i="26"/>
  <c r="N121" i="26"/>
  <c r="M121" i="26"/>
  <c r="T120" i="26"/>
  <c r="S120" i="26"/>
  <c r="R120" i="26"/>
  <c r="Q120" i="26"/>
  <c r="P120" i="26"/>
  <c r="O120" i="26"/>
  <c r="N120" i="26"/>
  <c r="M120" i="26"/>
  <c r="T119" i="26"/>
  <c r="S119" i="26"/>
  <c r="R119" i="26"/>
  <c r="Q119" i="26"/>
  <c r="P119" i="26"/>
  <c r="O119" i="26"/>
  <c r="N119" i="26"/>
  <c r="M119" i="26"/>
  <c r="T118" i="26"/>
  <c r="S118" i="26"/>
  <c r="R118" i="26"/>
  <c r="Q118" i="26"/>
  <c r="P118" i="26"/>
  <c r="O118" i="26"/>
  <c r="N118" i="26"/>
  <c r="M118" i="26"/>
  <c r="T117" i="26"/>
  <c r="S117" i="26"/>
  <c r="R117" i="26"/>
  <c r="Q117" i="26"/>
  <c r="P117" i="26"/>
  <c r="O117" i="26"/>
  <c r="N117" i="26"/>
  <c r="M117" i="26"/>
  <c r="T116" i="26"/>
  <c r="S116" i="26"/>
  <c r="R116" i="26"/>
  <c r="Q116" i="26"/>
  <c r="P116" i="26"/>
  <c r="O116" i="26"/>
  <c r="N116" i="26"/>
  <c r="M116" i="26"/>
  <c r="T115" i="26"/>
  <c r="S115" i="26"/>
  <c r="R115" i="26"/>
  <c r="Q115" i="26"/>
  <c r="P115" i="26"/>
  <c r="O115" i="26"/>
  <c r="N115" i="26"/>
  <c r="M115" i="26"/>
  <c r="T114" i="26"/>
  <c r="S114" i="26"/>
  <c r="R114" i="26"/>
  <c r="Q114" i="26"/>
  <c r="P114" i="26"/>
  <c r="O114" i="26"/>
  <c r="N114" i="26"/>
  <c r="M114" i="26"/>
  <c r="T113" i="26"/>
  <c r="S113" i="26"/>
  <c r="R113" i="26"/>
  <c r="Q113" i="26"/>
  <c r="P113" i="26"/>
  <c r="O113" i="26"/>
  <c r="N113" i="26"/>
  <c r="M113" i="26"/>
  <c r="T112" i="26"/>
  <c r="S112" i="26"/>
  <c r="R112" i="26"/>
  <c r="Q112" i="26"/>
  <c r="P112" i="26"/>
  <c r="O112" i="26"/>
  <c r="N112" i="26"/>
  <c r="M112" i="26"/>
  <c r="T111" i="26"/>
  <c r="S111" i="26"/>
  <c r="R111" i="26"/>
  <c r="Q111" i="26"/>
  <c r="P111" i="26"/>
  <c r="O111" i="26"/>
  <c r="N111" i="26"/>
  <c r="M111" i="26"/>
  <c r="T110" i="26"/>
  <c r="S110" i="26"/>
  <c r="R110" i="26"/>
  <c r="Q110" i="26"/>
  <c r="P110" i="26"/>
  <c r="O110" i="26"/>
  <c r="N110" i="26"/>
  <c r="M110" i="26"/>
  <c r="T109" i="26"/>
  <c r="S109" i="26"/>
  <c r="R109" i="26"/>
  <c r="Q109" i="26"/>
  <c r="P109" i="26"/>
  <c r="O109" i="26"/>
  <c r="N109" i="26"/>
  <c r="M109" i="26"/>
  <c r="T108" i="26"/>
  <c r="S108" i="26"/>
  <c r="R108" i="26"/>
  <c r="Q108" i="26"/>
  <c r="P108" i="26"/>
  <c r="O108" i="26"/>
  <c r="N108" i="26"/>
  <c r="M108" i="26"/>
  <c r="T107" i="26"/>
  <c r="S107" i="26"/>
  <c r="R107" i="26"/>
  <c r="Q107" i="26"/>
  <c r="P107" i="26"/>
  <c r="O107" i="26"/>
  <c r="N107" i="26"/>
  <c r="M107" i="26"/>
  <c r="T106" i="26"/>
  <c r="U106" i="26" s="1"/>
  <c r="S106" i="26"/>
  <c r="R106" i="26"/>
  <c r="Q106" i="26"/>
  <c r="P106" i="26"/>
  <c r="O106" i="26"/>
  <c r="N106" i="26"/>
  <c r="M106" i="26"/>
  <c r="T105" i="26"/>
  <c r="S105" i="26"/>
  <c r="R105" i="26"/>
  <c r="Q105" i="26"/>
  <c r="P105" i="26"/>
  <c r="O105" i="26"/>
  <c r="N105" i="26"/>
  <c r="M105" i="26"/>
  <c r="T104" i="26"/>
  <c r="S104" i="26"/>
  <c r="R104" i="26"/>
  <c r="Q104" i="26"/>
  <c r="P104" i="26"/>
  <c r="O104" i="26"/>
  <c r="N104" i="26"/>
  <c r="M104" i="26"/>
  <c r="T103" i="26"/>
  <c r="S103" i="26"/>
  <c r="R103" i="26"/>
  <c r="Q103" i="26"/>
  <c r="P103" i="26"/>
  <c r="O103" i="26"/>
  <c r="N103" i="26"/>
  <c r="M103" i="26"/>
  <c r="T102" i="26"/>
  <c r="S102" i="26"/>
  <c r="R102" i="26"/>
  <c r="Q102" i="26"/>
  <c r="P102" i="26"/>
  <c r="O102" i="26"/>
  <c r="N102" i="26"/>
  <c r="M102" i="26"/>
  <c r="T101" i="26"/>
  <c r="U101" i="26" s="1"/>
  <c r="S101" i="26"/>
  <c r="R101" i="26"/>
  <c r="Q101" i="26"/>
  <c r="P101" i="26"/>
  <c r="O101" i="26"/>
  <c r="N101" i="26"/>
  <c r="M101" i="26"/>
  <c r="T100" i="26"/>
  <c r="S100" i="26"/>
  <c r="R100" i="26"/>
  <c r="Q100" i="26"/>
  <c r="P100" i="26"/>
  <c r="O100" i="26"/>
  <c r="N100" i="26"/>
  <c r="M100" i="26"/>
  <c r="T99" i="26"/>
  <c r="S99" i="26"/>
  <c r="R99" i="26"/>
  <c r="Q99" i="26"/>
  <c r="P99" i="26"/>
  <c r="O99" i="26"/>
  <c r="N99" i="26"/>
  <c r="M99" i="26"/>
  <c r="T98" i="26"/>
  <c r="S98" i="26"/>
  <c r="R98" i="26"/>
  <c r="Q98" i="26"/>
  <c r="P98" i="26"/>
  <c r="O98" i="26"/>
  <c r="N98" i="26"/>
  <c r="M98" i="26"/>
  <c r="T97" i="26"/>
  <c r="S97" i="26"/>
  <c r="R97" i="26"/>
  <c r="Q97" i="26"/>
  <c r="P97" i="26"/>
  <c r="O97" i="26"/>
  <c r="N97" i="26"/>
  <c r="M97" i="26"/>
  <c r="T96" i="26"/>
  <c r="S96" i="26"/>
  <c r="R96" i="26"/>
  <c r="Q96" i="26"/>
  <c r="P96" i="26"/>
  <c r="O96" i="26"/>
  <c r="N96" i="26"/>
  <c r="M96" i="26"/>
  <c r="T95" i="26"/>
  <c r="S95" i="26"/>
  <c r="R95" i="26"/>
  <c r="Q95" i="26"/>
  <c r="P95" i="26"/>
  <c r="O95" i="26"/>
  <c r="N95" i="26"/>
  <c r="M95" i="26"/>
  <c r="T94" i="26"/>
  <c r="S94" i="26"/>
  <c r="R94" i="26"/>
  <c r="Q94" i="26"/>
  <c r="P94" i="26"/>
  <c r="O94" i="26"/>
  <c r="N94" i="26"/>
  <c r="M94" i="26"/>
  <c r="T93" i="26"/>
  <c r="S93" i="26"/>
  <c r="R93" i="26"/>
  <c r="Q93" i="26"/>
  <c r="P93" i="26"/>
  <c r="O93" i="26"/>
  <c r="N93" i="26"/>
  <c r="M93" i="26"/>
  <c r="T92" i="26"/>
  <c r="S92" i="26"/>
  <c r="R92" i="26"/>
  <c r="Q92" i="26"/>
  <c r="P92" i="26"/>
  <c r="O92" i="26"/>
  <c r="N92" i="26"/>
  <c r="M92" i="26"/>
  <c r="T91" i="26"/>
  <c r="S91" i="26"/>
  <c r="R91" i="26"/>
  <c r="Q91" i="26"/>
  <c r="P91" i="26"/>
  <c r="O91" i="26"/>
  <c r="N91" i="26"/>
  <c r="M91" i="26"/>
  <c r="T90" i="26"/>
  <c r="U90" i="26" s="1"/>
  <c r="S90" i="26"/>
  <c r="R90" i="26"/>
  <c r="Q90" i="26"/>
  <c r="P90" i="26"/>
  <c r="O90" i="26"/>
  <c r="N90" i="26"/>
  <c r="M90" i="26"/>
  <c r="T89" i="26"/>
  <c r="S89" i="26"/>
  <c r="R89" i="26"/>
  <c r="Q89" i="26"/>
  <c r="P89" i="26"/>
  <c r="O89" i="26"/>
  <c r="N89" i="26"/>
  <c r="M89" i="26"/>
  <c r="T88" i="26"/>
  <c r="S88" i="26"/>
  <c r="R88" i="26"/>
  <c r="Q88" i="26"/>
  <c r="P88" i="26"/>
  <c r="O88" i="26"/>
  <c r="N88" i="26"/>
  <c r="M88" i="26"/>
  <c r="T87" i="26"/>
  <c r="S87" i="26"/>
  <c r="R87" i="26"/>
  <c r="Q87" i="26"/>
  <c r="P87" i="26"/>
  <c r="O87" i="26"/>
  <c r="N87" i="26"/>
  <c r="M87" i="26"/>
  <c r="C81" i="26"/>
  <c r="T80" i="26"/>
  <c r="S80" i="26"/>
  <c r="R80" i="26"/>
  <c r="Q80" i="26"/>
  <c r="P80" i="26"/>
  <c r="O80" i="26"/>
  <c r="N80" i="26"/>
  <c r="M80" i="26"/>
  <c r="T79" i="26"/>
  <c r="S79" i="26"/>
  <c r="R79" i="26"/>
  <c r="Q79" i="26"/>
  <c r="P79" i="26"/>
  <c r="O79" i="26"/>
  <c r="N79" i="26"/>
  <c r="M79" i="26"/>
  <c r="T78" i="26"/>
  <c r="S78" i="26"/>
  <c r="R78" i="26"/>
  <c r="Q78" i="26"/>
  <c r="P78" i="26"/>
  <c r="O78" i="26"/>
  <c r="N78" i="26"/>
  <c r="M78" i="26"/>
  <c r="T77" i="26"/>
  <c r="S77" i="26"/>
  <c r="R77" i="26"/>
  <c r="Q77" i="26"/>
  <c r="P77" i="26"/>
  <c r="O77" i="26"/>
  <c r="N77" i="26"/>
  <c r="M77" i="26"/>
  <c r="T76" i="26"/>
  <c r="S76" i="26"/>
  <c r="R76" i="26"/>
  <c r="Q76" i="26"/>
  <c r="P76" i="26"/>
  <c r="O76" i="26"/>
  <c r="N76" i="26"/>
  <c r="M76" i="26"/>
  <c r="T75" i="26"/>
  <c r="S75" i="26"/>
  <c r="R75" i="26"/>
  <c r="Q75" i="26"/>
  <c r="P75" i="26"/>
  <c r="O75" i="26"/>
  <c r="N75" i="26"/>
  <c r="M75" i="26"/>
  <c r="T74" i="26"/>
  <c r="S74" i="26"/>
  <c r="R74" i="26"/>
  <c r="Q74" i="26"/>
  <c r="P74" i="26"/>
  <c r="O74" i="26"/>
  <c r="N74" i="26"/>
  <c r="M74" i="26"/>
  <c r="T73" i="26"/>
  <c r="S73" i="26"/>
  <c r="R73" i="26"/>
  <c r="Q73" i="26"/>
  <c r="P73" i="26"/>
  <c r="O73" i="26"/>
  <c r="N73" i="26"/>
  <c r="M73" i="26"/>
  <c r="T72" i="26"/>
  <c r="S72" i="26"/>
  <c r="R72" i="26"/>
  <c r="Q72" i="26"/>
  <c r="P72" i="26"/>
  <c r="O72" i="26"/>
  <c r="N72" i="26"/>
  <c r="M72" i="26"/>
  <c r="T71" i="26"/>
  <c r="S71" i="26"/>
  <c r="R71" i="26"/>
  <c r="Q71" i="26"/>
  <c r="P71" i="26"/>
  <c r="O71" i="26"/>
  <c r="N71" i="26"/>
  <c r="M71" i="26"/>
  <c r="T70" i="26"/>
  <c r="S70" i="26"/>
  <c r="R70" i="26"/>
  <c r="Q70" i="26"/>
  <c r="P70" i="26"/>
  <c r="O70" i="26"/>
  <c r="N70" i="26"/>
  <c r="M70" i="26"/>
  <c r="T69" i="26"/>
  <c r="S69" i="26"/>
  <c r="R69" i="26"/>
  <c r="Q69" i="26"/>
  <c r="P69" i="26"/>
  <c r="O69" i="26"/>
  <c r="N69" i="26"/>
  <c r="M69" i="26"/>
  <c r="T68" i="26"/>
  <c r="S68" i="26"/>
  <c r="R68" i="26"/>
  <c r="Q68" i="26"/>
  <c r="P68" i="26"/>
  <c r="O68" i="26"/>
  <c r="N68" i="26"/>
  <c r="M68" i="26"/>
  <c r="T67" i="26"/>
  <c r="S67" i="26"/>
  <c r="R67" i="26"/>
  <c r="Q67" i="26"/>
  <c r="P67" i="26"/>
  <c r="O67" i="26"/>
  <c r="N67" i="26"/>
  <c r="M67" i="26"/>
  <c r="T66" i="26"/>
  <c r="S66" i="26"/>
  <c r="R66" i="26"/>
  <c r="Q66" i="26"/>
  <c r="P66" i="26"/>
  <c r="O66" i="26"/>
  <c r="N66" i="26"/>
  <c r="M66" i="26"/>
  <c r="T65" i="26"/>
  <c r="S65" i="26"/>
  <c r="R65" i="26"/>
  <c r="Q65" i="26"/>
  <c r="P65" i="26"/>
  <c r="O65" i="26"/>
  <c r="N65" i="26"/>
  <c r="M65" i="26"/>
  <c r="T64" i="26"/>
  <c r="S64" i="26"/>
  <c r="R64" i="26"/>
  <c r="Q64" i="26"/>
  <c r="P64" i="26"/>
  <c r="O64" i="26"/>
  <c r="N64" i="26"/>
  <c r="M64" i="26"/>
  <c r="T63" i="26"/>
  <c r="S63" i="26"/>
  <c r="R63" i="26"/>
  <c r="Q63" i="26"/>
  <c r="P63" i="26"/>
  <c r="O63" i="26"/>
  <c r="N63" i="26"/>
  <c r="M63" i="26"/>
  <c r="T62" i="26"/>
  <c r="S62" i="26"/>
  <c r="R62" i="26"/>
  <c r="Q62" i="26"/>
  <c r="P62" i="26"/>
  <c r="O62" i="26"/>
  <c r="N62" i="26"/>
  <c r="M62" i="26"/>
  <c r="T61" i="26"/>
  <c r="S61" i="26"/>
  <c r="R61" i="26"/>
  <c r="Q61" i="26"/>
  <c r="P61" i="26"/>
  <c r="O61" i="26"/>
  <c r="N61" i="26"/>
  <c r="M61" i="26"/>
  <c r="T60" i="26"/>
  <c r="S60" i="26"/>
  <c r="R60" i="26"/>
  <c r="Q60" i="26"/>
  <c r="P60" i="26"/>
  <c r="O60" i="26"/>
  <c r="N60" i="26"/>
  <c r="M60" i="26"/>
  <c r="T59" i="26"/>
  <c r="S59" i="26"/>
  <c r="R59" i="26"/>
  <c r="Q59" i="26"/>
  <c r="P59" i="26"/>
  <c r="O59" i="26"/>
  <c r="N59" i="26"/>
  <c r="M59" i="26"/>
  <c r="T58" i="26"/>
  <c r="S58" i="26"/>
  <c r="R58" i="26"/>
  <c r="Q58" i="26"/>
  <c r="P58" i="26"/>
  <c r="O58" i="26"/>
  <c r="N58" i="26"/>
  <c r="M58" i="26"/>
  <c r="T57" i="26"/>
  <c r="S57" i="26"/>
  <c r="R57" i="26"/>
  <c r="Q57" i="26"/>
  <c r="P57" i="26"/>
  <c r="O57" i="26"/>
  <c r="N57" i="26"/>
  <c r="M57" i="26"/>
  <c r="T56" i="26"/>
  <c r="S56" i="26"/>
  <c r="R56" i="26"/>
  <c r="Q56" i="26"/>
  <c r="P56" i="26"/>
  <c r="O56" i="26"/>
  <c r="N56" i="26"/>
  <c r="M56" i="26"/>
  <c r="T55" i="26"/>
  <c r="S55" i="26"/>
  <c r="R55" i="26"/>
  <c r="Q55" i="26"/>
  <c r="P55" i="26"/>
  <c r="O55" i="26"/>
  <c r="N55" i="26"/>
  <c r="M55" i="26"/>
  <c r="T54" i="26"/>
  <c r="S54" i="26"/>
  <c r="R54" i="26"/>
  <c r="Q54" i="26"/>
  <c r="P54" i="26"/>
  <c r="O54" i="26"/>
  <c r="N54" i="26"/>
  <c r="M54" i="26"/>
  <c r="T53" i="26"/>
  <c r="S53" i="26"/>
  <c r="R53" i="26"/>
  <c r="Q53" i="26"/>
  <c r="P53" i="26"/>
  <c r="O53" i="26"/>
  <c r="N53" i="26"/>
  <c r="M53" i="26"/>
  <c r="T52" i="26"/>
  <c r="S52" i="26"/>
  <c r="R52" i="26"/>
  <c r="Q52" i="26"/>
  <c r="P52" i="26"/>
  <c r="O52" i="26"/>
  <c r="N52" i="26"/>
  <c r="M52" i="26"/>
  <c r="T51" i="26"/>
  <c r="S51" i="26"/>
  <c r="R51" i="26"/>
  <c r="Q51" i="26"/>
  <c r="P51" i="26"/>
  <c r="O51" i="26"/>
  <c r="N51" i="26"/>
  <c r="M51" i="26"/>
  <c r="T50" i="26"/>
  <c r="S50" i="26"/>
  <c r="R50" i="26"/>
  <c r="Q50" i="26"/>
  <c r="P50" i="26"/>
  <c r="O50" i="26"/>
  <c r="N50" i="26"/>
  <c r="M50" i="26"/>
  <c r="T49" i="26"/>
  <c r="S49" i="26"/>
  <c r="R49" i="26"/>
  <c r="Q49" i="26"/>
  <c r="P49" i="26"/>
  <c r="O49" i="26"/>
  <c r="N49" i="26"/>
  <c r="M49" i="26"/>
  <c r="T48" i="26"/>
  <c r="S48" i="26"/>
  <c r="R48" i="26"/>
  <c r="Q48" i="26"/>
  <c r="P48" i="26"/>
  <c r="O48" i="26"/>
  <c r="N48" i="26"/>
  <c r="M48" i="26"/>
  <c r="T47" i="26"/>
  <c r="S47" i="26"/>
  <c r="R47" i="26"/>
  <c r="Q47" i="26"/>
  <c r="P47" i="26"/>
  <c r="O47" i="26"/>
  <c r="N47" i="26"/>
  <c r="M47" i="26"/>
  <c r="T46" i="26"/>
  <c r="S46" i="26"/>
  <c r="U46" i="26" s="1"/>
  <c r="R46" i="26"/>
  <c r="Q46" i="26"/>
  <c r="P46" i="26"/>
  <c r="O46" i="26"/>
  <c r="N46" i="26"/>
  <c r="M46" i="26"/>
  <c r="T45" i="26"/>
  <c r="S45" i="26"/>
  <c r="U45" i="26" s="1"/>
  <c r="R45" i="26"/>
  <c r="Q45" i="26"/>
  <c r="P45" i="26"/>
  <c r="O45" i="26"/>
  <c r="N45" i="26"/>
  <c r="M45" i="26"/>
  <c r="T44" i="26"/>
  <c r="S44" i="26"/>
  <c r="R44" i="26"/>
  <c r="Q44" i="26"/>
  <c r="P44" i="26"/>
  <c r="O44" i="26"/>
  <c r="N44" i="26"/>
  <c r="M44" i="26"/>
  <c r="T43" i="26"/>
  <c r="S43" i="26"/>
  <c r="R43" i="26"/>
  <c r="Q43" i="26"/>
  <c r="P43" i="26"/>
  <c r="O43" i="26"/>
  <c r="N43" i="26"/>
  <c r="M43" i="26"/>
  <c r="T42" i="26"/>
  <c r="S42" i="26"/>
  <c r="U42" i="26" s="1"/>
  <c r="R42" i="26"/>
  <c r="Q42" i="26"/>
  <c r="P42" i="26"/>
  <c r="O42" i="26"/>
  <c r="N42" i="26"/>
  <c r="M42" i="26"/>
  <c r="T41" i="26"/>
  <c r="S41" i="26"/>
  <c r="R41" i="26"/>
  <c r="Q41" i="26"/>
  <c r="P41" i="26"/>
  <c r="O41" i="26"/>
  <c r="N41" i="26"/>
  <c r="M41" i="26"/>
  <c r="T40" i="26"/>
  <c r="S40" i="26"/>
  <c r="R40" i="26"/>
  <c r="Q40" i="26"/>
  <c r="P40" i="26"/>
  <c r="O40" i="26"/>
  <c r="N40" i="26"/>
  <c r="M40" i="26"/>
  <c r="T39" i="26"/>
  <c r="S39" i="26"/>
  <c r="R39" i="26"/>
  <c r="Q39" i="26"/>
  <c r="P39" i="26"/>
  <c r="O39" i="26"/>
  <c r="N39" i="26"/>
  <c r="M39" i="26"/>
  <c r="T38" i="26"/>
  <c r="S38" i="26"/>
  <c r="U38" i="26" s="1"/>
  <c r="R38" i="26"/>
  <c r="Q38" i="26"/>
  <c r="P38" i="26"/>
  <c r="O38" i="26"/>
  <c r="N38" i="26"/>
  <c r="M38" i="26"/>
  <c r="T37" i="26"/>
  <c r="S37" i="26"/>
  <c r="R37" i="26"/>
  <c r="Q37" i="26"/>
  <c r="P37" i="26"/>
  <c r="O37" i="26"/>
  <c r="N37" i="26"/>
  <c r="M37" i="26"/>
  <c r="T36" i="26"/>
  <c r="S36" i="26"/>
  <c r="R36" i="26"/>
  <c r="Q36" i="26"/>
  <c r="P36" i="26"/>
  <c r="O36" i="26"/>
  <c r="N36" i="26"/>
  <c r="M36" i="26"/>
  <c r="T35" i="26"/>
  <c r="S35" i="26"/>
  <c r="R35" i="26"/>
  <c r="Q35" i="26"/>
  <c r="P35" i="26"/>
  <c r="O35" i="26"/>
  <c r="N35" i="26"/>
  <c r="M35" i="26"/>
  <c r="T34" i="26"/>
  <c r="S34" i="26"/>
  <c r="R34" i="26"/>
  <c r="Q34" i="26"/>
  <c r="P34" i="26"/>
  <c r="O34" i="26"/>
  <c r="N34" i="26"/>
  <c r="M34" i="26"/>
  <c r="T33" i="26"/>
  <c r="S33" i="26"/>
  <c r="R33" i="26"/>
  <c r="Q33" i="26"/>
  <c r="P33" i="26"/>
  <c r="O33" i="26"/>
  <c r="N33" i="26"/>
  <c r="M33" i="26"/>
  <c r="T32" i="26"/>
  <c r="S32" i="26"/>
  <c r="R32" i="26"/>
  <c r="Q32" i="26"/>
  <c r="P32" i="26"/>
  <c r="O32" i="26"/>
  <c r="N32" i="26"/>
  <c r="M32" i="26"/>
  <c r="T31" i="26"/>
  <c r="S31" i="26"/>
  <c r="R31" i="26"/>
  <c r="Q31" i="26"/>
  <c r="P31" i="26"/>
  <c r="O31" i="26"/>
  <c r="N31" i="26"/>
  <c r="M31" i="26"/>
  <c r="T30" i="26"/>
  <c r="S30" i="26"/>
  <c r="R30" i="26"/>
  <c r="Q30" i="26"/>
  <c r="P30" i="26"/>
  <c r="O30" i="26"/>
  <c r="N30" i="26"/>
  <c r="M30" i="26"/>
  <c r="T29" i="26"/>
  <c r="S29" i="26"/>
  <c r="U29" i="26" s="1"/>
  <c r="R29" i="26"/>
  <c r="Q29" i="26"/>
  <c r="P29" i="26"/>
  <c r="O29" i="26"/>
  <c r="N29" i="26"/>
  <c r="M29" i="26"/>
  <c r="T28" i="26"/>
  <c r="S28" i="26"/>
  <c r="U28" i="26" s="1"/>
  <c r="R28" i="26"/>
  <c r="Q28" i="26"/>
  <c r="P28" i="26"/>
  <c r="O28" i="26"/>
  <c r="N28" i="26"/>
  <c r="M28" i="26"/>
  <c r="T27" i="26"/>
  <c r="S27" i="26"/>
  <c r="U27" i="26" s="1"/>
  <c r="R27" i="26"/>
  <c r="Q27" i="26"/>
  <c r="P27" i="26"/>
  <c r="O27" i="26"/>
  <c r="N27" i="26"/>
  <c r="M27" i="26"/>
  <c r="T26" i="26"/>
  <c r="S26" i="26"/>
  <c r="R26" i="26"/>
  <c r="Q26" i="26"/>
  <c r="P26" i="26"/>
  <c r="O26" i="26"/>
  <c r="N26" i="26"/>
  <c r="M26" i="26"/>
  <c r="T25" i="26"/>
  <c r="S25" i="26"/>
  <c r="R25" i="26"/>
  <c r="Q25" i="26"/>
  <c r="P25" i="26"/>
  <c r="O25" i="26"/>
  <c r="N25" i="26"/>
  <c r="M25" i="26"/>
  <c r="T24" i="26"/>
  <c r="S24" i="26"/>
  <c r="R24" i="26"/>
  <c r="Q24" i="26"/>
  <c r="P24" i="26"/>
  <c r="O24" i="26"/>
  <c r="N24" i="26"/>
  <c r="M24" i="26"/>
  <c r="T23" i="26"/>
  <c r="S23" i="26"/>
  <c r="R23" i="26"/>
  <c r="Q23" i="26"/>
  <c r="P23" i="26"/>
  <c r="O23" i="26"/>
  <c r="N23" i="26"/>
  <c r="M23" i="26"/>
  <c r="T22" i="26"/>
  <c r="S22" i="26"/>
  <c r="R22" i="26"/>
  <c r="Q22" i="26"/>
  <c r="P22" i="26"/>
  <c r="O22" i="26"/>
  <c r="N22" i="26"/>
  <c r="M22" i="26"/>
  <c r="T21" i="26"/>
  <c r="S21" i="26"/>
  <c r="U21" i="26" s="1"/>
  <c r="R21" i="26"/>
  <c r="Q21" i="26"/>
  <c r="P21" i="26"/>
  <c r="O21" i="26"/>
  <c r="N21" i="26"/>
  <c r="M21" i="26"/>
  <c r="T20" i="26"/>
  <c r="S20" i="26"/>
  <c r="U20" i="26" s="1"/>
  <c r="R20" i="26"/>
  <c r="Q20" i="26"/>
  <c r="P20" i="26"/>
  <c r="O20" i="26"/>
  <c r="N20" i="26"/>
  <c r="M20" i="26"/>
  <c r="T19" i="26"/>
  <c r="S19" i="26"/>
  <c r="U19" i="26" s="1"/>
  <c r="R19" i="26"/>
  <c r="Q19" i="26"/>
  <c r="P19" i="26"/>
  <c r="O19" i="26"/>
  <c r="N19" i="26"/>
  <c r="M19" i="26"/>
  <c r="T18" i="26"/>
  <c r="S18" i="26"/>
  <c r="R18" i="26"/>
  <c r="Q18" i="26"/>
  <c r="P18" i="26"/>
  <c r="O18" i="26"/>
  <c r="N18" i="26"/>
  <c r="M18" i="26"/>
  <c r="T17" i="26"/>
  <c r="S17" i="26"/>
  <c r="U17" i="26" s="1"/>
  <c r="R17" i="26"/>
  <c r="Q17" i="26"/>
  <c r="P17" i="26"/>
  <c r="O17" i="26"/>
  <c r="N17" i="26"/>
  <c r="M17" i="26"/>
  <c r="T16" i="26"/>
  <c r="S16" i="26"/>
  <c r="R16" i="26"/>
  <c r="Q16" i="26"/>
  <c r="P16" i="26"/>
  <c r="O16" i="26"/>
  <c r="N16" i="26"/>
  <c r="M16" i="26"/>
  <c r="T15" i="26"/>
  <c r="S15" i="26"/>
  <c r="R15" i="26"/>
  <c r="Q15" i="26"/>
  <c r="P15" i="26"/>
  <c r="O15" i="26"/>
  <c r="N15" i="26"/>
  <c r="M15" i="26"/>
  <c r="T14" i="26"/>
  <c r="S14" i="26"/>
  <c r="R14" i="26"/>
  <c r="Q14" i="26"/>
  <c r="P14" i="26"/>
  <c r="O14" i="26"/>
  <c r="N14" i="26"/>
  <c r="M14" i="26"/>
  <c r="T13" i="26"/>
  <c r="S13" i="26"/>
  <c r="U13" i="26" s="1"/>
  <c r="R13" i="26"/>
  <c r="Q13" i="26"/>
  <c r="P13" i="26"/>
  <c r="O13" i="26"/>
  <c r="N13" i="26"/>
  <c r="M13" i="26"/>
  <c r="T12" i="26"/>
  <c r="S12" i="26"/>
  <c r="R12" i="26"/>
  <c r="Q12" i="26"/>
  <c r="P12" i="26"/>
  <c r="O12" i="26"/>
  <c r="N12" i="26"/>
  <c r="M12" i="26"/>
  <c r="T11" i="26"/>
  <c r="S11" i="26"/>
  <c r="R11" i="26"/>
  <c r="Q11" i="26"/>
  <c r="P11" i="26"/>
  <c r="O11" i="26"/>
  <c r="N11" i="26"/>
  <c r="M11" i="26"/>
  <c r="T10" i="26"/>
  <c r="S10" i="26"/>
  <c r="R10" i="26"/>
  <c r="Q10" i="26"/>
  <c r="P10" i="26"/>
  <c r="O10" i="26"/>
  <c r="N10" i="26"/>
  <c r="M10" i="26"/>
  <c r="T9" i="26"/>
  <c r="S9" i="26"/>
  <c r="R9" i="26"/>
  <c r="Q9" i="26"/>
  <c r="P9" i="26"/>
  <c r="O9" i="26"/>
  <c r="N9" i="26"/>
  <c r="M9" i="26"/>
  <c r="T8" i="26"/>
  <c r="T81" i="26" s="1"/>
  <c r="R8" i="26"/>
  <c r="P8" i="26"/>
  <c r="P81" i="26" s="1"/>
  <c r="N8" i="26"/>
  <c r="M8" i="26"/>
  <c r="G8" i="26"/>
  <c r="AH41" i="23" l="1"/>
  <c r="AL42" i="23"/>
  <c r="BD42" i="23" s="1"/>
  <c r="AF43" i="23"/>
  <c r="AG43" i="23"/>
  <c r="AD43" i="23"/>
  <c r="AI43" i="23" s="1"/>
  <c r="AE44" i="23"/>
  <c r="AC42" i="23"/>
  <c r="AK42" i="23"/>
  <c r="BC41" i="23"/>
  <c r="U37" i="26"/>
  <c r="U53" i="26"/>
  <c r="U109" i="26"/>
  <c r="U115" i="26"/>
  <c r="U116" i="26"/>
  <c r="U121" i="26"/>
  <c r="U123" i="26"/>
  <c r="U124" i="26"/>
  <c r="U125" i="26"/>
  <c r="U153" i="26"/>
  <c r="U154" i="26"/>
  <c r="U155" i="26"/>
  <c r="U160" i="26"/>
  <c r="U161" i="26"/>
  <c r="U162" i="26"/>
  <c r="U163" i="26"/>
  <c r="U192" i="26"/>
  <c r="U9" i="26"/>
  <c r="U30" i="26"/>
  <c r="U152" i="26"/>
  <c r="N199" i="26"/>
  <c r="M233" i="26"/>
  <c r="U91" i="26"/>
  <c r="U92" i="26"/>
  <c r="U93" i="26"/>
  <c r="U173" i="26"/>
  <c r="U184" i="26"/>
  <c r="U186" i="26"/>
  <c r="I202" i="26"/>
  <c r="I205" i="26"/>
  <c r="J205" i="26" s="1"/>
  <c r="K205" i="26" s="1"/>
  <c r="M199" i="26"/>
  <c r="U110" i="26"/>
  <c r="U168" i="26"/>
  <c r="U88" i="26"/>
  <c r="U89" i="26"/>
  <c r="U113" i="26"/>
  <c r="U118" i="26"/>
  <c r="U131" i="26"/>
  <c r="U132" i="26"/>
  <c r="U133" i="26"/>
  <c r="U137" i="26"/>
  <c r="U139" i="26"/>
  <c r="U140" i="26"/>
  <c r="U141" i="26"/>
  <c r="U145" i="26"/>
  <c r="U146" i="26"/>
  <c r="U147" i="26"/>
  <c r="U148" i="26"/>
  <c r="U150" i="26"/>
  <c r="U151" i="26"/>
  <c r="U187" i="26"/>
  <c r="U188" i="26"/>
  <c r="U194" i="26"/>
  <c r="U14" i="26"/>
  <c r="U22" i="26"/>
  <c r="U25" i="26"/>
  <c r="U33" i="26"/>
  <c r="U34" i="26"/>
  <c r="U94" i="26"/>
  <c r="U95" i="26"/>
  <c r="U96" i="26"/>
  <c r="U97" i="26"/>
  <c r="U98" i="26"/>
  <c r="U99" i="26"/>
  <c r="U100" i="26"/>
  <c r="U156" i="26"/>
  <c r="U157" i="26"/>
  <c r="U158" i="26"/>
  <c r="U159" i="26"/>
  <c r="U189" i="26"/>
  <c r="O199" i="26"/>
  <c r="U102" i="26"/>
  <c r="U103" i="26"/>
  <c r="U104" i="26"/>
  <c r="U105" i="26"/>
  <c r="U107" i="26"/>
  <c r="U108" i="26"/>
  <c r="U164" i="26"/>
  <c r="U170" i="26"/>
  <c r="U171" i="26"/>
  <c r="U11" i="26"/>
  <c r="U12" i="26"/>
  <c r="U41" i="26"/>
  <c r="U49" i="26"/>
  <c r="U50" i="26"/>
  <c r="U54" i="26"/>
  <c r="U57" i="26"/>
  <c r="U58" i="26"/>
  <c r="U61" i="26"/>
  <c r="U62" i="26"/>
  <c r="U65" i="26"/>
  <c r="U66" i="26"/>
  <c r="U69" i="26"/>
  <c r="U70" i="26"/>
  <c r="U73" i="26"/>
  <c r="U74" i="26"/>
  <c r="U77" i="26"/>
  <c r="U78" i="26"/>
  <c r="U117" i="26"/>
  <c r="U165" i="26"/>
  <c r="G206" i="26"/>
  <c r="J206" i="26" s="1"/>
  <c r="K206" i="26" s="1"/>
  <c r="M202" i="26"/>
  <c r="M210" i="26" s="1"/>
  <c r="R81" i="26"/>
  <c r="M227" i="26"/>
  <c r="U18" i="26"/>
  <c r="U23" i="26"/>
  <c r="U24" i="26"/>
  <c r="U35" i="26"/>
  <c r="U36" i="26"/>
  <c r="U43" i="26"/>
  <c r="U44" i="26"/>
  <c r="U51" i="26"/>
  <c r="U52" i="26"/>
  <c r="U59" i="26"/>
  <c r="U60" i="26"/>
  <c r="U67" i="26"/>
  <c r="U68" i="26"/>
  <c r="U75" i="26"/>
  <c r="U76" i="26"/>
  <c r="P195" i="26"/>
  <c r="T195" i="26"/>
  <c r="U114" i="26"/>
  <c r="U119" i="26"/>
  <c r="U120" i="26"/>
  <c r="U130" i="26"/>
  <c r="U135" i="26"/>
  <c r="U136" i="26"/>
  <c r="U166" i="26"/>
  <c r="U167" i="26"/>
  <c r="U177" i="26"/>
  <c r="U182" i="26"/>
  <c r="U183" i="26"/>
  <c r="U193" i="26"/>
  <c r="I201" i="26"/>
  <c r="J201" i="26" s="1"/>
  <c r="K201" i="26" s="1"/>
  <c r="N81" i="26"/>
  <c r="O8" i="26"/>
  <c r="O81" i="26" s="1"/>
  <c r="U10" i="26"/>
  <c r="U15" i="26"/>
  <c r="U16" i="26"/>
  <c r="U26" i="26"/>
  <c r="U31" i="26"/>
  <c r="U32" i="26"/>
  <c r="U39" i="26"/>
  <c r="U40" i="26"/>
  <c r="U47" i="26"/>
  <c r="U48" i="26"/>
  <c r="U55" i="26"/>
  <c r="U56" i="26"/>
  <c r="U63" i="26"/>
  <c r="U64" i="26"/>
  <c r="U71" i="26"/>
  <c r="U72" i="26"/>
  <c r="U79" i="26"/>
  <c r="U80" i="26"/>
  <c r="N195" i="26"/>
  <c r="R195" i="26"/>
  <c r="U111" i="26"/>
  <c r="U112" i="26"/>
  <c r="U122" i="26"/>
  <c r="U127" i="26"/>
  <c r="U128" i="26"/>
  <c r="U138" i="26"/>
  <c r="U142" i="26"/>
  <c r="U143" i="26"/>
  <c r="U144" i="26"/>
  <c r="U169" i="26"/>
  <c r="U174" i="26"/>
  <c r="U175" i="26"/>
  <c r="U185" i="26"/>
  <c r="U190" i="26"/>
  <c r="U191" i="26"/>
  <c r="J202" i="26"/>
  <c r="K202" i="26" s="1"/>
  <c r="M206" i="26"/>
  <c r="P206" i="26"/>
  <c r="O206" i="26"/>
  <c r="N206" i="26"/>
  <c r="M195" i="26"/>
  <c r="Q195" i="26"/>
  <c r="P199" i="26"/>
  <c r="G203" i="26"/>
  <c r="J203" i="26" s="1"/>
  <c r="K203" i="26" s="1"/>
  <c r="G207" i="26"/>
  <c r="J207" i="26" s="1"/>
  <c r="K207" i="26" s="1"/>
  <c r="M228" i="26"/>
  <c r="M81" i="26"/>
  <c r="G204" i="26"/>
  <c r="U87" i="26"/>
  <c r="O195" i="26"/>
  <c r="S195" i="26"/>
  <c r="I204" i="26"/>
  <c r="J204" i="26" s="1"/>
  <c r="K204" i="26" s="1"/>
  <c r="M232" i="26"/>
  <c r="Q8" i="26"/>
  <c r="AH42" i="23" l="1"/>
  <c r="BC42" i="23"/>
  <c r="AD44" i="23"/>
  <c r="AI44" i="23" s="1"/>
  <c r="AF44" i="23"/>
  <c r="AE45" i="23"/>
  <c r="AG44" i="23"/>
  <c r="AL43" i="23"/>
  <c r="BD43" i="23" s="1"/>
  <c r="AK43" i="23"/>
  <c r="AC43" i="23"/>
  <c r="U195" i="26"/>
  <c r="N202" i="26"/>
  <c r="N203" i="26" s="1"/>
  <c r="M203" i="26"/>
  <c r="M205" i="26"/>
  <c r="M200" i="26" s="1"/>
  <c r="M211" i="26" s="1"/>
  <c r="N205" i="26"/>
  <c r="N200" i="26" s="1"/>
  <c r="O205" i="26"/>
  <c r="O200" i="26" s="1"/>
  <c r="K209" i="26"/>
  <c r="S8" i="26"/>
  <c r="O202" i="26"/>
  <c r="Q81" i="26"/>
  <c r="P205" i="26"/>
  <c r="M218" i="26"/>
  <c r="P200" i="26"/>
  <c r="M223" i="26" s="1"/>
  <c r="AH43" i="23" l="1"/>
  <c r="AK44" i="23"/>
  <c r="AC44" i="23"/>
  <c r="BC43" i="23"/>
  <c r="AL44" i="23"/>
  <c r="BD44" i="23" s="1"/>
  <c r="AE46" i="23"/>
  <c r="AD45" i="23"/>
  <c r="AI45" i="23" s="1"/>
  <c r="AF45" i="23"/>
  <c r="AG45" i="23"/>
  <c r="N210" i="26"/>
  <c r="O203" i="26"/>
  <c r="O211" i="26" s="1"/>
  <c r="O210" i="26"/>
  <c r="N211" i="26"/>
  <c r="S81" i="26"/>
  <c r="U8" i="26"/>
  <c r="P202" i="26"/>
  <c r="AH44" i="23" l="1"/>
  <c r="AC45" i="23"/>
  <c r="AK45" i="23"/>
  <c r="AE47" i="23"/>
  <c r="AG46" i="23"/>
  <c r="AF46" i="23"/>
  <c r="AD46" i="23"/>
  <c r="AI46" i="23" s="1"/>
  <c r="BC44" i="23"/>
  <c r="AL45" i="23"/>
  <c r="BD45" i="23" s="1"/>
  <c r="P203" i="26"/>
  <c r="P211" i="26" s="1"/>
  <c r="P210" i="26"/>
  <c r="U81" i="26"/>
  <c r="M216" i="26"/>
  <c r="AH45" i="23" l="1"/>
  <c r="AE48" i="23"/>
  <c r="AF47" i="23"/>
  <c r="AG47" i="23"/>
  <c r="AD47" i="23"/>
  <c r="AI47" i="23" s="1"/>
  <c r="AK46" i="23"/>
  <c r="AC46" i="23"/>
  <c r="AL46" i="23"/>
  <c r="BD46" i="23" s="1"/>
  <c r="BC45" i="23"/>
  <c r="M221" i="26"/>
  <c r="M222" i="26" s="1"/>
  <c r="M226" i="26"/>
  <c r="M231" i="26" s="1"/>
  <c r="M217" i="26"/>
  <c r="AH46" i="23" l="1"/>
  <c r="BC46" i="23"/>
  <c r="AL47" i="23"/>
  <c r="BD47" i="23" s="1"/>
  <c r="AK47" i="23"/>
  <c r="AC47" i="23"/>
  <c r="AE49" i="23"/>
  <c r="AG48" i="23"/>
  <c r="AD48" i="23"/>
  <c r="AF48" i="23"/>
  <c r="G70" i="2"/>
  <c r="H70" i="2" s="1"/>
  <c r="I70" i="2" s="1"/>
  <c r="F56" i="10"/>
  <c r="F59" i="10"/>
  <c r="F57" i="10"/>
  <c r="AI48" i="23" l="1"/>
  <c r="AL48" i="23"/>
  <c r="AE50" i="23"/>
  <c r="AD49" i="23"/>
  <c r="AI49" i="23" s="1"/>
  <c r="AF49" i="23"/>
  <c r="AG49" i="23"/>
  <c r="AH47" i="23"/>
  <c r="AC48" i="23"/>
  <c r="AK48" i="23"/>
  <c r="BC47" i="23"/>
  <c r="C40" i="18"/>
  <c r="C59" i="18"/>
  <c r="BD48" i="23" l="1"/>
  <c r="AH48" i="23"/>
  <c r="AL49" i="23"/>
  <c r="BD49" i="23" s="1"/>
  <c r="BC48" i="23"/>
  <c r="AK49" i="23"/>
  <c r="BC49" i="23" s="1"/>
  <c r="AC49" i="23"/>
  <c r="AF50" i="23"/>
  <c r="AD50" i="23"/>
  <c r="AE51" i="23"/>
  <c r="AG50" i="23"/>
  <c r="J79" i="18"/>
  <c r="Q79" i="18"/>
  <c r="J23" i="18"/>
  <c r="J22" i="18"/>
  <c r="J21" i="18"/>
  <c r="J20" i="18"/>
  <c r="J19" i="18"/>
  <c r="J18" i="18"/>
  <c r="B11" i="25"/>
  <c r="C12" i="25"/>
  <c r="D9" i="25"/>
  <c r="D8" i="25"/>
  <c r="B9" i="25"/>
  <c r="C9" i="25" s="1"/>
  <c r="B8" i="25"/>
  <c r="C8" i="25" s="1"/>
  <c r="B2" i="25"/>
  <c r="E40" i="18"/>
  <c r="F19" i="2"/>
  <c r="H19" i="2"/>
  <c r="I19" i="2" s="1"/>
  <c r="T7" i="9" l="1"/>
  <c r="AI50" i="23"/>
  <c r="AL50" i="23"/>
  <c r="AF51" i="23"/>
  <c r="AG51" i="23"/>
  <c r="AD51" i="23"/>
  <c r="AI51" i="23" s="1"/>
  <c r="AE52" i="23"/>
  <c r="AK50" i="23"/>
  <c r="AC50" i="23"/>
  <c r="AH49" i="23"/>
  <c r="R79" i="18"/>
  <c r="K18" i="18"/>
  <c r="C11" i="25"/>
  <c r="C13" i="25" s="1"/>
  <c r="Y9" i="24"/>
  <c r="D25" i="22"/>
  <c r="C25" i="22"/>
  <c r="C27" i="22" s="1"/>
  <c r="H90" i="2" l="1"/>
  <c r="BD50" i="23"/>
  <c r="AH50" i="23"/>
  <c r="BA50" i="23" s="1"/>
  <c r="AL51" i="23"/>
  <c r="BD51" i="23" s="1"/>
  <c r="AK51" i="23"/>
  <c r="AC51" i="23"/>
  <c r="AG52" i="23"/>
  <c r="AD52" i="23"/>
  <c r="AI52" i="23" s="1"/>
  <c r="AF52" i="23"/>
  <c r="AE53" i="23"/>
  <c r="BC50" i="23"/>
  <c r="L56" i="10"/>
  <c r="O56" i="10" s="1"/>
  <c r="E74" i="18"/>
  <c r="G18" i="18"/>
  <c r="H18" i="18"/>
  <c r="I18" i="18"/>
  <c r="E12" i="18"/>
  <c r="D12" i="18"/>
  <c r="F12" i="18"/>
  <c r="G12" i="18"/>
  <c r="H12" i="18"/>
  <c r="I12" i="18"/>
  <c r="E8" i="2"/>
  <c r="G8" i="2"/>
  <c r="J61" i="10"/>
  <c r="L59" i="10"/>
  <c r="O59" i="10" s="1"/>
  <c r="L57" i="10"/>
  <c r="D64" i="18"/>
  <c r="E18" i="18"/>
  <c r="E7" i="19"/>
  <c r="F50" i="2"/>
  <c r="G50" i="2" s="1"/>
  <c r="H50" i="2" s="1"/>
  <c r="I50" i="2" s="1"/>
  <c r="F49" i="2"/>
  <c r="G49" i="2" s="1"/>
  <c r="H49" i="2" s="1"/>
  <c r="I49" i="2" s="1"/>
  <c r="F48" i="2"/>
  <c r="G48" i="2" s="1"/>
  <c r="H48" i="2" s="1"/>
  <c r="I48" i="2" s="1"/>
  <c r="F122" i="2"/>
  <c r="K9" i="2"/>
  <c r="E38" i="2"/>
  <c r="L18" i="2"/>
  <c r="F37" i="2"/>
  <c r="I36" i="2"/>
  <c r="AE36" i="2" s="1"/>
  <c r="F36" i="2"/>
  <c r="I17" i="2"/>
  <c r="F17" i="2"/>
  <c r="I16" i="2"/>
  <c r="K11" i="2"/>
  <c r="F11" i="2"/>
  <c r="F10" i="2" s="1"/>
  <c r="F22" i="2"/>
  <c r="G22" i="2" s="1"/>
  <c r="H22" i="2" s="1"/>
  <c r="I22" i="2" s="1"/>
  <c r="C189" i="23"/>
  <c r="I15" i="2"/>
  <c r="F15" i="2"/>
  <c r="G169" i="2"/>
  <c r="H169" i="2"/>
  <c r="I169" i="2"/>
  <c r="T9" i="9" l="1"/>
  <c r="H91" i="2"/>
  <c r="H88" i="2" s="1"/>
  <c r="I90" i="2"/>
  <c r="AH51" i="23"/>
  <c r="BC51" i="23"/>
  <c r="AL52" i="23"/>
  <c r="BD52" i="23" s="1"/>
  <c r="AF53" i="23"/>
  <c r="AG53" i="23"/>
  <c r="AE54" i="23"/>
  <c r="AD53" i="23"/>
  <c r="AI53" i="23" s="1"/>
  <c r="AC52" i="23"/>
  <c r="AK52" i="23"/>
  <c r="G15" i="2"/>
  <c r="F38" i="2"/>
  <c r="H38" i="2" s="1"/>
  <c r="G37" i="2"/>
  <c r="AB37" i="2"/>
  <c r="G122" i="2"/>
  <c r="AB122" i="2"/>
  <c r="G36" i="2"/>
  <c r="AB36" i="2"/>
  <c r="F34" i="2"/>
  <c r="E62" i="2"/>
  <c r="F62" i="2"/>
  <c r="F85" i="2"/>
  <c r="F84" i="2"/>
  <c r="F151" i="2" s="1"/>
  <c r="E84" i="2"/>
  <c r="F166" i="2"/>
  <c r="H168" i="2"/>
  <c r="I168" i="2" s="1"/>
  <c r="G167" i="2"/>
  <c r="G166" i="2" s="1"/>
  <c r="E166" i="2"/>
  <c r="I91" i="2" l="1"/>
  <c r="I88" i="2" s="1"/>
  <c r="AB38" i="2"/>
  <c r="AH52" i="23"/>
  <c r="AF54" i="23"/>
  <c r="AE55" i="23"/>
  <c r="AG54" i="23"/>
  <c r="AD54" i="23"/>
  <c r="AI54" i="23" s="1"/>
  <c r="AL53" i="23"/>
  <c r="BD53" i="23" s="1"/>
  <c r="BC52" i="23"/>
  <c r="AK53" i="23"/>
  <c r="AC53" i="23"/>
  <c r="G62" i="2"/>
  <c r="H62" i="2" s="1"/>
  <c r="I62" i="2" s="1"/>
  <c r="E83" i="2"/>
  <c r="E151" i="2" s="1"/>
  <c r="G84" i="2"/>
  <c r="G151" i="2" s="1"/>
  <c r="F83" i="2"/>
  <c r="G38" i="2"/>
  <c r="AC38" i="2" s="1"/>
  <c r="I38" i="2"/>
  <c r="AE38" i="2" s="1"/>
  <c r="AD38" i="2"/>
  <c r="AC122" i="2"/>
  <c r="H122" i="2"/>
  <c r="G34" i="2"/>
  <c r="AB34" i="2"/>
  <c r="H36" i="2"/>
  <c r="AD36" i="2" s="1"/>
  <c r="AC36" i="2"/>
  <c r="H37" i="2"/>
  <c r="AC37" i="2"/>
  <c r="H167" i="2"/>
  <c r="G158" i="2"/>
  <c r="G85" i="2" s="1"/>
  <c r="AH53" i="23" l="1"/>
  <c r="BC53" i="23"/>
  <c r="AF55" i="23"/>
  <c r="AG55" i="23"/>
  <c r="AD55" i="23"/>
  <c r="AI55" i="23" s="1"/>
  <c r="AE56" i="23"/>
  <c r="AC54" i="23"/>
  <c r="AK54" i="23"/>
  <c r="AL54" i="23"/>
  <c r="BD54" i="23" s="1"/>
  <c r="H84" i="2"/>
  <c r="H151" i="2" s="1"/>
  <c r="G83" i="2"/>
  <c r="AD122" i="2"/>
  <c r="I122" i="2"/>
  <c r="I37" i="2"/>
  <c r="AE37" i="2" s="1"/>
  <c r="AD37" i="2"/>
  <c r="H34" i="2"/>
  <c r="AC34" i="2"/>
  <c r="H166" i="2"/>
  <c r="I167" i="2"/>
  <c r="I166" i="2" s="1"/>
  <c r="H158" i="2"/>
  <c r="I84" i="2"/>
  <c r="E128" i="2"/>
  <c r="F128" i="2" s="1"/>
  <c r="E117" i="2"/>
  <c r="AH54" i="23" l="1"/>
  <c r="BA54" i="23" s="1"/>
  <c r="BC54" i="23"/>
  <c r="AC55" i="23"/>
  <c r="AK55" i="23"/>
  <c r="BC55" i="23" s="1"/>
  <c r="AD56" i="23"/>
  <c r="AI56" i="23" s="1"/>
  <c r="AE57" i="23"/>
  <c r="AG56" i="23"/>
  <c r="AF56" i="23"/>
  <c r="AL55" i="23"/>
  <c r="BD55" i="23" s="1"/>
  <c r="I151" i="2"/>
  <c r="AE122" i="2"/>
  <c r="G128" i="2"/>
  <c r="AB128" i="2"/>
  <c r="I34" i="2"/>
  <c r="AE34" i="2" s="1"/>
  <c r="AD34" i="2"/>
  <c r="E34" i="19"/>
  <c r="E33" i="19" s="1"/>
  <c r="F117" i="2"/>
  <c r="I158" i="2"/>
  <c r="I85" i="2" s="1"/>
  <c r="I83" i="2" s="1"/>
  <c r="H85" i="2"/>
  <c r="AF57" i="23" l="1"/>
  <c r="AG57" i="23"/>
  <c r="AE58" i="23"/>
  <c r="AD57" i="23"/>
  <c r="AI57" i="23" s="1"/>
  <c r="AK56" i="23"/>
  <c r="AC56" i="23"/>
  <c r="AH55" i="23"/>
  <c r="AL56" i="23"/>
  <c r="BD56" i="23" s="1"/>
  <c r="H83" i="2"/>
  <c r="AB117" i="2"/>
  <c r="F34" i="19"/>
  <c r="F33" i="19" s="1"/>
  <c r="H128" i="2"/>
  <c r="AC128" i="2"/>
  <c r="F126" i="2"/>
  <c r="I124" i="2"/>
  <c r="AE124" i="2" s="1"/>
  <c r="F124" i="2"/>
  <c r="E121" i="2"/>
  <c r="F134" i="2"/>
  <c r="AB134" i="2" s="1"/>
  <c r="E133" i="2"/>
  <c r="E130" i="2" s="1"/>
  <c r="F133" i="2"/>
  <c r="F130" i="2" s="1"/>
  <c r="F118" i="2"/>
  <c r="AB118" i="2" s="1"/>
  <c r="F113" i="2"/>
  <c r="F115" i="2"/>
  <c r="M12" i="24"/>
  <c r="S12" i="24"/>
  <c r="AH56" i="23" l="1"/>
  <c r="AE59" i="23"/>
  <c r="AG58" i="23"/>
  <c r="AD58" i="23"/>
  <c r="AI58" i="23" s="1"/>
  <c r="AF58" i="23"/>
  <c r="AL57" i="23"/>
  <c r="BD57" i="23" s="1"/>
  <c r="BC56" i="23"/>
  <c r="AC57" i="23"/>
  <c r="AK57" i="23"/>
  <c r="G113" i="2"/>
  <c r="H113" i="2" s="1"/>
  <c r="AB133" i="2"/>
  <c r="AB130" i="2"/>
  <c r="G124" i="2"/>
  <c r="AC124" i="2" s="1"/>
  <c r="AB124" i="2"/>
  <c r="I128" i="2"/>
  <c r="AE128" i="2" s="1"/>
  <c r="AD128" i="2"/>
  <c r="G126" i="2"/>
  <c r="AB126" i="2"/>
  <c r="G133" i="2"/>
  <c r="G115" i="2"/>
  <c r="H115" i="2" s="1"/>
  <c r="F114" i="2"/>
  <c r="F112" i="2" s="1"/>
  <c r="AH57" i="23" l="1"/>
  <c r="AK58" i="23"/>
  <c r="AC58" i="23"/>
  <c r="BC57" i="23"/>
  <c r="AL58" i="23"/>
  <c r="BD58" i="23" s="1"/>
  <c r="AG59" i="23"/>
  <c r="AD59" i="23"/>
  <c r="AI59" i="23" s="1"/>
  <c r="AE60" i="23"/>
  <c r="AF59" i="23"/>
  <c r="H133" i="2"/>
  <c r="AC133" i="2"/>
  <c r="H126" i="2"/>
  <c r="AC126" i="2"/>
  <c r="G114" i="2"/>
  <c r="H114" i="2"/>
  <c r="I115" i="2"/>
  <c r="I114" i="2" s="1"/>
  <c r="I113" i="2"/>
  <c r="AG60" i="23" l="1"/>
  <c r="AF60" i="23"/>
  <c r="AD60" i="23"/>
  <c r="AI60" i="23" s="1"/>
  <c r="AE61" i="23"/>
  <c r="AH58" i="23"/>
  <c r="AL59" i="23"/>
  <c r="BD59" i="23" s="1"/>
  <c r="BC58" i="23"/>
  <c r="AK59" i="23"/>
  <c r="BC59" i="23" s="1"/>
  <c r="AC59" i="23"/>
  <c r="H112" i="2"/>
  <c r="G112" i="2"/>
  <c r="I112" i="2"/>
  <c r="I126" i="2"/>
  <c r="AE126" i="2" s="1"/>
  <c r="AD126" i="2"/>
  <c r="AD133" i="2"/>
  <c r="I133" i="2"/>
  <c r="H74" i="2"/>
  <c r="F74" i="2"/>
  <c r="G74" i="2" s="1"/>
  <c r="F69" i="2"/>
  <c r="G69" i="2" s="1"/>
  <c r="H69" i="2" s="1"/>
  <c r="F33" i="2"/>
  <c r="F30" i="2"/>
  <c r="F28" i="2"/>
  <c r="AB28" i="2" s="1"/>
  <c r="I32" i="2"/>
  <c r="AE32" i="2" s="1"/>
  <c r="F35" i="2"/>
  <c r="I31" i="2"/>
  <c r="AE31" i="2" s="1"/>
  <c r="G31" i="2"/>
  <c r="AC31" i="2" s="1"/>
  <c r="AH59" i="23" l="1"/>
  <c r="AE62" i="23"/>
  <c r="AF61" i="23"/>
  <c r="AG61" i="23"/>
  <c r="AD61" i="23"/>
  <c r="AI61" i="23" s="1"/>
  <c r="AC60" i="23"/>
  <c r="AK60" i="23"/>
  <c r="AL60" i="23"/>
  <c r="BD60" i="23" s="1"/>
  <c r="AE133" i="2"/>
  <c r="G33" i="2"/>
  <c r="AB33" i="2"/>
  <c r="G35" i="2"/>
  <c r="AB35" i="2"/>
  <c r="G30" i="2"/>
  <c r="AB30" i="2"/>
  <c r="I69" i="2"/>
  <c r="AC61" i="23" l="1"/>
  <c r="AK61" i="23"/>
  <c r="BC61" i="23" s="1"/>
  <c r="AH60" i="23"/>
  <c r="AF62" i="23"/>
  <c r="AD62" i="23"/>
  <c r="AI62" i="23" s="1"/>
  <c r="AE63" i="23"/>
  <c r="AG62" i="23"/>
  <c r="BC60" i="23"/>
  <c r="AL61" i="23"/>
  <c r="BD61" i="23" s="1"/>
  <c r="H35" i="2"/>
  <c r="AC35" i="2"/>
  <c r="H30" i="2"/>
  <c r="AC30" i="2"/>
  <c r="H33" i="2"/>
  <c r="AC33" i="2"/>
  <c r="BB176" i="23"/>
  <c r="K118" i="23"/>
  <c r="AL62" i="23" l="1"/>
  <c r="BD62" i="23" s="1"/>
  <c r="AA118" i="23"/>
  <c r="AE64" i="23"/>
  <c r="AF63" i="23"/>
  <c r="AG63" i="23"/>
  <c r="AD63" i="23"/>
  <c r="AI63" i="23" s="1"/>
  <c r="AH61" i="23"/>
  <c r="AK62" i="23"/>
  <c r="AC62" i="23"/>
  <c r="N118" i="23"/>
  <c r="P118" i="23"/>
  <c r="I30" i="2"/>
  <c r="AE30" i="2" s="1"/>
  <c r="AD30" i="2"/>
  <c r="I33" i="2"/>
  <c r="AE33" i="2" s="1"/>
  <c r="AD33" i="2"/>
  <c r="I35" i="2"/>
  <c r="AE35" i="2" s="1"/>
  <c r="AD35" i="2"/>
  <c r="W118" i="23" l="1"/>
  <c r="Q118" i="23"/>
  <c r="R118" i="23" s="1"/>
  <c r="AH62" i="23"/>
  <c r="AK63" i="23"/>
  <c r="AC63" i="23"/>
  <c r="AF64" i="23"/>
  <c r="AD64" i="23"/>
  <c r="AI64" i="23" s="1"/>
  <c r="AE65" i="23"/>
  <c r="AG64" i="23"/>
  <c r="BC62" i="23"/>
  <c r="AL63" i="23"/>
  <c r="BD63" i="23" s="1"/>
  <c r="J17" i="10"/>
  <c r="J16" i="10"/>
  <c r="J15" i="10"/>
  <c r="J14" i="10"/>
  <c r="J13" i="10"/>
  <c r="J12" i="10"/>
  <c r="H15" i="10"/>
  <c r="H12" i="10"/>
  <c r="AC64" i="23" l="1"/>
  <c r="AK64" i="23"/>
  <c r="BC64" i="23" s="1"/>
  <c r="AL64" i="23"/>
  <c r="BD64" i="23" s="1"/>
  <c r="AF65" i="23"/>
  <c r="AG65" i="23"/>
  <c r="AE66" i="23"/>
  <c r="AD65" i="23"/>
  <c r="AI65" i="23" s="1"/>
  <c r="AH63" i="23"/>
  <c r="U118" i="23"/>
  <c r="AB118" i="23"/>
  <c r="X118" i="23" s="1"/>
  <c r="BC63" i="23"/>
  <c r="AN59" i="23"/>
  <c r="AN60" i="23"/>
  <c r="AN61" i="23"/>
  <c r="AN62" i="23"/>
  <c r="AN63" i="23"/>
  <c r="AN64" i="23"/>
  <c r="AN65" i="23"/>
  <c r="AN66" i="23"/>
  <c r="AN67" i="23"/>
  <c r="AN68" i="23"/>
  <c r="AN69" i="23"/>
  <c r="S49" i="23"/>
  <c r="AO66" i="23" l="1"/>
  <c r="AP66" i="23"/>
  <c r="AO68" i="23"/>
  <c r="AP68" i="23"/>
  <c r="AP64" i="23"/>
  <c r="AO64" i="23"/>
  <c r="AO60" i="23"/>
  <c r="AP60" i="23"/>
  <c r="AQ60" i="23"/>
  <c r="AR60" i="23"/>
  <c r="AR63" i="23"/>
  <c r="AK65" i="23"/>
  <c r="BC65" i="23" s="1"/>
  <c r="AC65" i="23"/>
  <c r="AP67" i="23"/>
  <c r="AO67" i="23"/>
  <c r="AO63" i="23"/>
  <c r="AP63" i="23"/>
  <c r="AP59" i="23"/>
  <c r="AO59" i="23"/>
  <c r="AQ59" i="23"/>
  <c r="AR59" i="23"/>
  <c r="AQ63" i="23"/>
  <c r="AH64" i="23"/>
  <c r="AP62" i="23"/>
  <c r="AO62" i="23"/>
  <c r="AR62" i="23"/>
  <c r="AQ62" i="23"/>
  <c r="AD66" i="23"/>
  <c r="AI66" i="23" s="1"/>
  <c r="AE67" i="23"/>
  <c r="AG66" i="23"/>
  <c r="AF66" i="23"/>
  <c r="AQ64" i="23"/>
  <c r="AU64" i="23" s="1"/>
  <c r="AP69" i="23"/>
  <c r="AO69" i="23"/>
  <c r="AO65" i="23"/>
  <c r="AP65" i="23"/>
  <c r="AO61" i="23"/>
  <c r="AP61" i="23"/>
  <c r="AQ61" i="23"/>
  <c r="AR61" i="23"/>
  <c r="AL65" i="23"/>
  <c r="BD65" i="23" s="1"/>
  <c r="E156" i="2"/>
  <c r="E155" i="2"/>
  <c r="AB155" i="2" s="1"/>
  <c r="F153" i="2"/>
  <c r="E153" i="2"/>
  <c r="E152" i="2"/>
  <c r="H118" i="2"/>
  <c r="E118" i="2"/>
  <c r="E116" i="2" s="1"/>
  <c r="AB132" i="2"/>
  <c r="G117" i="2"/>
  <c r="E110" i="2"/>
  <c r="G109" i="2"/>
  <c r="H109" i="2" s="1"/>
  <c r="I109" i="2" s="1"/>
  <c r="F71" i="2"/>
  <c r="G71" i="2" s="1"/>
  <c r="H71" i="2" s="1"/>
  <c r="I71" i="2" s="1"/>
  <c r="F68" i="2"/>
  <c r="F67" i="2" s="1"/>
  <c r="K64" i="2"/>
  <c r="F58" i="2"/>
  <c r="G58" i="2" s="1"/>
  <c r="H58" i="2" s="1"/>
  <c r="I58" i="2" s="1"/>
  <c r="F72" i="2"/>
  <c r="G72" i="2" s="1"/>
  <c r="H72" i="2" s="1"/>
  <c r="I72" i="2" s="1"/>
  <c r="F29" i="2"/>
  <c r="AB29" i="2" s="1"/>
  <c r="G18" i="2"/>
  <c r="F18" i="2"/>
  <c r="F12" i="2" s="1"/>
  <c r="I74" i="2"/>
  <c r="AS65" i="23" l="1"/>
  <c r="AW65" i="23" s="1"/>
  <c r="AT62" i="23"/>
  <c r="AX62" i="23" s="1"/>
  <c r="AT68" i="23"/>
  <c r="AX68" i="23" s="1"/>
  <c r="AT61" i="23"/>
  <c r="AX61" i="23" s="1"/>
  <c r="AS69" i="23"/>
  <c r="AW69" i="23" s="1"/>
  <c r="AU62" i="23"/>
  <c r="AY62" i="23" s="1"/>
  <c r="AV59" i="23"/>
  <c r="AZ59" i="23" s="1"/>
  <c r="AQ65" i="23"/>
  <c r="AU65" i="23" s="1"/>
  <c r="AS60" i="23"/>
  <c r="AW60" i="23" s="1"/>
  <c r="AS68" i="23"/>
  <c r="AW68" i="23" s="1"/>
  <c r="AS61" i="23"/>
  <c r="AW61" i="23" s="1"/>
  <c r="AT69" i="23"/>
  <c r="AX69" i="23" s="1"/>
  <c r="AL66" i="23"/>
  <c r="BD66" i="23" s="1"/>
  <c r="AV62" i="23"/>
  <c r="AZ62" i="23" s="1"/>
  <c r="AU63" i="23"/>
  <c r="AY63" i="23" s="1"/>
  <c r="AU59" i="23"/>
  <c r="AY59" i="23" s="1"/>
  <c r="AS63" i="23"/>
  <c r="AW63" i="23" s="1"/>
  <c r="AH65" i="23"/>
  <c r="AV60" i="23"/>
  <c r="AZ60" i="23" s="1"/>
  <c r="AS64" i="23"/>
  <c r="AW64" i="23" s="1"/>
  <c r="AT66" i="23"/>
  <c r="AX66" i="23" s="1"/>
  <c r="AU61" i="23"/>
  <c r="AY61" i="23" s="1"/>
  <c r="AT59" i="23"/>
  <c r="AX59" i="23" s="1"/>
  <c r="AT67" i="23"/>
  <c r="AX67" i="23" s="1"/>
  <c r="AT60" i="23"/>
  <c r="AX60" i="23" s="1"/>
  <c r="AC66" i="23"/>
  <c r="AK66" i="23"/>
  <c r="AR64" i="23"/>
  <c r="AT63" i="23"/>
  <c r="AX63" i="23" s="1"/>
  <c r="AV63" i="23"/>
  <c r="AZ63" i="23" s="1"/>
  <c r="AV61" i="23"/>
  <c r="AZ61" i="23" s="1"/>
  <c r="AT65" i="23"/>
  <c r="AX65" i="23" s="1"/>
  <c r="AY64" i="23"/>
  <c r="AD67" i="23"/>
  <c r="AI67" i="23" s="1"/>
  <c r="AE68" i="23"/>
  <c r="AF67" i="23"/>
  <c r="AG67" i="23"/>
  <c r="AS62" i="23"/>
  <c r="AW62" i="23" s="1"/>
  <c r="AS59" i="23"/>
  <c r="AW59" i="23" s="1"/>
  <c r="AS67" i="23"/>
  <c r="AW67" i="23" s="1"/>
  <c r="AU60" i="23"/>
  <c r="AY60" i="23" s="1"/>
  <c r="AT64" i="23"/>
  <c r="AX64" i="23" s="1"/>
  <c r="AS66" i="23"/>
  <c r="AW66" i="23" s="1"/>
  <c r="E150" i="2"/>
  <c r="F150" i="2"/>
  <c r="H18" i="2"/>
  <c r="AC117" i="2"/>
  <c r="I118" i="2"/>
  <c r="AE118" i="2" s="1"/>
  <c r="AD118" i="2"/>
  <c r="AB156" i="2"/>
  <c r="AB153" i="2"/>
  <c r="F45" i="2"/>
  <c r="F7" i="2"/>
  <c r="H117" i="2"/>
  <c r="G34" i="19"/>
  <c r="G33" i="19" s="1"/>
  <c r="H29" i="2"/>
  <c r="AD29" i="2" s="1"/>
  <c r="F27" i="2"/>
  <c r="G68" i="2"/>
  <c r="G67" i="2" s="1"/>
  <c r="H28" i="2"/>
  <c r="S59" i="23"/>
  <c r="G153" i="2"/>
  <c r="I28" i="2"/>
  <c r="AE28" i="2" s="1"/>
  <c r="I29" i="2"/>
  <c r="AE29" i="2" s="1"/>
  <c r="G28" i="2"/>
  <c r="AC28" i="2" s="1"/>
  <c r="G29" i="2"/>
  <c r="AC29" i="2" s="1"/>
  <c r="G134" i="2"/>
  <c r="G130" i="2" s="1"/>
  <c r="F125" i="2"/>
  <c r="F57" i="2"/>
  <c r="G57" i="2" s="1"/>
  <c r="H57" i="2" s="1"/>
  <c r="I57" i="2" s="1"/>
  <c r="F111" i="2"/>
  <c r="I111" i="2" s="1"/>
  <c r="P108" i="2"/>
  <c r="F108" i="2" s="1"/>
  <c r="AB108" i="2" s="1"/>
  <c r="F99" i="2"/>
  <c r="I99" i="2" s="1"/>
  <c r="E64" i="2"/>
  <c r="F64" i="2"/>
  <c r="G64" i="2" s="1"/>
  <c r="H64" i="2" s="1"/>
  <c r="I64" i="2" s="1"/>
  <c r="E60" i="2"/>
  <c r="F61" i="2"/>
  <c r="F60" i="2" s="1"/>
  <c r="AH66" i="23" l="1"/>
  <c r="BC66" i="23"/>
  <c r="AC67" i="23"/>
  <c r="AK67" i="23"/>
  <c r="AV64" i="23"/>
  <c r="AZ64" i="23" s="1"/>
  <c r="AQ66" i="23"/>
  <c r="AR65" i="23"/>
  <c r="AV65" i="23" s="1"/>
  <c r="AL67" i="23"/>
  <c r="BD67" i="23" s="1"/>
  <c r="AF68" i="23"/>
  <c r="AE69" i="23"/>
  <c r="AG68" i="23"/>
  <c r="AD68" i="23"/>
  <c r="AI68" i="23" s="1"/>
  <c r="AR66" i="23"/>
  <c r="AV66" i="23" s="1"/>
  <c r="AY65" i="23"/>
  <c r="G99" i="2"/>
  <c r="G150" i="2"/>
  <c r="AC134" i="2"/>
  <c r="AC130" i="2"/>
  <c r="I18" i="2"/>
  <c r="I14" i="2" s="1"/>
  <c r="I197" i="2" s="1"/>
  <c r="H153" i="2"/>
  <c r="AC153" i="2"/>
  <c r="H155" i="2"/>
  <c r="AC155" i="2"/>
  <c r="AC156" i="2"/>
  <c r="H27" i="2"/>
  <c r="AD28" i="2"/>
  <c r="G125" i="2"/>
  <c r="AC125" i="2" s="1"/>
  <c r="AB125" i="2"/>
  <c r="I117" i="2"/>
  <c r="AD117" i="2"/>
  <c r="G111" i="2"/>
  <c r="H34" i="19"/>
  <c r="H33" i="19" s="1"/>
  <c r="H68" i="2"/>
  <c r="H67" i="2" s="1"/>
  <c r="I27" i="2"/>
  <c r="G27" i="2"/>
  <c r="H61" i="2"/>
  <c r="H60" i="2" s="1"/>
  <c r="S60" i="23"/>
  <c r="H99" i="2"/>
  <c r="I108" i="2"/>
  <c r="AE108" i="2" s="1"/>
  <c r="H108" i="2"/>
  <c r="AD108" i="2" s="1"/>
  <c r="G108" i="2"/>
  <c r="AC108" i="2" s="1"/>
  <c r="H111" i="2"/>
  <c r="F123" i="2"/>
  <c r="M61" i="2"/>
  <c r="G61" i="2"/>
  <c r="G60" i="2" s="1"/>
  <c r="H134" i="2"/>
  <c r="H130" i="2" s="1"/>
  <c r="AC132" i="2"/>
  <c r="AH67" i="23" l="1"/>
  <c r="AR67" i="23" s="1"/>
  <c r="AQ67" i="23"/>
  <c r="AU67" i="23" s="1"/>
  <c r="AL68" i="23"/>
  <c r="BD68" i="23" s="1"/>
  <c r="AU66" i="23"/>
  <c r="AY66" i="23" s="1"/>
  <c r="BC67" i="23"/>
  <c r="AK68" i="23"/>
  <c r="BC68" i="23" s="1"/>
  <c r="AC68" i="23"/>
  <c r="AZ66" i="23"/>
  <c r="AD69" i="23"/>
  <c r="AI69" i="23" s="1"/>
  <c r="AF69" i="23"/>
  <c r="AG69" i="23"/>
  <c r="AE70" i="23"/>
  <c r="AZ65" i="23"/>
  <c r="H125" i="2"/>
  <c r="I125" i="2" s="1"/>
  <c r="AE125" i="2" s="1"/>
  <c r="I61" i="2"/>
  <c r="I60" i="2" s="1"/>
  <c r="H150" i="2"/>
  <c r="AD134" i="2"/>
  <c r="AD130" i="2"/>
  <c r="AE117" i="2"/>
  <c r="AB123" i="2"/>
  <c r="F121" i="2"/>
  <c r="F116" i="2" s="1"/>
  <c r="I155" i="2"/>
  <c r="AE155" i="2" s="1"/>
  <c r="AD155" i="2"/>
  <c r="I34" i="19"/>
  <c r="I33" i="19" s="1"/>
  <c r="I156" i="2"/>
  <c r="AE156" i="2" s="1"/>
  <c r="AD156" i="2"/>
  <c r="I153" i="2"/>
  <c r="AD153" i="2"/>
  <c r="M58" i="10"/>
  <c r="I68" i="2"/>
  <c r="I67" i="2" s="1"/>
  <c r="BB59" i="23"/>
  <c r="BE59" i="23" s="1"/>
  <c r="S62" i="23"/>
  <c r="S61" i="23"/>
  <c r="AD132" i="2"/>
  <c r="I134" i="2"/>
  <c r="I130" i="2" s="1"/>
  <c r="F55" i="2"/>
  <c r="G55" i="2" s="1"/>
  <c r="H55" i="2" s="1"/>
  <c r="I55" i="2" s="1"/>
  <c r="L66" i="2"/>
  <c r="K66" i="2"/>
  <c r="G56" i="2"/>
  <c r="H56" i="2" s="1"/>
  <c r="F54" i="2"/>
  <c r="G54" i="2" s="1"/>
  <c r="F51" i="2"/>
  <c r="G51" i="2" s="1"/>
  <c r="H51" i="2" s="1"/>
  <c r="I51" i="2" s="1"/>
  <c r="K48" i="2"/>
  <c r="AD125" i="2" l="1"/>
  <c r="AE130" i="2"/>
  <c r="AL69" i="23"/>
  <c r="BD69" i="23" s="1"/>
  <c r="AQ68" i="23"/>
  <c r="AK69" i="23"/>
  <c r="AC69" i="23"/>
  <c r="AH68" i="23"/>
  <c r="AE71" i="23"/>
  <c r="AG70" i="23"/>
  <c r="AF70" i="23"/>
  <c r="AD70" i="23"/>
  <c r="AI70" i="23" s="1"/>
  <c r="AY67" i="23"/>
  <c r="AV67" i="23"/>
  <c r="AZ67" i="23" s="1"/>
  <c r="I150" i="2"/>
  <c r="AE153" i="2"/>
  <c r="AE132" i="2"/>
  <c r="AE134" i="2"/>
  <c r="BB62" i="23"/>
  <c r="BE62" i="23" s="1"/>
  <c r="BB60" i="23"/>
  <c r="BE60" i="23" s="1"/>
  <c r="BB61" i="23"/>
  <c r="BE61" i="23" s="1"/>
  <c r="G53" i="2"/>
  <c r="H54" i="2"/>
  <c r="F52" i="2"/>
  <c r="F47" i="2" s="1"/>
  <c r="G123" i="2"/>
  <c r="G121" i="2" s="1"/>
  <c r="G116" i="2" s="1"/>
  <c r="AB121" i="2"/>
  <c r="F53" i="2"/>
  <c r="H124" i="2"/>
  <c r="AD124" i="2" s="1"/>
  <c r="AH69" i="23" l="1"/>
  <c r="AR69" i="23" s="1"/>
  <c r="AV69" i="23" s="1"/>
  <c r="AF71" i="23"/>
  <c r="AG71" i="23"/>
  <c r="AD71" i="23"/>
  <c r="AI71" i="23" s="1"/>
  <c r="AE72" i="23"/>
  <c r="AK70" i="23"/>
  <c r="BC70" i="23" s="1"/>
  <c r="AC70" i="23"/>
  <c r="AR68" i="23"/>
  <c r="AV68" i="23" s="1"/>
  <c r="AL70" i="23"/>
  <c r="BD70" i="23" s="1"/>
  <c r="AQ69" i="23"/>
  <c r="AU69" i="23" s="1"/>
  <c r="AU68" i="23"/>
  <c r="AY68" i="23" s="1"/>
  <c r="BC69" i="23"/>
  <c r="AC121" i="2"/>
  <c r="AC123" i="2"/>
  <c r="F46" i="2"/>
  <c r="S63" i="23"/>
  <c r="G52" i="2"/>
  <c r="G47" i="2" s="1"/>
  <c r="G46" i="2" s="1"/>
  <c r="H123" i="2"/>
  <c r="H121" i="2" s="1"/>
  <c r="H116" i="2" s="1"/>
  <c r="I54" i="2"/>
  <c r="I53" i="2" s="1"/>
  <c r="H53" i="2"/>
  <c r="K16" i="2"/>
  <c r="L16" i="2" s="1"/>
  <c r="AF72" i="23" l="1"/>
  <c r="AE73" i="23"/>
  <c r="AG72" i="23"/>
  <c r="AD72" i="23"/>
  <c r="AI72" i="23" s="1"/>
  <c r="AY69" i="23"/>
  <c r="AH70" i="23"/>
  <c r="AL71" i="23"/>
  <c r="BD71" i="23" s="1"/>
  <c r="AZ69" i="23"/>
  <c r="AZ68" i="23"/>
  <c r="AK71" i="23"/>
  <c r="AC71" i="23"/>
  <c r="AD121" i="2"/>
  <c r="AD123" i="2"/>
  <c r="S64" i="23"/>
  <c r="H52" i="2"/>
  <c r="H47" i="2" s="1"/>
  <c r="H46" i="2" s="1"/>
  <c r="I123" i="2"/>
  <c r="I121" i="2" s="1"/>
  <c r="I116" i="2" s="1"/>
  <c r="G21" i="2"/>
  <c r="F21" i="2"/>
  <c r="K59" i="2"/>
  <c r="I59" i="2" s="1"/>
  <c r="I42" i="2"/>
  <c r="AE42" i="2" s="1"/>
  <c r="I41" i="2"/>
  <c r="F42" i="2"/>
  <c r="F41" i="2"/>
  <c r="N14" i="2"/>
  <c r="O14" i="2" s="1"/>
  <c r="G17" i="2"/>
  <c r="F16" i="2"/>
  <c r="F14" i="2" s="1"/>
  <c r="F197" i="2" s="1"/>
  <c r="E21" i="24"/>
  <c r="X16" i="24"/>
  <c r="J14" i="24"/>
  <c r="J15" i="24" s="1"/>
  <c r="K13" i="24"/>
  <c r="F12" i="24"/>
  <c r="K9" i="24"/>
  <c r="K12" i="24" s="1"/>
  <c r="BA8" i="24"/>
  <c r="AY8" i="24"/>
  <c r="O7" i="24"/>
  <c r="E7" i="24" s="1"/>
  <c r="L7" i="24"/>
  <c r="L9" i="24" s="1"/>
  <c r="L12" i="24" s="1"/>
  <c r="BF6" i="24"/>
  <c r="BF12" i="24" s="1"/>
  <c r="BF8" i="24" s="1"/>
  <c r="BE6" i="24"/>
  <c r="BE7" i="24" s="1"/>
  <c r="BE12" i="24" s="1"/>
  <c r="BE8" i="24" s="1"/>
  <c r="BD6" i="24"/>
  <c r="BC6" i="24"/>
  <c r="BB6" i="24"/>
  <c r="BA6" i="24"/>
  <c r="BA7" i="24" s="1"/>
  <c r="AJ6" i="24"/>
  <c r="AI6" i="24" s="1"/>
  <c r="AE6" i="24"/>
  <c r="AF6" i="24" s="1"/>
  <c r="Y6" i="24"/>
  <c r="Z6" i="24" s="1"/>
  <c r="T6" i="24"/>
  <c r="U6" i="24" s="1"/>
  <c r="O6" i="24"/>
  <c r="O12" i="24" s="1"/>
  <c r="AT5" i="24"/>
  <c r="X5" i="24"/>
  <c r="AT4" i="24"/>
  <c r="G179" i="23"/>
  <c r="C173" i="23"/>
  <c r="AN171" i="23"/>
  <c r="AN170" i="23"/>
  <c r="T170" i="23"/>
  <c r="T171" i="23" s="1"/>
  <c r="S170" i="23"/>
  <c r="S171" i="23" s="1"/>
  <c r="AN169" i="23"/>
  <c r="T169" i="23"/>
  <c r="S169" i="23"/>
  <c r="AN168" i="23"/>
  <c r="T168" i="23"/>
  <c r="S168" i="23"/>
  <c r="D168" i="23"/>
  <c r="AN167" i="23"/>
  <c r="AN166" i="23"/>
  <c r="AN165" i="23"/>
  <c r="AN164" i="23"/>
  <c r="AN163" i="23"/>
  <c r="AN162" i="23"/>
  <c r="AN161" i="23"/>
  <c r="AN160" i="23"/>
  <c r="AN159" i="23"/>
  <c r="AN158" i="23"/>
  <c r="AN157" i="23"/>
  <c r="AN156" i="23"/>
  <c r="AN155" i="23"/>
  <c r="AN154" i="23"/>
  <c r="AN153" i="23"/>
  <c r="AN152" i="23"/>
  <c r="AN151" i="23"/>
  <c r="AN150" i="23"/>
  <c r="AN149" i="23"/>
  <c r="AN148" i="23"/>
  <c r="AN147" i="23"/>
  <c r="AN146" i="23"/>
  <c r="AN145" i="23"/>
  <c r="AN144" i="23"/>
  <c r="AN143" i="23"/>
  <c r="AN142" i="23"/>
  <c r="AN141" i="23"/>
  <c r="AN140" i="23"/>
  <c r="AN139" i="23"/>
  <c r="AN138" i="23"/>
  <c r="AN137" i="23"/>
  <c r="AN136" i="23"/>
  <c r="AN135" i="23"/>
  <c r="AN134" i="23"/>
  <c r="AN133" i="23"/>
  <c r="AN132" i="23"/>
  <c r="AN131" i="23"/>
  <c r="AN130" i="23"/>
  <c r="AN129" i="23"/>
  <c r="AN128" i="23"/>
  <c r="AN127" i="23"/>
  <c r="AN126" i="23"/>
  <c r="AN125" i="23"/>
  <c r="AN124" i="23"/>
  <c r="AN123" i="23"/>
  <c r="AN122" i="23"/>
  <c r="AN121" i="23"/>
  <c r="AN120" i="23"/>
  <c r="AN119" i="23"/>
  <c r="AN118" i="23"/>
  <c r="AN117" i="23"/>
  <c r="AN116" i="23"/>
  <c r="AN115" i="23"/>
  <c r="AN114" i="23"/>
  <c r="AN113" i="23"/>
  <c r="S113" i="23"/>
  <c r="AN112" i="23"/>
  <c r="S112" i="23"/>
  <c r="AN111" i="23"/>
  <c r="S111" i="23"/>
  <c r="AN110" i="23"/>
  <c r="S110" i="23"/>
  <c r="AN109" i="23"/>
  <c r="S109" i="23"/>
  <c r="AN108" i="23"/>
  <c r="S108" i="23"/>
  <c r="AN107" i="23"/>
  <c r="S107" i="23"/>
  <c r="AN106" i="23"/>
  <c r="S106" i="23"/>
  <c r="AN105" i="23"/>
  <c r="S105" i="23"/>
  <c r="AN104" i="23"/>
  <c r="S104" i="23"/>
  <c r="AN103" i="23"/>
  <c r="S103" i="23"/>
  <c r="AN102" i="23"/>
  <c r="S102" i="23"/>
  <c r="AN101" i="23"/>
  <c r="S101" i="23"/>
  <c r="AN100" i="23"/>
  <c r="S100" i="23"/>
  <c r="AN99" i="23"/>
  <c r="S99" i="23"/>
  <c r="AN98" i="23"/>
  <c r="S98" i="23"/>
  <c r="AN97" i="23"/>
  <c r="S97" i="23"/>
  <c r="AN96" i="23"/>
  <c r="S96" i="23"/>
  <c r="AN95" i="23"/>
  <c r="S95" i="23"/>
  <c r="AN94" i="23"/>
  <c r="S94" i="23"/>
  <c r="AN93" i="23"/>
  <c r="S93" i="23"/>
  <c r="AN92" i="23"/>
  <c r="S92" i="23"/>
  <c r="AN91" i="23"/>
  <c r="S91" i="23"/>
  <c r="AN90" i="23"/>
  <c r="S90" i="23"/>
  <c r="AN89" i="23"/>
  <c r="S89" i="23"/>
  <c r="AN88" i="23"/>
  <c r="S88" i="23"/>
  <c r="AN87" i="23"/>
  <c r="S87" i="23"/>
  <c r="AN86" i="23"/>
  <c r="S86" i="23"/>
  <c r="AN85" i="23"/>
  <c r="S85" i="23"/>
  <c r="AN84" i="23"/>
  <c r="S84" i="23"/>
  <c r="AN83" i="23"/>
  <c r="S83" i="23"/>
  <c r="AN82" i="23"/>
  <c r="S82" i="23"/>
  <c r="AN81" i="23"/>
  <c r="S81" i="23"/>
  <c r="AN80" i="23"/>
  <c r="S80" i="23"/>
  <c r="AN79" i="23"/>
  <c r="S79" i="23"/>
  <c r="AN78" i="23"/>
  <c r="S78" i="23"/>
  <c r="AN77" i="23"/>
  <c r="S77" i="23"/>
  <c r="AN76" i="23"/>
  <c r="S76" i="23"/>
  <c r="AN75" i="23"/>
  <c r="S75" i="23"/>
  <c r="AN74" i="23"/>
  <c r="S74" i="23"/>
  <c r="AN73" i="23"/>
  <c r="S73" i="23"/>
  <c r="AN72" i="23"/>
  <c r="S72" i="23"/>
  <c r="AN71" i="23"/>
  <c r="S71" i="23"/>
  <c r="AN70" i="23"/>
  <c r="S70" i="23"/>
  <c r="AN58" i="23"/>
  <c r="S58" i="23"/>
  <c r="AN57" i="23"/>
  <c r="S57" i="23"/>
  <c r="AN56" i="23"/>
  <c r="S56" i="23"/>
  <c r="AN55" i="23"/>
  <c r="S55" i="23"/>
  <c r="AN54" i="23"/>
  <c r="S54" i="23"/>
  <c r="AN53" i="23"/>
  <c r="S53" i="23"/>
  <c r="AN52" i="23"/>
  <c r="S52" i="23"/>
  <c r="AN51" i="23"/>
  <c r="S51" i="23"/>
  <c r="AN50" i="23"/>
  <c r="S50" i="23"/>
  <c r="AN49" i="23"/>
  <c r="AN48" i="23"/>
  <c r="S48" i="23"/>
  <c r="AN47" i="23"/>
  <c r="S47" i="23"/>
  <c r="AN46" i="23"/>
  <c r="S46" i="23"/>
  <c r="AN45" i="23"/>
  <c r="S45" i="23"/>
  <c r="AN44" i="23"/>
  <c r="S44" i="23"/>
  <c r="AN43" i="23"/>
  <c r="S43" i="23"/>
  <c r="AN42" i="23"/>
  <c r="S42" i="23"/>
  <c r="AN41" i="23"/>
  <c r="S41" i="23"/>
  <c r="AN40" i="23"/>
  <c r="S40" i="23"/>
  <c r="AN39" i="23"/>
  <c r="S39" i="23"/>
  <c r="AN38" i="23"/>
  <c r="S38" i="23"/>
  <c r="AN37" i="23"/>
  <c r="S37" i="23"/>
  <c r="AN36" i="23"/>
  <c r="S36" i="23"/>
  <c r="AN35" i="23"/>
  <c r="S35" i="23"/>
  <c r="AN34" i="23"/>
  <c r="S34" i="23"/>
  <c r="AN33" i="23"/>
  <c r="S33" i="23"/>
  <c r="AN32" i="23"/>
  <c r="S32" i="23"/>
  <c r="AN31" i="23"/>
  <c r="S31" i="23"/>
  <c r="AN30" i="23"/>
  <c r="S30" i="23"/>
  <c r="AN29" i="23"/>
  <c r="S29" i="23"/>
  <c r="AN28" i="23"/>
  <c r="S28" i="23"/>
  <c r="AN27" i="23"/>
  <c r="S27" i="23"/>
  <c r="AN26" i="23"/>
  <c r="S26" i="23"/>
  <c r="AN25" i="23"/>
  <c r="S25" i="23"/>
  <c r="AN24" i="23"/>
  <c r="S24" i="23"/>
  <c r="AN23" i="23"/>
  <c r="S23" i="23"/>
  <c r="AN22" i="23"/>
  <c r="S22" i="23"/>
  <c r="AN21" i="23"/>
  <c r="S21" i="23"/>
  <c r="AN20" i="23"/>
  <c r="S20" i="23"/>
  <c r="S19" i="23"/>
  <c r="AN18" i="23"/>
  <c r="S18" i="23"/>
  <c r="AN17" i="23"/>
  <c r="S17" i="23"/>
  <c r="AN16" i="23"/>
  <c r="S16" i="23"/>
  <c r="S15" i="23"/>
  <c r="S14" i="23"/>
  <c r="S13" i="23"/>
  <c r="AN12" i="23"/>
  <c r="S12" i="23"/>
  <c r="S11" i="23"/>
  <c r="AN10" i="23"/>
  <c r="S10" i="23"/>
  <c r="AN9" i="23"/>
  <c r="S9" i="23"/>
  <c r="AN8" i="23"/>
  <c r="S8" i="23"/>
  <c r="AN7" i="23"/>
  <c r="AN6" i="23"/>
  <c r="S6" i="23"/>
  <c r="T5" i="23"/>
  <c r="S5" i="23"/>
  <c r="AN4" i="23"/>
  <c r="S4" i="23"/>
  <c r="AN172" i="23" l="1"/>
  <c r="AH71" i="23"/>
  <c r="BA71" i="23" s="1"/>
  <c r="AO8" i="23"/>
  <c r="AP8" i="23"/>
  <c r="AR8" i="23"/>
  <c r="AQ8" i="23"/>
  <c r="AP51" i="23"/>
  <c r="AO51" i="23"/>
  <c r="AQ51" i="23"/>
  <c r="AR51" i="23"/>
  <c r="AO57" i="23"/>
  <c r="AP57" i="23"/>
  <c r="AQ57" i="23"/>
  <c r="AR57" i="23"/>
  <c r="AO72" i="23"/>
  <c r="AP72" i="23"/>
  <c r="AO76" i="23"/>
  <c r="AP76" i="23"/>
  <c r="AO82" i="23"/>
  <c r="AP82" i="23"/>
  <c r="AP86" i="23"/>
  <c r="AO86" i="23"/>
  <c r="AO90" i="23"/>
  <c r="AP90" i="23"/>
  <c r="AO94" i="23"/>
  <c r="AP94" i="23"/>
  <c r="AO98" i="23"/>
  <c r="AP98" i="23"/>
  <c r="AO102" i="23"/>
  <c r="AP102" i="23"/>
  <c r="AP106" i="23"/>
  <c r="AO106" i="23"/>
  <c r="AO110" i="23"/>
  <c r="AP110" i="23"/>
  <c r="AO135" i="23"/>
  <c r="AS135" i="23" s="1"/>
  <c r="AW135" i="23" s="1"/>
  <c r="AP135" i="23"/>
  <c r="AT135" i="23" s="1"/>
  <c r="AX135" i="23" s="1"/>
  <c r="AD73" i="23"/>
  <c r="AI73" i="23" s="1"/>
  <c r="AG73" i="23"/>
  <c r="AE74" i="23"/>
  <c r="AF73" i="23"/>
  <c r="AO6" i="23"/>
  <c r="AP6" i="23"/>
  <c r="AR6" i="23"/>
  <c r="AQ6" i="23"/>
  <c r="AO21" i="23"/>
  <c r="AP21" i="23"/>
  <c r="AR21" i="23"/>
  <c r="AQ21" i="23"/>
  <c r="AP25" i="23"/>
  <c r="AO25" i="23"/>
  <c r="AQ25" i="23"/>
  <c r="AR25" i="23"/>
  <c r="AO29" i="23"/>
  <c r="AP29" i="23"/>
  <c r="AQ29" i="23"/>
  <c r="AR29" i="23"/>
  <c r="AP33" i="23"/>
  <c r="AO33" i="23"/>
  <c r="AQ33" i="23"/>
  <c r="AR33" i="23"/>
  <c r="AO37" i="23"/>
  <c r="AP37" i="23"/>
  <c r="AR37" i="23"/>
  <c r="AQ37" i="23"/>
  <c r="AP41" i="23"/>
  <c r="AO41" i="23"/>
  <c r="AQ41" i="23"/>
  <c r="AR41" i="23"/>
  <c r="AO45" i="23"/>
  <c r="AP45" i="23"/>
  <c r="AR45" i="23"/>
  <c r="AQ45" i="23"/>
  <c r="AO54" i="23"/>
  <c r="AP54" i="23"/>
  <c r="AR54" i="23"/>
  <c r="AQ54" i="23"/>
  <c r="AP58" i="23"/>
  <c r="AO58" i="23"/>
  <c r="AQ58" i="23"/>
  <c r="AR58" i="23"/>
  <c r="AP75" i="23"/>
  <c r="AO75" i="23"/>
  <c r="AP81" i="23"/>
  <c r="AO81" i="23"/>
  <c r="AO87" i="23"/>
  <c r="AP87" i="23"/>
  <c r="AP91" i="23"/>
  <c r="AO91" i="23"/>
  <c r="AO97" i="23"/>
  <c r="AP97" i="23"/>
  <c r="AO101" i="23"/>
  <c r="AP101" i="23"/>
  <c r="AP105" i="23"/>
  <c r="AO105" i="23"/>
  <c r="AP107" i="23"/>
  <c r="AO107" i="23"/>
  <c r="AO109" i="23"/>
  <c r="AP109" i="23"/>
  <c r="AP113" i="23"/>
  <c r="AO113" i="23"/>
  <c r="AO125" i="23"/>
  <c r="AP125" i="23"/>
  <c r="AO129" i="23"/>
  <c r="AP129" i="23"/>
  <c r="AO133" i="23"/>
  <c r="AS133" i="23" s="1"/>
  <c r="AW133" i="23" s="1"/>
  <c r="AP133" i="23"/>
  <c r="AT133" i="23" s="1"/>
  <c r="AX133" i="23" s="1"/>
  <c r="AR70" i="23"/>
  <c r="AO10" i="23"/>
  <c r="AP10" i="23"/>
  <c r="AR10" i="23"/>
  <c r="AQ10" i="23"/>
  <c r="AO18" i="23"/>
  <c r="AP18" i="23"/>
  <c r="AQ18" i="23"/>
  <c r="AR18" i="23"/>
  <c r="AP49" i="23"/>
  <c r="AO49" i="23"/>
  <c r="AQ49" i="23"/>
  <c r="AR49" i="23"/>
  <c r="AO53" i="23"/>
  <c r="AP53" i="23"/>
  <c r="AR53" i="23"/>
  <c r="AQ53" i="23"/>
  <c r="AO55" i="23"/>
  <c r="AP55" i="23"/>
  <c r="AQ55" i="23"/>
  <c r="AR55" i="23"/>
  <c r="AP70" i="23"/>
  <c r="AO70" i="23"/>
  <c r="AO74" i="23"/>
  <c r="AP74" i="23"/>
  <c r="AP78" i="23"/>
  <c r="AO78" i="23"/>
  <c r="AP80" i="23"/>
  <c r="AO80" i="23"/>
  <c r="AP84" i="23"/>
  <c r="AO84" i="23"/>
  <c r="AO88" i="23"/>
  <c r="AP88" i="23"/>
  <c r="AP92" i="23"/>
  <c r="AO92" i="23"/>
  <c r="AO96" i="23"/>
  <c r="AP96" i="23"/>
  <c r="AO100" i="23"/>
  <c r="AP100" i="23"/>
  <c r="AO104" i="23"/>
  <c r="AP104" i="23"/>
  <c r="AO108" i="23"/>
  <c r="AP108" i="23"/>
  <c r="AP112" i="23"/>
  <c r="AO112" i="23"/>
  <c r="AO119" i="23"/>
  <c r="AP119" i="23"/>
  <c r="AO127" i="23"/>
  <c r="AP127" i="23"/>
  <c r="AQ70" i="23"/>
  <c r="AO4" i="23"/>
  <c r="AP4" i="23"/>
  <c r="AQ4" i="23"/>
  <c r="AR4" i="23"/>
  <c r="AO23" i="23"/>
  <c r="AP23" i="23"/>
  <c r="AQ23" i="23"/>
  <c r="AR23" i="23"/>
  <c r="AO27" i="23"/>
  <c r="AP27" i="23"/>
  <c r="AQ27" i="23"/>
  <c r="AR27" i="23"/>
  <c r="AO31" i="23"/>
  <c r="AP31" i="23"/>
  <c r="AR31" i="23"/>
  <c r="AQ31" i="23"/>
  <c r="AP35" i="23"/>
  <c r="AO35" i="23"/>
  <c r="AQ35" i="23"/>
  <c r="AR35" i="23"/>
  <c r="AO39" i="23"/>
  <c r="AP39" i="23"/>
  <c r="AQ39" i="23"/>
  <c r="AR39" i="23"/>
  <c r="AP43" i="23"/>
  <c r="AO43" i="23"/>
  <c r="AQ43" i="23"/>
  <c r="AR43" i="23"/>
  <c r="AO47" i="23"/>
  <c r="AP47" i="23"/>
  <c r="AQ47" i="23"/>
  <c r="AR47" i="23"/>
  <c r="AP7" i="23"/>
  <c r="AO7" i="23"/>
  <c r="AR7" i="23"/>
  <c r="AQ7" i="23"/>
  <c r="AO9" i="23"/>
  <c r="AP9" i="23"/>
  <c r="AR9" i="23"/>
  <c r="AQ9" i="23"/>
  <c r="AO17" i="23"/>
  <c r="AP17" i="23"/>
  <c r="AQ17" i="23"/>
  <c r="AR17" i="23"/>
  <c r="AO50" i="23"/>
  <c r="AP50" i="23"/>
  <c r="AQ50" i="23"/>
  <c r="AR50" i="23"/>
  <c r="AO52" i="23"/>
  <c r="AP52" i="23"/>
  <c r="AR52" i="23"/>
  <c r="AQ52" i="23"/>
  <c r="AO56" i="23"/>
  <c r="AP56" i="23"/>
  <c r="AR56" i="23"/>
  <c r="AQ56" i="23"/>
  <c r="AP71" i="23"/>
  <c r="AO71" i="23"/>
  <c r="AO73" i="23"/>
  <c r="AP73" i="23"/>
  <c r="AP77" i="23"/>
  <c r="AO77" i="23"/>
  <c r="AP79" i="23"/>
  <c r="AO79" i="23"/>
  <c r="AP83" i="23"/>
  <c r="AO83" i="23"/>
  <c r="AO85" i="23"/>
  <c r="AP85" i="23"/>
  <c r="AP89" i="23"/>
  <c r="AO89" i="23"/>
  <c r="AP93" i="23"/>
  <c r="AO93" i="23"/>
  <c r="AP95" i="23"/>
  <c r="AO95" i="23"/>
  <c r="AP99" i="23"/>
  <c r="AO99" i="23"/>
  <c r="AO103" i="23"/>
  <c r="AP103" i="23"/>
  <c r="AP111" i="23"/>
  <c r="AO111" i="23"/>
  <c r="AO12" i="23"/>
  <c r="AP12" i="23"/>
  <c r="AR12" i="23"/>
  <c r="AQ12" i="23"/>
  <c r="AO20" i="23"/>
  <c r="AP20" i="23"/>
  <c r="AQ20" i="23"/>
  <c r="AR20" i="23"/>
  <c r="AP22" i="23"/>
  <c r="AO22" i="23"/>
  <c r="AQ22" i="23"/>
  <c r="AR22" i="23"/>
  <c r="AP24" i="23"/>
  <c r="AO24" i="23"/>
  <c r="AQ24" i="23"/>
  <c r="AR24" i="23"/>
  <c r="AO26" i="23"/>
  <c r="AP26" i="23"/>
  <c r="AQ26" i="23"/>
  <c r="AR26" i="23"/>
  <c r="AO28" i="23"/>
  <c r="AP28" i="23"/>
  <c r="AQ28" i="23"/>
  <c r="AR28" i="23"/>
  <c r="AP30" i="23"/>
  <c r="AO30" i="23"/>
  <c r="AQ30" i="23"/>
  <c r="AR30" i="23"/>
  <c r="AO32" i="23"/>
  <c r="AP32" i="23"/>
  <c r="AR32" i="23"/>
  <c r="AQ32" i="23"/>
  <c r="AO34" i="23"/>
  <c r="AP34" i="23"/>
  <c r="AQ34" i="23"/>
  <c r="AR34" i="23"/>
  <c r="AP36" i="23"/>
  <c r="AO36" i="23"/>
  <c r="AQ36" i="23"/>
  <c r="AR36" i="23"/>
  <c r="AP38" i="23"/>
  <c r="AO38" i="23"/>
  <c r="AQ38" i="23"/>
  <c r="AR38" i="23"/>
  <c r="AO40" i="23"/>
  <c r="AP40" i="23"/>
  <c r="AQ40" i="23"/>
  <c r="AR40" i="23"/>
  <c r="AO42" i="23"/>
  <c r="AP42" i="23"/>
  <c r="AR42" i="23"/>
  <c r="AQ42" i="23"/>
  <c r="AP44" i="23"/>
  <c r="AO44" i="23"/>
  <c r="AQ44" i="23"/>
  <c r="AR44" i="23"/>
  <c r="AP46" i="23"/>
  <c r="AO46" i="23"/>
  <c r="AQ46" i="23"/>
  <c r="AR46" i="23"/>
  <c r="AO48" i="23"/>
  <c r="AP48" i="23"/>
  <c r="AR48" i="23"/>
  <c r="AQ48" i="23"/>
  <c r="AO118" i="23"/>
  <c r="AP118" i="23"/>
  <c r="AO134" i="23"/>
  <c r="AS134" i="23" s="1"/>
  <c r="AW134" i="23" s="1"/>
  <c r="AP134" i="23"/>
  <c r="AT134" i="23" s="1"/>
  <c r="AX134" i="23" s="1"/>
  <c r="AQ71" i="23"/>
  <c r="AU71" i="23" s="1"/>
  <c r="AL72" i="23"/>
  <c r="BD72" i="23" s="1"/>
  <c r="AO16" i="23"/>
  <c r="AP16" i="23"/>
  <c r="AQ16" i="23"/>
  <c r="AR16" i="23"/>
  <c r="AO124" i="23"/>
  <c r="AP124" i="23"/>
  <c r="AO128" i="23"/>
  <c r="AP128" i="23"/>
  <c r="BC71" i="23"/>
  <c r="AK72" i="23"/>
  <c r="AC72" i="23"/>
  <c r="F40" i="2"/>
  <c r="I40" i="2"/>
  <c r="G41" i="2"/>
  <c r="AB41" i="2"/>
  <c r="AE40" i="2"/>
  <c r="AE41" i="2"/>
  <c r="G42" i="2"/>
  <c r="AB42" i="2"/>
  <c r="AE121" i="2"/>
  <c r="AE123" i="2"/>
  <c r="H41" i="2"/>
  <c r="G16" i="2"/>
  <c r="G182" i="23"/>
  <c r="G24" i="14"/>
  <c r="O9" i="24"/>
  <c r="T4" i="23"/>
  <c r="BB63" i="23"/>
  <c r="BE63" i="23" s="1"/>
  <c r="BB29" i="23"/>
  <c r="BE29" i="23" s="1"/>
  <c r="S65" i="23"/>
  <c r="BB64" i="23"/>
  <c r="BE64" i="23" s="1"/>
  <c r="BB57" i="23"/>
  <c r="BE57" i="23" s="1"/>
  <c r="P6" i="24"/>
  <c r="P12" i="24" s="1"/>
  <c r="I52" i="2"/>
  <c r="I47" i="2" s="1"/>
  <c r="I46" i="2" s="1"/>
  <c r="F59" i="2"/>
  <c r="BB37" i="23"/>
  <c r="BE37" i="23" s="1"/>
  <c r="BB7" i="24"/>
  <c r="BB12" i="24" s="1"/>
  <c r="BB8" i="24" s="1"/>
  <c r="AB40" i="2"/>
  <c r="I21" i="2"/>
  <c r="K47" i="2" s="1"/>
  <c r="K122" i="2" s="1"/>
  <c r="H21" i="2"/>
  <c r="BB13" i="23"/>
  <c r="BE13" i="23" s="1"/>
  <c r="BB38" i="23"/>
  <c r="BE38" i="23" s="1"/>
  <c r="BB43" i="23"/>
  <c r="BE43" i="23" s="1"/>
  <c r="BB58" i="23"/>
  <c r="BE58" i="23" s="1"/>
  <c r="BB21" i="23"/>
  <c r="BE21" i="23" s="1"/>
  <c r="BB39" i="23"/>
  <c r="BE39" i="23" s="1"/>
  <c r="BB70" i="23"/>
  <c r="BE70" i="23" s="1"/>
  <c r="BB40" i="23"/>
  <c r="BE40" i="23" s="1"/>
  <c r="BB35" i="23"/>
  <c r="BE35" i="23" s="1"/>
  <c r="BB41" i="23"/>
  <c r="BE41" i="23" s="1"/>
  <c r="H17" i="2"/>
  <c r="H15" i="2"/>
  <c r="Q12" i="24"/>
  <c r="R6" i="24" s="1"/>
  <c r="U12" i="24"/>
  <c r="L6" i="24"/>
  <c r="N12" i="24" s="1"/>
  <c r="G6" i="24"/>
  <c r="G12" i="24" s="1"/>
  <c r="BD7" i="24"/>
  <c r="BD12" i="24" s="1"/>
  <c r="BD8" i="24" s="1"/>
  <c r="K6" i="24"/>
  <c r="K10" i="24" s="1"/>
  <c r="T12" i="24"/>
  <c r="E6" i="24"/>
  <c r="E12" i="24" s="1"/>
  <c r="J12" i="24" s="1"/>
  <c r="BC7" i="24"/>
  <c r="AZ7" i="24" s="1"/>
  <c r="BB26" i="23"/>
  <c r="BE26" i="23" s="1"/>
  <c r="BB18" i="23"/>
  <c r="BE18" i="23" s="1"/>
  <c r="BB34" i="23"/>
  <c r="BE34" i="23" s="1"/>
  <c r="BB5" i="23"/>
  <c r="BB7" i="23"/>
  <c r="BE7" i="23" s="1"/>
  <c r="BB9" i="23"/>
  <c r="BE9" i="23" s="1"/>
  <c r="BB11" i="23"/>
  <c r="BE11" i="23" s="1"/>
  <c r="BB15" i="23"/>
  <c r="BE15" i="23" s="1"/>
  <c r="BB31" i="23"/>
  <c r="BE31" i="23" s="1"/>
  <c r="BB17" i="23"/>
  <c r="BE17" i="23" s="1"/>
  <c r="BB22" i="23"/>
  <c r="BE22" i="23" s="1"/>
  <c r="BB25" i="23"/>
  <c r="BE25" i="23" s="1"/>
  <c r="BB30" i="23"/>
  <c r="BE30" i="23" s="1"/>
  <c r="BB33" i="23"/>
  <c r="BE33" i="23" s="1"/>
  <c r="BB28" i="23"/>
  <c r="BE28" i="23" s="1"/>
  <c r="BB14" i="23"/>
  <c r="BE14" i="23" s="1"/>
  <c r="BB6" i="23"/>
  <c r="BE6" i="23" s="1"/>
  <c r="BB8" i="23"/>
  <c r="BE8" i="23" s="1"/>
  <c r="BB10" i="23"/>
  <c r="BE10" i="23" s="1"/>
  <c r="BB12" i="23"/>
  <c r="BE12" i="23" s="1"/>
  <c r="BB16" i="23"/>
  <c r="BE16" i="23" s="1"/>
  <c r="BB19" i="23"/>
  <c r="BE19" i="23" s="1"/>
  <c r="BB27" i="23"/>
  <c r="BE27" i="23" s="1"/>
  <c r="BB32" i="23"/>
  <c r="BE32" i="23" s="1"/>
  <c r="BB36" i="23"/>
  <c r="BE36" i="23" s="1"/>
  <c r="BB20" i="23"/>
  <c r="BE20" i="23" s="1"/>
  <c r="BB47" i="23"/>
  <c r="BE47" i="23" s="1"/>
  <c r="BB54" i="23"/>
  <c r="BE54" i="23" s="1"/>
  <c r="BB56" i="23"/>
  <c r="BE56" i="23" s="1"/>
  <c r="BB55" i="23"/>
  <c r="BE55" i="23" s="1"/>
  <c r="BB71" i="23" l="1"/>
  <c r="BE71" i="23" s="1"/>
  <c r="AR71" i="23"/>
  <c r="AV71" i="23" s="1"/>
  <c r="AZ71" i="23" s="1"/>
  <c r="AS4" i="23"/>
  <c r="AW4" i="23" s="1"/>
  <c r="BE5" i="23"/>
  <c r="AH72" i="23"/>
  <c r="BB72" i="23" s="1"/>
  <c r="BE72" i="23" s="1"/>
  <c r="AS128" i="23"/>
  <c r="AW128" i="23" s="1"/>
  <c r="AU16" i="23"/>
  <c r="AY16" i="23" s="1"/>
  <c r="AV48" i="23"/>
  <c r="AZ48" i="23" s="1"/>
  <c r="AU46" i="23"/>
  <c r="AY46" i="23" s="1"/>
  <c r="AU44" i="23"/>
  <c r="AY44" i="23" s="1"/>
  <c r="AV42" i="23"/>
  <c r="AZ42" i="23" s="1"/>
  <c r="AU40" i="23"/>
  <c r="AY40" i="23" s="1"/>
  <c r="AU38" i="23"/>
  <c r="AY38" i="23" s="1"/>
  <c r="AU36" i="23"/>
  <c r="AY36" i="23" s="1"/>
  <c r="AU34" i="23"/>
  <c r="AY34" i="23" s="1"/>
  <c r="AV32" i="23"/>
  <c r="AZ32" i="23" s="1"/>
  <c r="AU30" i="23"/>
  <c r="AY30" i="23" s="1"/>
  <c r="AU28" i="23"/>
  <c r="AY28" i="23" s="1"/>
  <c r="AU26" i="23"/>
  <c r="AY26" i="23" s="1"/>
  <c r="AU24" i="23"/>
  <c r="AY24" i="23" s="1"/>
  <c r="AU22" i="23"/>
  <c r="AY22" i="23" s="1"/>
  <c r="AU20" i="23"/>
  <c r="AY20" i="23" s="1"/>
  <c r="AV12" i="23"/>
  <c r="AZ12" i="23" s="1"/>
  <c r="AT111" i="23"/>
  <c r="AX111" i="23" s="1"/>
  <c r="AT99" i="23"/>
  <c r="AX99" i="23" s="1"/>
  <c r="AT93" i="23"/>
  <c r="AX93" i="23" s="1"/>
  <c r="AS85" i="23"/>
  <c r="AW85" i="23" s="1"/>
  <c r="AT79" i="23"/>
  <c r="AX79" i="23" s="1"/>
  <c r="AS73" i="23"/>
  <c r="AW73" i="23" s="1"/>
  <c r="AV56" i="23"/>
  <c r="AZ56" i="23" s="1"/>
  <c r="AV52" i="23"/>
  <c r="AZ52" i="23" s="1"/>
  <c r="AU50" i="23"/>
  <c r="AY50" i="23" s="1"/>
  <c r="AU17" i="23"/>
  <c r="AY17" i="23" s="1"/>
  <c r="AV9" i="23"/>
  <c r="AZ9" i="23" s="1"/>
  <c r="AV7" i="23"/>
  <c r="AZ7" i="23" s="1"/>
  <c r="AU47" i="23"/>
  <c r="AY47" i="23" s="1"/>
  <c r="AU43" i="23"/>
  <c r="AY43" i="23" s="1"/>
  <c r="AU39" i="23"/>
  <c r="AY39" i="23" s="1"/>
  <c r="AU35" i="23"/>
  <c r="AY35" i="23" s="1"/>
  <c r="AV31" i="23"/>
  <c r="AZ31" i="23" s="1"/>
  <c r="AU27" i="23"/>
  <c r="AY27" i="23" s="1"/>
  <c r="AU23" i="23"/>
  <c r="AY23" i="23" s="1"/>
  <c r="AU4" i="23"/>
  <c r="AT127" i="23"/>
  <c r="AX127" i="23" s="1"/>
  <c r="AS112" i="23"/>
  <c r="AW112" i="23" s="1"/>
  <c r="AT104" i="23"/>
  <c r="AX104" i="23" s="1"/>
  <c r="AT96" i="23"/>
  <c r="AX96" i="23" s="1"/>
  <c r="AT88" i="23"/>
  <c r="AX88" i="23" s="1"/>
  <c r="AS80" i="23"/>
  <c r="AW80" i="23" s="1"/>
  <c r="AT74" i="23"/>
  <c r="AX74" i="23" s="1"/>
  <c r="AV55" i="23"/>
  <c r="AZ55" i="23" s="1"/>
  <c r="AU53" i="23"/>
  <c r="AY53" i="23" s="1"/>
  <c r="AV49" i="23"/>
  <c r="AZ49" i="23" s="1"/>
  <c r="AV18" i="23"/>
  <c r="AZ18" i="23" s="1"/>
  <c r="AU10" i="23"/>
  <c r="AY10" i="23" s="1"/>
  <c r="AT129" i="23"/>
  <c r="AX129" i="23" s="1"/>
  <c r="AS113" i="23"/>
  <c r="AW113" i="23" s="1"/>
  <c r="AS107" i="23"/>
  <c r="AW107" i="23" s="1"/>
  <c r="AT101" i="23"/>
  <c r="AX101" i="23" s="1"/>
  <c r="AS91" i="23"/>
  <c r="AW91" i="23" s="1"/>
  <c r="AS81" i="23"/>
  <c r="AW81" i="23" s="1"/>
  <c r="AV58" i="23"/>
  <c r="AZ58" i="23" s="1"/>
  <c r="AU54" i="23"/>
  <c r="AY54" i="23" s="1"/>
  <c r="AU45" i="23"/>
  <c r="AY45" i="23" s="1"/>
  <c r="AV41" i="23"/>
  <c r="AZ41" i="23" s="1"/>
  <c r="AU37" i="23"/>
  <c r="AY37" i="23" s="1"/>
  <c r="AV33" i="23"/>
  <c r="AZ33" i="23" s="1"/>
  <c r="AV29" i="23"/>
  <c r="AZ29" i="23" s="1"/>
  <c r="AV25" i="23"/>
  <c r="AZ25" i="23" s="1"/>
  <c r="AU21" i="23"/>
  <c r="AY21" i="23" s="1"/>
  <c r="AU6" i="23"/>
  <c r="AY6" i="23" s="1"/>
  <c r="AC73" i="23"/>
  <c r="AK73" i="23"/>
  <c r="BC73" i="23" s="1"/>
  <c r="AT110" i="23"/>
  <c r="AX110" i="23" s="1"/>
  <c r="AT102" i="23"/>
  <c r="AX102" i="23" s="1"/>
  <c r="AT94" i="23"/>
  <c r="AX94" i="23" s="1"/>
  <c r="AS86" i="23"/>
  <c r="AW86" i="23" s="1"/>
  <c r="AT76" i="23"/>
  <c r="AX76" i="23" s="1"/>
  <c r="AV57" i="23"/>
  <c r="AZ57" i="23" s="1"/>
  <c r="AV51" i="23"/>
  <c r="AZ51" i="23" s="1"/>
  <c r="AU8" i="23"/>
  <c r="AY8" i="23" s="1"/>
  <c r="BC72" i="23"/>
  <c r="AT124" i="23"/>
  <c r="AX124" i="23" s="1"/>
  <c r="AT16" i="23"/>
  <c r="AX16" i="23" s="1"/>
  <c r="AY71" i="23"/>
  <c r="AT118" i="23"/>
  <c r="AX118" i="23" s="1"/>
  <c r="AT48" i="23"/>
  <c r="AX48" i="23" s="1"/>
  <c r="AS46" i="23"/>
  <c r="AW46" i="23" s="1"/>
  <c r="AS44" i="23"/>
  <c r="AW44" i="23" s="1"/>
  <c r="AT42" i="23"/>
  <c r="AX42" i="23" s="1"/>
  <c r="AT40" i="23"/>
  <c r="AX40" i="23" s="1"/>
  <c r="AS38" i="23"/>
  <c r="AW38" i="23" s="1"/>
  <c r="AS36" i="23"/>
  <c r="AW36" i="23" s="1"/>
  <c r="AT34" i="23"/>
  <c r="AX34" i="23" s="1"/>
  <c r="AT32" i="23"/>
  <c r="AX32" i="23" s="1"/>
  <c r="AS30" i="23"/>
  <c r="AW30" i="23" s="1"/>
  <c r="AT28" i="23"/>
  <c r="AX28" i="23" s="1"/>
  <c r="AT26" i="23"/>
  <c r="AX26" i="23" s="1"/>
  <c r="AS24" i="23"/>
  <c r="AW24" i="23" s="1"/>
  <c r="AS22" i="23"/>
  <c r="AW22" i="23" s="1"/>
  <c r="AT20" i="23"/>
  <c r="AX20" i="23" s="1"/>
  <c r="AT12" i="23"/>
  <c r="AX12" i="23" s="1"/>
  <c r="AT103" i="23"/>
  <c r="AX103" i="23" s="1"/>
  <c r="AS95" i="23"/>
  <c r="AW95" i="23" s="1"/>
  <c r="AS89" i="23"/>
  <c r="AW89" i="23" s="1"/>
  <c r="AS83" i="23"/>
  <c r="AW83" i="23" s="1"/>
  <c r="AS77" i="23"/>
  <c r="AW77" i="23" s="1"/>
  <c r="AS71" i="23"/>
  <c r="AW71" i="23" s="1"/>
  <c r="AT56" i="23"/>
  <c r="AX56" i="23" s="1"/>
  <c r="AT52" i="23"/>
  <c r="AX52" i="23" s="1"/>
  <c r="AT50" i="23"/>
  <c r="AX50" i="23" s="1"/>
  <c r="AT17" i="23"/>
  <c r="AX17" i="23" s="1"/>
  <c r="AT9" i="23"/>
  <c r="AX9" i="23" s="1"/>
  <c r="AS7" i="23"/>
  <c r="AW7" i="23" s="1"/>
  <c r="AT47" i="23"/>
  <c r="AX47" i="23" s="1"/>
  <c r="AS43" i="23"/>
  <c r="AW43" i="23" s="1"/>
  <c r="AT39" i="23"/>
  <c r="AX39" i="23" s="1"/>
  <c r="AS35" i="23"/>
  <c r="AW35" i="23" s="1"/>
  <c r="AT31" i="23"/>
  <c r="AX31" i="23" s="1"/>
  <c r="AT27" i="23"/>
  <c r="AX27" i="23" s="1"/>
  <c r="AT23" i="23"/>
  <c r="AX23" i="23" s="1"/>
  <c r="AT4" i="23"/>
  <c r="AS127" i="23"/>
  <c r="AW127" i="23" s="1"/>
  <c r="AT112" i="23"/>
  <c r="AX112" i="23" s="1"/>
  <c r="AS104" i="23"/>
  <c r="AW104" i="23" s="1"/>
  <c r="AS96" i="23"/>
  <c r="AW96" i="23" s="1"/>
  <c r="AS88" i="23"/>
  <c r="AW88" i="23" s="1"/>
  <c r="AT80" i="23"/>
  <c r="AX80" i="23" s="1"/>
  <c r="AS74" i="23"/>
  <c r="AW74" i="23" s="1"/>
  <c r="AU55" i="23"/>
  <c r="AY55" i="23" s="1"/>
  <c r="AV53" i="23"/>
  <c r="AZ53" i="23" s="1"/>
  <c r="AU49" i="23"/>
  <c r="AY49" i="23" s="1"/>
  <c r="AU18" i="23"/>
  <c r="AY18" i="23" s="1"/>
  <c r="AV10" i="23"/>
  <c r="AZ10" i="23" s="1"/>
  <c r="AV70" i="23"/>
  <c r="AZ70" i="23" s="1"/>
  <c r="AS129" i="23"/>
  <c r="AW129" i="23" s="1"/>
  <c r="AT113" i="23"/>
  <c r="AX113" i="23" s="1"/>
  <c r="AT107" i="23"/>
  <c r="AX107" i="23" s="1"/>
  <c r="AS101" i="23"/>
  <c r="AW101" i="23" s="1"/>
  <c r="AT91" i="23"/>
  <c r="AX91" i="23" s="1"/>
  <c r="AT81" i="23"/>
  <c r="AX81" i="23" s="1"/>
  <c r="AU58" i="23"/>
  <c r="AY58" i="23" s="1"/>
  <c r="AV54" i="23"/>
  <c r="AZ54" i="23" s="1"/>
  <c r="AV45" i="23"/>
  <c r="AZ45" i="23" s="1"/>
  <c r="AU41" i="23"/>
  <c r="AY41" i="23" s="1"/>
  <c r="AV37" i="23"/>
  <c r="AZ37" i="23" s="1"/>
  <c r="AU33" i="23"/>
  <c r="AY33" i="23" s="1"/>
  <c r="AU29" i="23"/>
  <c r="AY29" i="23" s="1"/>
  <c r="AU25" i="23"/>
  <c r="AY25" i="23" s="1"/>
  <c r="AV21" i="23"/>
  <c r="AZ21" i="23" s="1"/>
  <c r="AV6" i="23"/>
  <c r="AZ6" i="23" s="1"/>
  <c r="AG74" i="23"/>
  <c r="AF74" i="23"/>
  <c r="AE75" i="23"/>
  <c r="AD74" i="23"/>
  <c r="AI74" i="23" s="1"/>
  <c r="AS110" i="23"/>
  <c r="AW110" i="23" s="1"/>
  <c r="AS102" i="23"/>
  <c r="AW102" i="23" s="1"/>
  <c r="AS94" i="23"/>
  <c r="AW94" i="23" s="1"/>
  <c r="AT86" i="23"/>
  <c r="AX86" i="23" s="1"/>
  <c r="AS76" i="23"/>
  <c r="AW76" i="23" s="1"/>
  <c r="AU57" i="23"/>
  <c r="AY57" i="23" s="1"/>
  <c r="AU51" i="23"/>
  <c r="AY51" i="23" s="1"/>
  <c r="AV8" i="23"/>
  <c r="AZ8" i="23" s="1"/>
  <c r="AS124" i="23"/>
  <c r="AW124" i="23" s="1"/>
  <c r="AS16" i="23"/>
  <c r="AW16" i="23" s="1"/>
  <c r="AS118" i="23"/>
  <c r="AW118" i="23" s="1"/>
  <c r="AS48" i="23"/>
  <c r="AW48" i="23" s="1"/>
  <c r="AT46" i="23"/>
  <c r="AX46" i="23" s="1"/>
  <c r="AT44" i="23"/>
  <c r="AX44" i="23" s="1"/>
  <c r="AS42" i="23"/>
  <c r="AW42" i="23" s="1"/>
  <c r="AS40" i="23"/>
  <c r="AW40" i="23" s="1"/>
  <c r="AT38" i="23"/>
  <c r="AX38" i="23" s="1"/>
  <c r="AT36" i="23"/>
  <c r="AX36" i="23" s="1"/>
  <c r="AS34" i="23"/>
  <c r="AW34" i="23" s="1"/>
  <c r="AS32" i="23"/>
  <c r="AW32" i="23" s="1"/>
  <c r="AT30" i="23"/>
  <c r="AX30" i="23" s="1"/>
  <c r="AS28" i="23"/>
  <c r="AW28" i="23" s="1"/>
  <c r="AS26" i="23"/>
  <c r="AW26" i="23" s="1"/>
  <c r="AT24" i="23"/>
  <c r="AX24" i="23" s="1"/>
  <c r="AT22" i="23"/>
  <c r="AX22" i="23" s="1"/>
  <c r="AS20" i="23"/>
  <c r="AW20" i="23" s="1"/>
  <c r="AS12" i="23"/>
  <c r="AW12" i="23" s="1"/>
  <c r="AS103" i="23"/>
  <c r="AW103" i="23" s="1"/>
  <c r="AT95" i="23"/>
  <c r="AX95" i="23" s="1"/>
  <c r="AT89" i="23"/>
  <c r="AX89" i="23" s="1"/>
  <c r="AT83" i="23"/>
  <c r="AX83" i="23" s="1"/>
  <c r="AT77" i="23"/>
  <c r="AX77" i="23" s="1"/>
  <c r="AT71" i="23"/>
  <c r="AX71" i="23" s="1"/>
  <c r="AS56" i="23"/>
  <c r="AW56" i="23" s="1"/>
  <c r="AS52" i="23"/>
  <c r="AW52" i="23" s="1"/>
  <c r="AS50" i="23"/>
  <c r="AW50" i="23" s="1"/>
  <c r="AS17" i="23"/>
  <c r="AW17" i="23" s="1"/>
  <c r="AS9" i="23"/>
  <c r="AW9" i="23" s="1"/>
  <c r="AT7" i="23"/>
  <c r="AX7" i="23" s="1"/>
  <c r="AS47" i="23"/>
  <c r="AW47" i="23" s="1"/>
  <c r="AT43" i="23"/>
  <c r="AX43" i="23" s="1"/>
  <c r="AS39" i="23"/>
  <c r="AW39" i="23" s="1"/>
  <c r="AT35" i="23"/>
  <c r="AX35" i="23" s="1"/>
  <c r="AS31" i="23"/>
  <c r="AW31" i="23" s="1"/>
  <c r="AS27" i="23"/>
  <c r="AW27" i="23" s="1"/>
  <c r="AS23" i="23"/>
  <c r="AW23" i="23" s="1"/>
  <c r="AT119" i="23"/>
  <c r="AX119" i="23" s="1"/>
  <c r="AT108" i="23"/>
  <c r="AX108" i="23" s="1"/>
  <c r="AT100" i="23"/>
  <c r="AX100" i="23" s="1"/>
  <c r="AS92" i="23"/>
  <c r="AW92" i="23" s="1"/>
  <c r="AS84" i="23"/>
  <c r="AW84" i="23" s="1"/>
  <c r="AS78" i="23"/>
  <c r="AW78" i="23" s="1"/>
  <c r="AS70" i="23"/>
  <c r="AW70" i="23" s="1"/>
  <c r="AT55" i="23"/>
  <c r="AX55" i="23" s="1"/>
  <c r="AT53" i="23"/>
  <c r="AX53" i="23" s="1"/>
  <c r="AS49" i="23"/>
  <c r="AW49" i="23" s="1"/>
  <c r="AT18" i="23"/>
  <c r="AX18" i="23" s="1"/>
  <c r="AT10" i="23"/>
  <c r="AX10" i="23" s="1"/>
  <c r="AT125" i="23"/>
  <c r="AX125" i="23" s="1"/>
  <c r="AT109" i="23"/>
  <c r="AX109" i="23" s="1"/>
  <c r="AS105" i="23"/>
  <c r="AW105" i="23" s="1"/>
  <c r="AT97" i="23"/>
  <c r="AX97" i="23" s="1"/>
  <c r="AT87" i="23"/>
  <c r="AX87" i="23" s="1"/>
  <c r="AS75" i="23"/>
  <c r="AW75" i="23" s="1"/>
  <c r="AS58" i="23"/>
  <c r="AW58" i="23" s="1"/>
  <c r="AT54" i="23"/>
  <c r="AX54" i="23" s="1"/>
  <c r="AT45" i="23"/>
  <c r="AX45" i="23" s="1"/>
  <c r="AS41" i="23"/>
  <c r="AW41" i="23" s="1"/>
  <c r="AT37" i="23"/>
  <c r="AX37" i="23" s="1"/>
  <c r="AS33" i="23"/>
  <c r="AW33" i="23" s="1"/>
  <c r="AT29" i="23"/>
  <c r="AX29" i="23" s="1"/>
  <c r="AS25" i="23"/>
  <c r="AW25" i="23" s="1"/>
  <c r="AT21" i="23"/>
  <c r="AX21" i="23" s="1"/>
  <c r="AT6" i="23"/>
  <c r="AX6" i="23" s="1"/>
  <c r="AL73" i="23"/>
  <c r="BD73" i="23" s="1"/>
  <c r="AS106" i="23"/>
  <c r="AW106" i="23" s="1"/>
  <c r="AT98" i="23"/>
  <c r="AX98" i="23" s="1"/>
  <c r="AT90" i="23"/>
  <c r="AX90" i="23" s="1"/>
  <c r="AT82" i="23"/>
  <c r="AX82" i="23" s="1"/>
  <c r="AT72" i="23"/>
  <c r="AX72" i="23" s="1"/>
  <c r="AT57" i="23"/>
  <c r="AX57" i="23" s="1"/>
  <c r="AS51" i="23"/>
  <c r="AW51" i="23" s="1"/>
  <c r="AT8" i="23"/>
  <c r="AX8" i="23" s="1"/>
  <c r="AQ72" i="23"/>
  <c r="AT128" i="23"/>
  <c r="AX128" i="23" s="1"/>
  <c r="AV16" i="23"/>
  <c r="AZ16" i="23" s="1"/>
  <c r="AU48" i="23"/>
  <c r="AY48" i="23" s="1"/>
  <c r="AV46" i="23"/>
  <c r="AZ46" i="23" s="1"/>
  <c r="AV44" i="23"/>
  <c r="AZ44" i="23" s="1"/>
  <c r="AU42" i="23"/>
  <c r="AY42" i="23" s="1"/>
  <c r="AV40" i="23"/>
  <c r="AZ40" i="23" s="1"/>
  <c r="AV38" i="23"/>
  <c r="AZ38" i="23" s="1"/>
  <c r="AV36" i="23"/>
  <c r="AZ36" i="23" s="1"/>
  <c r="AV34" i="23"/>
  <c r="AZ34" i="23" s="1"/>
  <c r="AU32" i="23"/>
  <c r="AY32" i="23" s="1"/>
  <c r="AV30" i="23"/>
  <c r="AZ30" i="23" s="1"/>
  <c r="AV28" i="23"/>
  <c r="AZ28" i="23" s="1"/>
  <c r="AV26" i="23"/>
  <c r="AZ26" i="23" s="1"/>
  <c r="AV24" i="23"/>
  <c r="AZ24" i="23" s="1"/>
  <c r="AV22" i="23"/>
  <c r="AZ22" i="23" s="1"/>
  <c r="AV20" i="23"/>
  <c r="AZ20" i="23" s="1"/>
  <c r="AU12" i="23"/>
  <c r="AY12" i="23" s="1"/>
  <c r="AS111" i="23"/>
  <c r="AW111" i="23" s="1"/>
  <c r="AS99" i="23"/>
  <c r="AW99" i="23" s="1"/>
  <c r="AS93" i="23"/>
  <c r="AW93" i="23" s="1"/>
  <c r="AT85" i="23"/>
  <c r="AX85" i="23" s="1"/>
  <c r="AS79" i="23"/>
  <c r="AW79" i="23" s="1"/>
  <c r="AT73" i="23"/>
  <c r="AX73" i="23" s="1"/>
  <c r="AU56" i="23"/>
  <c r="AY56" i="23" s="1"/>
  <c r="AU52" i="23"/>
  <c r="AY52" i="23" s="1"/>
  <c r="AV50" i="23"/>
  <c r="AZ50" i="23" s="1"/>
  <c r="AV17" i="23"/>
  <c r="AZ17" i="23" s="1"/>
  <c r="AU9" i="23"/>
  <c r="AY9" i="23" s="1"/>
  <c r="AU7" i="23"/>
  <c r="AY7" i="23" s="1"/>
  <c r="AV47" i="23"/>
  <c r="AZ47" i="23" s="1"/>
  <c r="AV43" i="23"/>
  <c r="AZ43" i="23" s="1"/>
  <c r="AV39" i="23"/>
  <c r="AZ39" i="23" s="1"/>
  <c r="AV35" i="23"/>
  <c r="AZ35" i="23" s="1"/>
  <c r="AU31" i="23"/>
  <c r="AY31" i="23" s="1"/>
  <c r="AV27" i="23"/>
  <c r="AZ27" i="23" s="1"/>
  <c r="AV23" i="23"/>
  <c r="AZ23" i="23" s="1"/>
  <c r="AV4" i="23"/>
  <c r="AU70" i="23"/>
  <c r="AY70" i="23" s="1"/>
  <c r="AS119" i="23"/>
  <c r="AW119" i="23" s="1"/>
  <c r="AS108" i="23"/>
  <c r="AW108" i="23" s="1"/>
  <c r="AS100" i="23"/>
  <c r="AW100" i="23" s="1"/>
  <c r="AT92" i="23"/>
  <c r="AX92" i="23" s="1"/>
  <c r="AT84" i="23"/>
  <c r="AX84" i="23" s="1"/>
  <c r="AT78" i="23"/>
  <c r="AX78" i="23" s="1"/>
  <c r="AT70" i="23"/>
  <c r="AX70" i="23" s="1"/>
  <c r="AS55" i="23"/>
  <c r="AW55" i="23" s="1"/>
  <c r="AS53" i="23"/>
  <c r="AW53" i="23" s="1"/>
  <c r="AT49" i="23"/>
  <c r="AX49" i="23" s="1"/>
  <c r="AS18" i="23"/>
  <c r="AW18" i="23" s="1"/>
  <c r="AS10" i="23"/>
  <c r="AW10" i="23" s="1"/>
  <c r="AS125" i="23"/>
  <c r="AW125" i="23" s="1"/>
  <c r="AS109" i="23"/>
  <c r="AW109" i="23" s="1"/>
  <c r="AT105" i="23"/>
  <c r="AX105" i="23" s="1"/>
  <c r="AS97" i="23"/>
  <c r="AW97" i="23" s="1"/>
  <c r="AS87" i="23"/>
  <c r="AW87" i="23" s="1"/>
  <c r="AT75" i="23"/>
  <c r="AX75" i="23" s="1"/>
  <c r="AT58" i="23"/>
  <c r="AX58" i="23" s="1"/>
  <c r="AS54" i="23"/>
  <c r="AW54" i="23" s="1"/>
  <c r="AS45" i="23"/>
  <c r="AW45" i="23" s="1"/>
  <c r="AT41" i="23"/>
  <c r="AX41" i="23" s="1"/>
  <c r="AS37" i="23"/>
  <c r="AW37" i="23" s="1"/>
  <c r="AT33" i="23"/>
  <c r="AX33" i="23" s="1"/>
  <c r="AS29" i="23"/>
  <c r="AW29" i="23" s="1"/>
  <c r="AT25" i="23"/>
  <c r="AX25" i="23" s="1"/>
  <c r="AS21" i="23"/>
  <c r="AW21" i="23" s="1"/>
  <c r="AS6" i="23"/>
  <c r="AW6" i="23" s="1"/>
  <c r="AT106" i="23"/>
  <c r="AX106" i="23" s="1"/>
  <c r="AS98" i="23"/>
  <c r="AW98" i="23" s="1"/>
  <c r="AS90" i="23"/>
  <c r="AW90" i="23" s="1"/>
  <c r="AS82" i="23"/>
  <c r="AW82" i="23" s="1"/>
  <c r="AS72" i="23"/>
  <c r="AW72" i="23" s="1"/>
  <c r="AS57" i="23"/>
  <c r="AW57" i="23" s="1"/>
  <c r="AT51" i="23"/>
  <c r="AX51" i="23" s="1"/>
  <c r="AS8" i="23"/>
  <c r="AW8" i="23" s="1"/>
  <c r="AB90" i="2"/>
  <c r="AC41" i="2"/>
  <c r="G40" i="2"/>
  <c r="AC40" i="2" s="1"/>
  <c r="AD41" i="2"/>
  <c r="H42" i="2"/>
  <c r="AD42" i="2" s="1"/>
  <c r="AC42" i="2"/>
  <c r="H16" i="2"/>
  <c r="H14" i="2" s="1"/>
  <c r="H197" i="2" s="1"/>
  <c r="G14" i="2"/>
  <c r="G197" i="2" s="1"/>
  <c r="G59" i="2"/>
  <c r="T26" i="23"/>
  <c r="BB48" i="23"/>
  <c r="BB49" i="23"/>
  <c r="BE49" i="23" s="1"/>
  <c r="S66" i="23"/>
  <c r="BB42" i="23"/>
  <c r="BE42" i="23" s="1"/>
  <c r="BB45" i="23"/>
  <c r="BE45" i="23" s="1"/>
  <c r="BB44" i="23"/>
  <c r="BE44" i="23" s="1"/>
  <c r="BB65" i="23"/>
  <c r="BE65" i="23" s="1"/>
  <c r="BB46" i="23"/>
  <c r="BE46" i="23" s="1"/>
  <c r="BC12" i="24"/>
  <c r="BC8" i="24" s="1"/>
  <c r="V12" i="24"/>
  <c r="W6" i="24" s="1"/>
  <c r="L10" i="24"/>
  <c r="AB91" i="2" l="1"/>
  <c r="AX4" i="23"/>
  <c r="AZ4" i="23"/>
  <c r="AY4" i="23"/>
  <c r="AR72" i="23"/>
  <c r="AE76" i="23"/>
  <c r="AG75" i="23"/>
  <c r="AF75" i="23"/>
  <c r="AD75" i="23"/>
  <c r="AI75" i="23" s="1"/>
  <c r="AU72" i="23"/>
  <c r="AY72" i="23" s="1"/>
  <c r="AK74" i="23"/>
  <c r="BC74" i="23" s="1"/>
  <c r="AC74" i="23"/>
  <c r="AH73" i="23"/>
  <c r="AL74" i="23"/>
  <c r="BD74" i="23" s="1"/>
  <c r="AQ73" i="23"/>
  <c r="AC90" i="2"/>
  <c r="AC91" i="2"/>
  <c r="H40" i="2"/>
  <c r="AD40" i="2" s="1"/>
  <c r="AZ12" i="24"/>
  <c r="AZ8" i="24" s="1"/>
  <c r="H59" i="2"/>
  <c r="T8" i="9"/>
  <c r="W8" i="9" s="1"/>
  <c r="W7" i="9"/>
  <c r="BE48" i="23"/>
  <c r="S67" i="23"/>
  <c r="BB66" i="23"/>
  <c r="AV72" i="23" l="1"/>
  <c r="AK75" i="23"/>
  <c r="AC75" i="23"/>
  <c r="AU73" i="23"/>
  <c r="AY73" i="23" s="1"/>
  <c r="AR73" i="23"/>
  <c r="BB73" i="23"/>
  <c r="BE73" i="23" s="1"/>
  <c r="AL75" i="23"/>
  <c r="BD75" i="23" s="1"/>
  <c r="AQ74" i="23"/>
  <c r="AE77" i="23"/>
  <c r="AG76" i="23"/>
  <c r="AD76" i="23"/>
  <c r="AI76" i="23" s="1"/>
  <c r="AF76" i="23"/>
  <c r="AH74" i="23"/>
  <c r="AD90" i="2"/>
  <c r="AD91" i="2"/>
  <c r="BB24" i="23"/>
  <c r="BE24" i="23" s="1"/>
  <c r="BB23" i="23"/>
  <c r="BE66" i="23"/>
  <c r="S68" i="23"/>
  <c r="AZ72" i="23" l="1"/>
  <c r="BE23" i="23"/>
  <c r="AH75" i="23"/>
  <c r="BB75" i="23" s="1"/>
  <c r="BE75" i="23" s="1"/>
  <c r="AC76" i="23"/>
  <c r="AK76" i="23"/>
  <c r="AQ75" i="23"/>
  <c r="AU74" i="23"/>
  <c r="AR74" i="23"/>
  <c r="AV74" i="23" s="1"/>
  <c r="BB74" i="23"/>
  <c r="BE74" i="23" s="1"/>
  <c r="AL76" i="23"/>
  <c r="BD76" i="23" s="1"/>
  <c r="AV73" i="23"/>
  <c r="AZ73" i="23" s="1"/>
  <c r="BC75" i="23"/>
  <c r="AG77" i="23"/>
  <c r="AE78" i="23"/>
  <c r="AD77" i="23"/>
  <c r="AI77" i="23" s="1"/>
  <c r="AF77" i="23"/>
  <c r="AE90" i="2"/>
  <c r="AE91" i="2"/>
  <c r="BB50" i="23"/>
  <c r="BE50" i="23" s="1"/>
  <c r="BB51" i="23"/>
  <c r="BE51" i="23" s="1"/>
  <c r="S69" i="23"/>
  <c r="AR75" i="23" l="1"/>
  <c r="AY74" i="23"/>
  <c r="AK77" i="23"/>
  <c r="AC77" i="23"/>
  <c r="AF78" i="23"/>
  <c r="AG78" i="23"/>
  <c r="AD78" i="23"/>
  <c r="AI78" i="23" s="1"/>
  <c r="AE79" i="23"/>
  <c r="AL77" i="23"/>
  <c r="BD77" i="23" s="1"/>
  <c r="AH76" i="23"/>
  <c r="AQ76" i="23"/>
  <c r="AZ74" i="23"/>
  <c r="AV75" i="23"/>
  <c r="AZ75" i="23" s="1"/>
  <c r="AU75" i="23"/>
  <c r="AY75" i="23" s="1"/>
  <c r="BC76" i="23"/>
  <c r="W9" i="9"/>
  <c r="BB52" i="23"/>
  <c r="BE52" i="23" s="1"/>
  <c r="BB67" i="23"/>
  <c r="BE67" i="23" s="1"/>
  <c r="BB69" i="23"/>
  <c r="BB68" i="23"/>
  <c r="BE68" i="23" s="1"/>
  <c r="M21" i="2"/>
  <c r="N21" i="2" s="1"/>
  <c r="M25" i="2"/>
  <c r="N25" i="2" s="1"/>
  <c r="M20" i="2"/>
  <c r="N20" i="2" s="1"/>
  <c r="AC78" i="23" l="1"/>
  <c r="AK78" i="23"/>
  <c r="AR76" i="23"/>
  <c r="BB76" i="23"/>
  <c r="BE76" i="23" s="1"/>
  <c r="AD79" i="23"/>
  <c r="AI79" i="23" s="1"/>
  <c r="AF79" i="23"/>
  <c r="AE80" i="23"/>
  <c r="AG79" i="23"/>
  <c r="AQ77" i="23"/>
  <c r="AU76" i="23"/>
  <c r="AY76" i="23" s="1"/>
  <c r="AH77" i="23"/>
  <c r="AL78" i="23"/>
  <c r="BD78" i="23" s="1"/>
  <c r="BC77" i="23"/>
  <c r="BB53" i="23"/>
  <c r="BE53" i="23" s="1"/>
  <c r="BE69" i="23"/>
  <c r="N26" i="2"/>
  <c r="I20" i="2" s="1"/>
  <c r="AR77" i="23" l="1"/>
  <c r="BB77" i="23"/>
  <c r="BE77" i="23" s="1"/>
  <c r="AL79" i="23"/>
  <c r="BD79" i="23" s="1"/>
  <c r="AH78" i="23"/>
  <c r="AG80" i="23"/>
  <c r="AF80" i="23"/>
  <c r="AD80" i="23"/>
  <c r="AI80" i="23" s="1"/>
  <c r="AE81" i="23"/>
  <c r="AQ78" i="23"/>
  <c r="AU77" i="23"/>
  <c r="AY77" i="23" s="1"/>
  <c r="AK79" i="23"/>
  <c r="AC79" i="23"/>
  <c r="AV76" i="23"/>
  <c r="BC78" i="23"/>
  <c r="I198" i="2"/>
  <c r="F20" i="2"/>
  <c r="F198" i="2" s="1"/>
  <c r="AH79" i="23" l="1"/>
  <c r="AZ76" i="23"/>
  <c r="AL80" i="23"/>
  <c r="BD80" i="23" s="1"/>
  <c r="AQ79" i="23"/>
  <c r="AD81" i="23"/>
  <c r="AI81" i="23" s="1"/>
  <c r="AF81" i="23"/>
  <c r="AE82" i="23"/>
  <c r="AG81" i="23"/>
  <c r="AR78" i="23"/>
  <c r="BB78" i="23"/>
  <c r="BE78" i="23" s="1"/>
  <c r="AR79" i="23"/>
  <c r="BB79" i="23"/>
  <c r="BE79" i="23" s="1"/>
  <c r="AU78" i="23"/>
  <c r="AY78" i="23" s="1"/>
  <c r="BC79" i="23"/>
  <c r="AK80" i="23"/>
  <c r="AH80" i="23" s="1"/>
  <c r="AC80" i="23"/>
  <c r="AV77" i="23"/>
  <c r="AZ77" i="23" s="1"/>
  <c r="H20" i="2"/>
  <c r="H198" i="2" s="1"/>
  <c r="G20" i="2"/>
  <c r="G198" i="2" s="1"/>
  <c r="BC80" i="23" l="1"/>
  <c r="AD82" i="23"/>
  <c r="AI82" i="23" s="1"/>
  <c r="AE83" i="23"/>
  <c r="AF82" i="23"/>
  <c r="AG82" i="23"/>
  <c r="AV79" i="23"/>
  <c r="AZ79" i="23" s="1"/>
  <c r="AV78" i="23"/>
  <c r="AZ78" i="23" s="1"/>
  <c r="AK81" i="23"/>
  <c r="BC81" i="23" s="1"/>
  <c r="AC81" i="23"/>
  <c r="AU79" i="23"/>
  <c r="AY79" i="23" s="1"/>
  <c r="AQ80" i="23"/>
  <c r="AR80" i="23"/>
  <c r="BB80" i="23"/>
  <c r="BE80" i="23" s="1"/>
  <c r="AL81" i="23"/>
  <c r="BD81" i="23" s="1"/>
  <c r="L73" i="2"/>
  <c r="F73" i="2" s="1"/>
  <c r="U107" i="2"/>
  <c r="S107" i="2"/>
  <c r="R107" i="2"/>
  <c r="E107" i="2"/>
  <c r="E102" i="2"/>
  <c r="E201" i="2" s="1"/>
  <c r="AH81" i="23" l="1"/>
  <c r="AD83" i="23"/>
  <c r="AI83" i="23" s="1"/>
  <c r="AF83" i="23"/>
  <c r="AE84" i="23"/>
  <c r="AG83" i="23"/>
  <c r="AL82" i="23"/>
  <c r="BD82" i="23" s="1"/>
  <c r="AU80" i="23"/>
  <c r="AY80" i="23" s="1"/>
  <c r="AV80" i="23"/>
  <c r="AZ80" i="23" s="1"/>
  <c r="AQ81" i="23"/>
  <c r="AK82" i="23"/>
  <c r="AC82" i="23"/>
  <c r="G73" i="2"/>
  <c r="F107" i="2"/>
  <c r="E100" i="2"/>
  <c r="E101" i="2" s="1"/>
  <c r="E99" i="2"/>
  <c r="E87" i="2" s="1"/>
  <c r="E71" i="2"/>
  <c r="E66" i="2"/>
  <c r="E46" i="2"/>
  <c r="E65" i="2"/>
  <c r="F65" i="2" s="1"/>
  <c r="F44" i="2" s="1"/>
  <c r="E63" i="2"/>
  <c r="E59" i="2"/>
  <c r="E43" i="2"/>
  <c r="E40" i="2"/>
  <c r="E45" i="2"/>
  <c r="E27" i="2"/>
  <c r="E25" i="2"/>
  <c r="E199" i="2" s="1"/>
  <c r="E21" i="2"/>
  <c r="E14" i="2"/>
  <c r="E197" i="2" s="1"/>
  <c r="E20" i="2"/>
  <c r="E10" i="2"/>
  <c r="E9" i="2"/>
  <c r="AH82" i="23" l="1"/>
  <c r="AR82" i="23" s="1"/>
  <c r="E198" i="2"/>
  <c r="AC83" i="23"/>
  <c r="AK83" i="23"/>
  <c r="BC82" i="23"/>
  <c r="AL83" i="23"/>
  <c r="BD83" i="23" s="1"/>
  <c r="AR81" i="23"/>
  <c r="BB81" i="23"/>
  <c r="BE81" i="23" s="1"/>
  <c r="AQ82" i="23"/>
  <c r="AU81" i="23"/>
  <c r="AY81" i="23" s="1"/>
  <c r="AD84" i="23"/>
  <c r="AI84" i="23" s="1"/>
  <c r="AE85" i="23"/>
  <c r="AF84" i="23"/>
  <c r="AG84" i="23"/>
  <c r="E44" i="2"/>
  <c r="E39" i="2" s="1"/>
  <c r="E13" i="2" s="1"/>
  <c r="E26" i="2"/>
  <c r="E200" i="2" s="1"/>
  <c r="F39" i="2"/>
  <c r="AB65" i="2"/>
  <c r="I107" i="2"/>
  <c r="AB107" i="2"/>
  <c r="K205" i="2"/>
  <c r="H73" i="2"/>
  <c r="G107" i="2"/>
  <c r="H107" i="2"/>
  <c r="G65" i="2"/>
  <c r="I65" i="2"/>
  <c r="AE65" i="2" s="1"/>
  <c r="H65" i="2"/>
  <c r="K98" i="2"/>
  <c r="K120" i="2"/>
  <c r="K129" i="2"/>
  <c r="L112" i="2"/>
  <c r="BB82" i="23" l="1"/>
  <c r="BE82" i="23" s="1"/>
  <c r="AH83" i="23"/>
  <c r="AR83" i="23" s="1"/>
  <c r="AV83" i="23" s="1"/>
  <c r="AL84" i="23"/>
  <c r="BD84" i="23" s="1"/>
  <c r="BC83" i="23"/>
  <c r="AC84" i="23"/>
  <c r="AK84" i="23"/>
  <c r="AV81" i="23"/>
  <c r="AZ81" i="23" s="1"/>
  <c r="AD85" i="23"/>
  <c r="AI85" i="23" s="1"/>
  <c r="AF85" i="23"/>
  <c r="AE86" i="23"/>
  <c r="AG85" i="23"/>
  <c r="AU82" i="23"/>
  <c r="AY82" i="23" s="1"/>
  <c r="AQ83" i="23"/>
  <c r="AU83" i="23" s="1"/>
  <c r="AV82" i="23"/>
  <c r="AZ82" i="23" s="1"/>
  <c r="AE107" i="2"/>
  <c r="AD107" i="2"/>
  <c r="AC107" i="2"/>
  <c r="AD65" i="2"/>
  <c r="AB39" i="2"/>
  <c r="AC65" i="2"/>
  <c r="I73" i="2"/>
  <c r="K203" i="2"/>
  <c r="I9" i="22"/>
  <c r="F3" i="22"/>
  <c r="G3" i="22" s="1"/>
  <c r="F5" i="22"/>
  <c r="G5" i="22" s="1"/>
  <c r="H5" i="22" s="1"/>
  <c r="F6" i="22"/>
  <c r="G6" i="22" s="1"/>
  <c r="H6" i="22" s="1"/>
  <c r="F8" i="22"/>
  <c r="G8" i="22" s="1"/>
  <c r="H8" i="22" s="1"/>
  <c r="F2" i="22"/>
  <c r="G2" i="22" s="1"/>
  <c r="D7" i="22"/>
  <c r="C7" i="22"/>
  <c r="C9" i="22" s="1"/>
  <c r="C11" i="22" s="1"/>
  <c r="D4" i="22"/>
  <c r="F4" i="22" s="1"/>
  <c r="G4" i="22" s="1"/>
  <c r="BB83" i="23" l="1"/>
  <c r="BE83" i="23" s="1"/>
  <c r="AH84" i="23"/>
  <c r="AR84" i="23" s="1"/>
  <c r="AG86" i="23"/>
  <c r="AD86" i="23"/>
  <c r="AI86" i="23" s="1"/>
  <c r="AF86" i="23"/>
  <c r="AE87" i="23"/>
  <c r="AC85" i="23"/>
  <c r="AK85" i="23"/>
  <c r="AQ84" i="23"/>
  <c r="AU84" i="23" s="1"/>
  <c r="AY83" i="23"/>
  <c r="AZ83" i="23"/>
  <c r="AL85" i="23"/>
  <c r="BD85" i="23" s="1"/>
  <c r="BC84" i="23"/>
  <c r="H2" i="22"/>
  <c r="D56" i="10"/>
  <c r="E56" i="10" s="1"/>
  <c r="H3" i="22"/>
  <c r="D58" i="10"/>
  <c r="H4" i="22"/>
  <c r="D59" i="10"/>
  <c r="E59" i="10" s="1"/>
  <c r="F7" i="22"/>
  <c r="G7" i="22" s="1"/>
  <c r="BB84" i="23" l="1"/>
  <c r="BE84" i="23" s="1"/>
  <c r="AH85" i="23"/>
  <c r="AE88" i="23"/>
  <c r="AF87" i="23"/>
  <c r="AD87" i="23"/>
  <c r="AI87" i="23" s="1"/>
  <c r="AG87" i="23"/>
  <c r="AQ85" i="23"/>
  <c r="AC86" i="23"/>
  <c r="AK86" i="23"/>
  <c r="BC85" i="23"/>
  <c r="AY84" i="23"/>
  <c r="AV84" i="23"/>
  <c r="AZ84" i="23" s="1"/>
  <c r="AL86" i="23"/>
  <c r="BD86" i="23" s="1"/>
  <c r="H7" i="22"/>
  <c r="H9" i="22" s="1"/>
  <c r="D57" i="10"/>
  <c r="E57" i="10" s="1"/>
  <c r="F9" i="22"/>
  <c r="G9" i="22" s="1"/>
  <c r="AH86" i="23" l="1"/>
  <c r="AU85" i="23"/>
  <c r="AY85" i="23" s="1"/>
  <c r="AC87" i="23"/>
  <c r="AK87" i="23"/>
  <c r="BC87" i="23" s="1"/>
  <c r="AQ86" i="23"/>
  <c r="AG88" i="23"/>
  <c r="AE89" i="23"/>
  <c r="AF88" i="23"/>
  <c r="AD88" i="23"/>
  <c r="AI88" i="23" s="1"/>
  <c r="BC86" i="23"/>
  <c r="AL87" i="23"/>
  <c r="BD87" i="23" s="1"/>
  <c r="AR85" i="23"/>
  <c r="BB85" i="23"/>
  <c r="BE85" i="23" s="1"/>
  <c r="M57" i="10"/>
  <c r="O57" i="10" s="1"/>
  <c r="M56" i="10"/>
  <c r="N56" i="10" s="1"/>
  <c r="AK88" i="23" l="1"/>
  <c r="BC88" i="23" s="1"/>
  <c r="AC88" i="23"/>
  <c r="AU86" i="23"/>
  <c r="AY86" i="23" s="1"/>
  <c r="AF89" i="23"/>
  <c r="AE90" i="23"/>
  <c r="AG89" i="23"/>
  <c r="AD89" i="23"/>
  <c r="AI89" i="23" s="1"/>
  <c r="AH87" i="23"/>
  <c r="AR86" i="23"/>
  <c r="AV86" i="23" s="1"/>
  <c r="BB86" i="23"/>
  <c r="BE86" i="23" s="1"/>
  <c r="AV85" i="23"/>
  <c r="AZ85" i="23" s="1"/>
  <c r="AL88" i="23"/>
  <c r="BD88" i="23" s="1"/>
  <c r="AQ87" i="23"/>
  <c r="C217" i="2"/>
  <c r="AL89" i="23" l="1"/>
  <c r="BD89" i="23" s="1"/>
  <c r="AQ88" i="23"/>
  <c r="AU88" i="23" s="1"/>
  <c r="AU87" i="23"/>
  <c r="AY87" i="23" s="1"/>
  <c r="AR87" i="23"/>
  <c r="BB87" i="23"/>
  <c r="BE87" i="23" s="1"/>
  <c r="AG90" i="23"/>
  <c r="AE91" i="23"/>
  <c r="AF90" i="23"/>
  <c r="AD90" i="23"/>
  <c r="AI90" i="23" s="1"/>
  <c r="AH88" i="23"/>
  <c r="AK89" i="23"/>
  <c r="AC89" i="23"/>
  <c r="AZ86" i="23"/>
  <c r="E9" i="18"/>
  <c r="M8" i="21"/>
  <c r="O8" i="21" s="1"/>
  <c r="F18" i="18"/>
  <c r="F41" i="14"/>
  <c r="E143" i="2"/>
  <c r="E183" i="2" s="1"/>
  <c r="F43" i="14" s="1"/>
  <c r="N87" i="21"/>
  <c r="M87" i="21"/>
  <c r="N16" i="21"/>
  <c r="D18" i="18"/>
  <c r="H32" i="10"/>
  <c r="H31" i="10"/>
  <c r="C209" i="21"/>
  <c r="J208" i="21"/>
  <c r="K208" i="21" s="1"/>
  <c r="E207" i="21"/>
  <c r="I207" i="21" s="1"/>
  <c r="E206" i="21"/>
  <c r="E205" i="21"/>
  <c r="I205" i="21" s="1"/>
  <c r="J205" i="21" s="1"/>
  <c r="K205" i="21" s="1"/>
  <c r="E204" i="21"/>
  <c r="G204" i="21" s="1"/>
  <c r="E203" i="21"/>
  <c r="I203" i="21" s="1"/>
  <c r="E202" i="21"/>
  <c r="I202" i="21" s="1"/>
  <c r="E201" i="21"/>
  <c r="I201" i="21" s="1"/>
  <c r="C195" i="21"/>
  <c r="D195" i="21" s="1"/>
  <c r="M88" i="21"/>
  <c r="N88" i="21"/>
  <c r="O88" i="21"/>
  <c r="P88" i="21"/>
  <c r="Q88" i="21"/>
  <c r="R88" i="21"/>
  <c r="S88" i="21"/>
  <c r="T88" i="21"/>
  <c r="M89" i="21"/>
  <c r="N89" i="21"/>
  <c r="O89" i="21"/>
  <c r="P89" i="21"/>
  <c r="Q89" i="21"/>
  <c r="R89" i="21"/>
  <c r="S89" i="21"/>
  <c r="T89" i="21"/>
  <c r="M90" i="21"/>
  <c r="N90" i="21"/>
  <c r="O90" i="21"/>
  <c r="P90" i="21"/>
  <c r="Q90" i="21"/>
  <c r="R90" i="21"/>
  <c r="S90" i="21"/>
  <c r="T90" i="21"/>
  <c r="M91" i="21"/>
  <c r="N91" i="21"/>
  <c r="O91" i="21"/>
  <c r="P91" i="21"/>
  <c r="Q91" i="21"/>
  <c r="R91" i="21"/>
  <c r="S91" i="21"/>
  <c r="T91" i="21"/>
  <c r="M92" i="21"/>
  <c r="N92" i="21"/>
  <c r="O92" i="21"/>
  <c r="P92" i="21"/>
  <c r="Q92" i="21"/>
  <c r="R92" i="21"/>
  <c r="S92" i="21"/>
  <c r="T92" i="21"/>
  <c r="M93" i="21"/>
  <c r="N93" i="21"/>
  <c r="O93" i="21"/>
  <c r="P93" i="21"/>
  <c r="Q93" i="21"/>
  <c r="R93" i="21"/>
  <c r="S93" i="21"/>
  <c r="T93" i="21"/>
  <c r="M94" i="21"/>
  <c r="N94" i="21"/>
  <c r="O94" i="21"/>
  <c r="P94" i="21"/>
  <c r="Q94" i="21"/>
  <c r="R94" i="21"/>
  <c r="S94" i="21"/>
  <c r="T94" i="21"/>
  <c r="M95" i="21"/>
  <c r="N95" i="21"/>
  <c r="O95" i="21"/>
  <c r="P95" i="21"/>
  <c r="Q95" i="21"/>
  <c r="R95" i="21"/>
  <c r="S95" i="21"/>
  <c r="T95" i="21"/>
  <c r="M96" i="21"/>
  <c r="N96" i="21"/>
  <c r="O96" i="21"/>
  <c r="P96" i="21"/>
  <c r="Q96" i="21"/>
  <c r="R96" i="21"/>
  <c r="S96" i="21"/>
  <c r="T96" i="21"/>
  <c r="M97" i="21"/>
  <c r="N97" i="21"/>
  <c r="O97" i="21"/>
  <c r="P97" i="21"/>
  <c r="Q97" i="21"/>
  <c r="R97" i="21"/>
  <c r="S97" i="21"/>
  <c r="T97" i="21"/>
  <c r="M98" i="21"/>
  <c r="N98" i="21"/>
  <c r="O98" i="21"/>
  <c r="P98" i="21"/>
  <c r="Q98" i="21"/>
  <c r="R98" i="21"/>
  <c r="S98" i="21"/>
  <c r="T98" i="21"/>
  <c r="M99" i="21"/>
  <c r="N99" i="21"/>
  <c r="O99" i="21"/>
  <c r="P99" i="21"/>
  <c r="Q99" i="21"/>
  <c r="R99" i="21"/>
  <c r="S99" i="21"/>
  <c r="T99" i="21"/>
  <c r="M100" i="21"/>
  <c r="N100" i="21"/>
  <c r="O100" i="21"/>
  <c r="P100" i="21"/>
  <c r="Q100" i="21"/>
  <c r="R100" i="21"/>
  <c r="S100" i="21"/>
  <c r="T100" i="21"/>
  <c r="M101" i="21"/>
  <c r="N101" i="21"/>
  <c r="O101" i="21"/>
  <c r="P101" i="21"/>
  <c r="Q101" i="21"/>
  <c r="R101" i="21"/>
  <c r="S101" i="21"/>
  <c r="T101" i="21"/>
  <c r="M102" i="21"/>
  <c r="N102" i="21"/>
  <c r="O102" i="21"/>
  <c r="P102" i="21"/>
  <c r="Q102" i="21"/>
  <c r="R102" i="21"/>
  <c r="S102" i="21"/>
  <c r="T102" i="21"/>
  <c r="M103" i="21"/>
  <c r="N103" i="21"/>
  <c r="O103" i="21"/>
  <c r="P103" i="21"/>
  <c r="Q103" i="21"/>
  <c r="R103" i="21"/>
  <c r="S103" i="21"/>
  <c r="T103" i="21"/>
  <c r="M104" i="21"/>
  <c r="N104" i="21"/>
  <c r="O104" i="21"/>
  <c r="P104" i="21"/>
  <c r="Q104" i="21"/>
  <c r="R104" i="21"/>
  <c r="S104" i="21"/>
  <c r="T104" i="21"/>
  <c r="M105" i="21"/>
  <c r="N105" i="21"/>
  <c r="O105" i="21"/>
  <c r="P105" i="21"/>
  <c r="Q105" i="21"/>
  <c r="R105" i="21"/>
  <c r="S105" i="21"/>
  <c r="T105" i="21"/>
  <c r="M106" i="21"/>
  <c r="N106" i="21"/>
  <c r="O106" i="21"/>
  <c r="P106" i="21"/>
  <c r="Q106" i="21"/>
  <c r="R106" i="21"/>
  <c r="S106" i="21"/>
  <c r="T106" i="21"/>
  <c r="M107" i="21"/>
  <c r="N107" i="21"/>
  <c r="O107" i="21"/>
  <c r="P107" i="21"/>
  <c r="Q107" i="21"/>
  <c r="R107" i="21"/>
  <c r="S107" i="21"/>
  <c r="T107" i="21"/>
  <c r="M108" i="21"/>
  <c r="N108" i="21"/>
  <c r="O108" i="21"/>
  <c r="P108" i="21"/>
  <c r="Q108" i="21"/>
  <c r="R108" i="21"/>
  <c r="S108" i="21"/>
  <c r="T108" i="21"/>
  <c r="M109" i="21"/>
  <c r="N109" i="21"/>
  <c r="O109" i="21"/>
  <c r="P109" i="21"/>
  <c r="Q109" i="21"/>
  <c r="R109" i="21"/>
  <c r="S109" i="21"/>
  <c r="T109" i="21"/>
  <c r="M110" i="21"/>
  <c r="N110" i="21"/>
  <c r="O110" i="21"/>
  <c r="P110" i="21"/>
  <c r="Q110" i="21"/>
  <c r="R110" i="21"/>
  <c r="S110" i="21"/>
  <c r="T110" i="21"/>
  <c r="M111" i="21"/>
  <c r="N111" i="21"/>
  <c r="O111" i="21"/>
  <c r="P111" i="21"/>
  <c r="Q111" i="21"/>
  <c r="R111" i="21"/>
  <c r="S111" i="21"/>
  <c r="T111" i="21"/>
  <c r="M112" i="21"/>
  <c r="N112" i="21"/>
  <c r="O112" i="21"/>
  <c r="P112" i="21"/>
  <c r="Q112" i="21"/>
  <c r="R112" i="21"/>
  <c r="S112" i="21"/>
  <c r="T112" i="21"/>
  <c r="M113" i="21"/>
  <c r="N113" i="21"/>
  <c r="O113" i="21"/>
  <c r="P113" i="21"/>
  <c r="Q113" i="21"/>
  <c r="R113" i="21"/>
  <c r="S113" i="21"/>
  <c r="T113" i="21"/>
  <c r="U113" i="21" s="1"/>
  <c r="M114" i="21"/>
  <c r="N114" i="21"/>
  <c r="O114" i="21"/>
  <c r="P114" i="21"/>
  <c r="Q114" i="21"/>
  <c r="R114" i="21"/>
  <c r="S114" i="21"/>
  <c r="T114" i="21"/>
  <c r="M115" i="21"/>
  <c r="N115" i="21"/>
  <c r="O115" i="21"/>
  <c r="P115" i="21"/>
  <c r="Q115" i="21"/>
  <c r="R115" i="21"/>
  <c r="S115" i="21"/>
  <c r="T115" i="21"/>
  <c r="M116" i="21"/>
  <c r="N116" i="21"/>
  <c r="O116" i="21"/>
  <c r="P116" i="21"/>
  <c r="Q116" i="21"/>
  <c r="R116" i="21"/>
  <c r="S116" i="21"/>
  <c r="T116" i="21"/>
  <c r="U116" i="21" s="1"/>
  <c r="M117" i="21"/>
  <c r="N117" i="21"/>
  <c r="O117" i="21"/>
  <c r="P117" i="21"/>
  <c r="Q117" i="21"/>
  <c r="R117" i="21"/>
  <c r="S117" i="21"/>
  <c r="T117" i="21"/>
  <c r="M118" i="21"/>
  <c r="N118" i="21"/>
  <c r="O118" i="21"/>
  <c r="P118" i="21"/>
  <c r="Q118" i="21"/>
  <c r="R118" i="21"/>
  <c r="S118" i="21"/>
  <c r="T118" i="21"/>
  <c r="M119" i="21"/>
  <c r="N119" i="21"/>
  <c r="O119" i="21"/>
  <c r="P119" i="21"/>
  <c r="Q119" i="21"/>
  <c r="R119" i="21"/>
  <c r="S119" i="21"/>
  <c r="T119" i="21"/>
  <c r="U119" i="21" s="1"/>
  <c r="M120" i="21"/>
  <c r="N120" i="21"/>
  <c r="O120" i="21"/>
  <c r="P120" i="21"/>
  <c r="Q120" i="21"/>
  <c r="R120" i="21"/>
  <c r="S120" i="21"/>
  <c r="T120" i="21"/>
  <c r="M121" i="21"/>
  <c r="N121" i="21"/>
  <c r="O121" i="21"/>
  <c r="P121" i="21"/>
  <c r="Q121" i="21"/>
  <c r="R121" i="21"/>
  <c r="S121" i="21"/>
  <c r="T121" i="21"/>
  <c r="M122" i="21"/>
  <c r="N122" i="21"/>
  <c r="O122" i="21"/>
  <c r="P122" i="21"/>
  <c r="Q122" i="21"/>
  <c r="R122" i="21"/>
  <c r="S122" i="21"/>
  <c r="T122" i="21"/>
  <c r="M123" i="21"/>
  <c r="N123" i="21"/>
  <c r="O123" i="21"/>
  <c r="P123" i="21"/>
  <c r="Q123" i="21"/>
  <c r="R123" i="21"/>
  <c r="S123" i="21"/>
  <c r="T123" i="21"/>
  <c r="M124" i="21"/>
  <c r="N124" i="21"/>
  <c r="O124" i="21"/>
  <c r="P124" i="21"/>
  <c r="Q124" i="21"/>
  <c r="R124" i="21"/>
  <c r="S124" i="21"/>
  <c r="T124" i="21"/>
  <c r="M125" i="21"/>
  <c r="N125" i="21"/>
  <c r="O125" i="21"/>
  <c r="P125" i="21"/>
  <c r="Q125" i="21"/>
  <c r="R125" i="21"/>
  <c r="S125" i="21"/>
  <c r="T125" i="21"/>
  <c r="M126" i="21"/>
  <c r="N126" i="21"/>
  <c r="O126" i="21"/>
  <c r="P126" i="21"/>
  <c r="Q126" i="21"/>
  <c r="R126" i="21"/>
  <c r="S126" i="21"/>
  <c r="T126" i="21"/>
  <c r="U126" i="21" s="1"/>
  <c r="M127" i="21"/>
  <c r="N127" i="21"/>
  <c r="O127" i="21"/>
  <c r="P127" i="21"/>
  <c r="Q127" i="21"/>
  <c r="R127" i="21"/>
  <c r="S127" i="21"/>
  <c r="T127" i="21"/>
  <c r="M128" i="21"/>
  <c r="N128" i="21"/>
  <c r="O128" i="21"/>
  <c r="P128" i="21"/>
  <c r="Q128" i="21"/>
  <c r="R128" i="21"/>
  <c r="S128" i="21"/>
  <c r="T128" i="21"/>
  <c r="M129" i="21"/>
  <c r="N129" i="21"/>
  <c r="O129" i="21"/>
  <c r="P129" i="21"/>
  <c r="Q129" i="21"/>
  <c r="R129" i="21"/>
  <c r="S129" i="21"/>
  <c r="T129" i="21"/>
  <c r="M130" i="21"/>
  <c r="N130" i="21"/>
  <c r="O130" i="21"/>
  <c r="P130" i="21"/>
  <c r="Q130" i="21"/>
  <c r="R130" i="21"/>
  <c r="S130" i="21"/>
  <c r="T130" i="21"/>
  <c r="U130" i="21" s="1"/>
  <c r="M131" i="21"/>
  <c r="N131" i="21"/>
  <c r="O131" i="21"/>
  <c r="P131" i="21"/>
  <c r="Q131" i="21"/>
  <c r="R131" i="21"/>
  <c r="S131" i="21"/>
  <c r="T131" i="21"/>
  <c r="M132" i="21"/>
  <c r="N132" i="21"/>
  <c r="O132" i="21"/>
  <c r="P132" i="21"/>
  <c r="Q132" i="21"/>
  <c r="R132" i="21"/>
  <c r="S132" i="21"/>
  <c r="T132" i="21"/>
  <c r="M133" i="21"/>
  <c r="N133" i="21"/>
  <c r="O133" i="21"/>
  <c r="P133" i="21"/>
  <c r="Q133" i="21"/>
  <c r="R133" i="21"/>
  <c r="S133" i="21"/>
  <c r="T133" i="21"/>
  <c r="M134" i="21"/>
  <c r="N134" i="21"/>
  <c r="O134" i="21"/>
  <c r="P134" i="21"/>
  <c r="Q134" i="21"/>
  <c r="R134" i="21"/>
  <c r="S134" i="21"/>
  <c r="T134" i="21"/>
  <c r="U134" i="21" s="1"/>
  <c r="M135" i="21"/>
  <c r="N135" i="21"/>
  <c r="O135" i="21"/>
  <c r="P135" i="21"/>
  <c r="Q135" i="21"/>
  <c r="R135" i="21"/>
  <c r="S135" i="21"/>
  <c r="T135" i="21"/>
  <c r="M136" i="21"/>
  <c r="N136" i="21"/>
  <c r="O136" i="21"/>
  <c r="P136" i="21"/>
  <c r="Q136" i="21"/>
  <c r="R136" i="21"/>
  <c r="S136" i="21"/>
  <c r="T136" i="21"/>
  <c r="M137" i="21"/>
  <c r="N137" i="21"/>
  <c r="O137" i="21"/>
  <c r="P137" i="21"/>
  <c r="Q137" i="21"/>
  <c r="R137" i="21"/>
  <c r="S137" i="21"/>
  <c r="T137" i="21"/>
  <c r="U137" i="21" s="1"/>
  <c r="M138" i="21"/>
  <c r="N138" i="21"/>
  <c r="O138" i="21"/>
  <c r="P138" i="21"/>
  <c r="Q138" i="21"/>
  <c r="R138" i="21"/>
  <c r="S138" i="21"/>
  <c r="T138" i="21"/>
  <c r="U138" i="21" s="1"/>
  <c r="M139" i="21"/>
  <c r="N139" i="21"/>
  <c r="O139" i="21"/>
  <c r="P139" i="21"/>
  <c r="Q139" i="21"/>
  <c r="R139" i="21"/>
  <c r="S139" i="21"/>
  <c r="T139" i="21"/>
  <c r="M140" i="21"/>
  <c r="N140" i="21"/>
  <c r="O140" i="21"/>
  <c r="P140" i="21"/>
  <c r="Q140" i="21"/>
  <c r="R140" i="21"/>
  <c r="S140" i="21"/>
  <c r="T140" i="21"/>
  <c r="U140" i="21" s="1"/>
  <c r="M141" i="21"/>
  <c r="N141" i="21"/>
  <c r="O141" i="21"/>
  <c r="P141" i="21"/>
  <c r="Q141" i="21"/>
  <c r="R141" i="21"/>
  <c r="S141" i="21"/>
  <c r="T141" i="21"/>
  <c r="M142" i="21"/>
  <c r="N142" i="21"/>
  <c r="O142" i="21"/>
  <c r="P142" i="21"/>
  <c r="Q142" i="21"/>
  <c r="R142" i="21"/>
  <c r="S142" i="21"/>
  <c r="T142" i="21"/>
  <c r="M143" i="21"/>
  <c r="N143" i="21"/>
  <c r="O143" i="21"/>
  <c r="P143" i="21"/>
  <c r="Q143" i="21"/>
  <c r="R143" i="21"/>
  <c r="S143" i="21"/>
  <c r="T143" i="21"/>
  <c r="M144" i="21"/>
  <c r="N144" i="21"/>
  <c r="O144" i="21"/>
  <c r="P144" i="21"/>
  <c r="Q144" i="21"/>
  <c r="R144" i="21"/>
  <c r="S144" i="21"/>
  <c r="T144" i="21"/>
  <c r="M145" i="21"/>
  <c r="N145" i="21"/>
  <c r="O145" i="21"/>
  <c r="P145" i="21"/>
  <c r="Q145" i="21"/>
  <c r="R145" i="21"/>
  <c r="S145" i="21"/>
  <c r="T145" i="21"/>
  <c r="U145" i="21" s="1"/>
  <c r="M146" i="21"/>
  <c r="N146" i="21"/>
  <c r="O146" i="21"/>
  <c r="P146" i="21"/>
  <c r="Q146" i="21"/>
  <c r="R146" i="21"/>
  <c r="S146" i="21"/>
  <c r="T146" i="21"/>
  <c r="M147" i="21"/>
  <c r="N147" i="21"/>
  <c r="O147" i="21"/>
  <c r="P147" i="21"/>
  <c r="Q147" i="21"/>
  <c r="R147" i="21"/>
  <c r="S147" i="21"/>
  <c r="T147" i="21"/>
  <c r="M148" i="21"/>
  <c r="N148" i="21"/>
  <c r="O148" i="21"/>
  <c r="P148" i="21"/>
  <c r="Q148" i="21"/>
  <c r="R148" i="21"/>
  <c r="S148" i="21"/>
  <c r="T148" i="21"/>
  <c r="U148" i="21" s="1"/>
  <c r="M149" i="21"/>
  <c r="N149" i="21"/>
  <c r="O149" i="21"/>
  <c r="P149" i="21"/>
  <c r="Q149" i="21"/>
  <c r="R149" i="21"/>
  <c r="S149" i="21"/>
  <c r="T149" i="21"/>
  <c r="U149" i="21" s="1"/>
  <c r="M150" i="21"/>
  <c r="N150" i="21"/>
  <c r="O150" i="21"/>
  <c r="P150" i="21"/>
  <c r="Q150" i="21"/>
  <c r="R150" i="21"/>
  <c r="S150" i="21"/>
  <c r="T150" i="21"/>
  <c r="M151" i="21"/>
  <c r="N151" i="21"/>
  <c r="O151" i="21"/>
  <c r="P151" i="21"/>
  <c r="Q151" i="21"/>
  <c r="R151" i="21"/>
  <c r="S151" i="21"/>
  <c r="T151" i="21"/>
  <c r="M152" i="21"/>
  <c r="N152" i="21"/>
  <c r="O152" i="21"/>
  <c r="P152" i="21"/>
  <c r="Q152" i="21"/>
  <c r="R152" i="21"/>
  <c r="S152" i="21"/>
  <c r="T152" i="21"/>
  <c r="M153" i="21"/>
  <c r="N153" i="21"/>
  <c r="O153" i="21"/>
  <c r="P153" i="21"/>
  <c r="Q153" i="21"/>
  <c r="R153" i="21"/>
  <c r="S153" i="21"/>
  <c r="T153" i="21"/>
  <c r="M154" i="21"/>
  <c r="N154" i="21"/>
  <c r="O154" i="21"/>
  <c r="P154" i="21"/>
  <c r="Q154" i="21"/>
  <c r="R154" i="21"/>
  <c r="S154" i="21"/>
  <c r="T154" i="21"/>
  <c r="M155" i="21"/>
  <c r="N155" i="21"/>
  <c r="O155" i="21"/>
  <c r="P155" i="21"/>
  <c r="Q155" i="21"/>
  <c r="R155" i="21"/>
  <c r="S155" i="21"/>
  <c r="T155" i="21"/>
  <c r="M156" i="21"/>
  <c r="N156" i="21"/>
  <c r="O156" i="21"/>
  <c r="P156" i="21"/>
  <c r="Q156" i="21"/>
  <c r="R156" i="21"/>
  <c r="S156" i="21"/>
  <c r="T156" i="21"/>
  <c r="M157" i="21"/>
  <c r="N157" i="21"/>
  <c r="O157" i="21"/>
  <c r="P157" i="21"/>
  <c r="Q157" i="21"/>
  <c r="R157" i="21"/>
  <c r="S157" i="21"/>
  <c r="T157" i="21"/>
  <c r="M158" i="21"/>
  <c r="N158" i="21"/>
  <c r="O158" i="21"/>
  <c r="P158" i="21"/>
  <c r="Q158" i="21"/>
  <c r="R158" i="21"/>
  <c r="S158" i="21"/>
  <c r="T158" i="21"/>
  <c r="M159" i="21"/>
  <c r="N159" i="21"/>
  <c r="O159" i="21"/>
  <c r="P159" i="21"/>
  <c r="Q159" i="21"/>
  <c r="R159" i="21"/>
  <c r="S159" i="21"/>
  <c r="T159" i="21"/>
  <c r="U159" i="21" s="1"/>
  <c r="M160" i="21"/>
  <c r="N160" i="21"/>
  <c r="O160" i="21"/>
  <c r="P160" i="21"/>
  <c r="Q160" i="21"/>
  <c r="R160" i="21"/>
  <c r="S160" i="21"/>
  <c r="T160" i="21"/>
  <c r="M161" i="21"/>
  <c r="N161" i="21"/>
  <c r="O161" i="21"/>
  <c r="P161" i="21"/>
  <c r="Q161" i="21"/>
  <c r="R161" i="21"/>
  <c r="S161" i="21"/>
  <c r="T161" i="21"/>
  <c r="M162" i="21"/>
  <c r="N162" i="21"/>
  <c r="O162" i="21"/>
  <c r="P162" i="21"/>
  <c r="Q162" i="21"/>
  <c r="R162" i="21"/>
  <c r="S162" i="21"/>
  <c r="T162" i="21"/>
  <c r="M163" i="21"/>
  <c r="N163" i="21"/>
  <c r="O163" i="21"/>
  <c r="P163" i="21"/>
  <c r="Q163" i="21"/>
  <c r="R163" i="21"/>
  <c r="S163" i="21"/>
  <c r="T163" i="21"/>
  <c r="M164" i="21"/>
  <c r="N164" i="21"/>
  <c r="O164" i="21"/>
  <c r="P164" i="21"/>
  <c r="Q164" i="21"/>
  <c r="R164" i="21"/>
  <c r="S164" i="21"/>
  <c r="T164" i="21"/>
  <c r="M165" i="21"/>
  <c r="N165" i="21"/>
  <c r="O165" i="21"/>
  <c r="P165" i="21"/>
  <c r="Q165" i="21"/>
  <c r="R165" i="21"/>
  <c r="S165" i="21"/>
  <c r="T165" i="21"/>
  <c r="M166" i="21"/>
  <c r="N166" i="21"/>
  <c r="O166" i="21"/>
  <c r="P166" i="21"/>
  <c r="Q166" i="21"/>
  <c r="R166" i="21"/>
  <c r="S166" i="21"/>
  <c r="T166" i="21"/>
  <c r="U166" i="21" s="1"/>
  <c r="M167" i="21"/>
  <c r="N167" i="21"/>
  <c r="O167" i="21"/>
  <c r="P167" i="21"/>
  <c r="Q167" i="21"/>
  <c r="R167" i="21"/>
  <c r="S167" i="21"/>
  <c r="T167" i="21"/>
  <c r="M168" i="21"/>
  <c r="N168" i="21"/>
  <c r="O168" i="21"/>
  <c r="P168" i="21"/>
  <c r="Q168" i="21"/>
  <c r="R168" i="21"/>
  <c r="S168" i="21"/>
  <c r="T168" i="21"/>
  <c r="M169" i="21"/>
  <c r="N169" i="21"/>
  <c r="O169" i="21"/>
  <c r="P169" i="21"/>
  <c r="Q169" i="21"/>
  <c r="R169" i="21"/>
  <c r="S169" i="21"/>
  <c r="T169" i="21"/>
  <c r="U169" i="21" s="1"/>
  <c r="M170" i="21"/>
  <c r="N170" i="21"/>
  <c r="O170" i="21"/>
  <c r="P170" i="21"/>
  <c r="Q170" i="21"/>
  <c r="R170" i="21"/>
  <c r="S170" i="21"/>
  <c r="T170" i="21"/>
  <c r="M171" i="21"/>
  <c r="N171" i="21"/>
  <c r="O171" i="21"/>
  <c r="P171" i="21"/>
  <c r="Q171" i="21"/>
  <c r="R171" i="21"/>
  <c r="S171" i="21"/>
  <c r="T171" i="21"/>
  <c r="M172" i="21"/>
  <c r="N172" i="21"/>
  <c r="O172" i="21"/>
  <c r="P172" i="21"/>
  <c r="Q172" i="21"/>
  <c r="R172" i="21"/>
  <c r="S172" i="21"/>
  <c r="T172" i="21"/>
  <c r="M173" i="21"/>
  <c r="N173" i="21"/>
  <c r="O173" i="21"/>
  <c r="P173" i="21"/>
  <c r="Q173" i="21"/>
  <c r="R173" i="21"/>
  <c r="S173" i="21"/>
  <c r="T173" i="21"/>
  <c r="M174" i="21"/>
  <c r="N174" i="21"/>
  <c r="O174" i="21"/>
  <c r="P174" i="21"/>
  <c r="Q174" i="21"/>
  <c r="R174" i="21"/>
  <c r="S174" i="21"/>
  <c r="T174" i="21"/>
  <c r="M175" i="21"/>
  <c r="N175" i="21"/>
  <c r="O175" i="21"/>
  <c r="P175" i="21"/>
  <c r="Q175" i="21"/>
  <c r="R175" i="21"/>
  <c r="S175" i="21"/>
  <c r="T175" i="21"/>
  <c r="M176" i="21"/>
  <c r="N176" i="21"/>
  <c r="O176" i="21"/>
  <c r="P176" i="21"/>
  <c r="Q176" i="21"/>
  <c r="R176" i="21"/>
  <c r="S176" i="21"/>
  <c r="T176" i="21"/>
  <c r="M177" i="21"/>
  <c r="N177" i="21"/>
  <c r="O177" i="21"/>
  <c r="P177" i="21"/>
  <c r="Q177" i="21"/>
  <c r="R177" i="21"/>
  <c r="S177" i="21"/>
  <c r="T177" i="21"/>
  <c r="M178" i="21"/>
  <c r="N178" i="21"/>
  <c r="O178" i="21"/>
  <c r="P178" i="21"/>
  <c r="Q178" i="21"/>
  <c r="R178" i="21"/>
  <c r="S178" i="21"/>
  <c r="T178" i="21"/>
  <c r="M179" i="21"/>
  <c r="N179" i="21"/>
  <c r="O179" i="21"/>
  <c r="P179" i="21"/>
  <c r="Q179" i="21"/>
  <c r="R179" i="21"/>
  <c r="S179" i="21"/>
  <c r="T179" i="21"/>
  <c r="U179" i="21" s="1"/>
  <c r="M180" i="21"/>
  <c r="N180" i="21"/>
  <c r="O180" i="21"/>
  <c r="P180" i="21"/>
  <c r="Q180" i="21"/>
  <c r="R180" i="21"/>
  <c r="S180" i="21"/>
  <c r="T180" i="21"/>
  <c r="M181" i="21"/>
  <c r="N181" i="21"/>
  <c r="O181" i="21"/>
  <c r="P181" i="21"/>
  <c r="Q181" i="21"/>
  <c r="R181" i="21"/>
  <c r="S181" i="21"/>
  <c r="T181" i="21"/>
  <c r="U181" i="21" s="1"/>
  <c r="M182" i="21"/>
  <c r="N182" i="21"/>
  <c r="O182" i="21"/>
  <c r="P182" i="21"/>
  <c r="Q182" i="21"/>
  <c r="R182" i="21"/>
  <c r="S182" i="21"/>
  <c r="T182" i="21"/>
  <c r="U182" i="21" s="1"/>
  <c r="M183" i="21"/>
  <c r="N183" i="21"/>
  <c r="O183" i="21"/>
  <c r="P183" i="21"/>
  <c r="Q183" i="21"/>
  <c r="R183" i="21"/>
  <c r="S183" i="21"/>
  <c r="T183" i="21"/>
  <c r="M184" i="21"/>
  <c r="N184" i="21"/>
  <c r="O184" i="21"/>
  <c r="P184" i="21"/>
  <c r="Q184" i="21"/>
  <c r="R184" i="21"/>
  <c r="S184" i="21"/>
  <c r="T184" i="21"/>
  <c r="M185" i="21"/>
  <c r="N185" i="21"/>
  <c r="O185" i="21"/>
  <c r="P185" i="21"/>
  <c r="Q185" i="21"/>
  <c r="R185" i="21"/>
  <c r="S185" i="21"/>
  <c r="T185" i="21"/>
  <c r="M186" i="21"/>
  <c r="N186" i="21"/>
  <c r="O186" i="21"/>
  <c r="P186" i="21"/>
  <c r="Q186" i="21"/>
  <c r="R186" i="21"/>
  <c r="S186" i="21"/>
  <c r="T186" i="21"/>
  <c r="U186" i="21" s="1"/>
  <c r="M187" i="21"/>
  <c r="N187" i="21"/>
  <c r="O187" i="21"/>
  <c r="P187" i="21"/>
  <c r="Q187" i="21"/>
  <c r="R187" i="21"/>
  <c r="S187" i="21"/>
  <c r="T187" i="21"/>
  <c r="M188" i="21"/>
  <c r="N188" i="21"/>
  <c r="O188" i="21"/>
  <c r="P188" i="21"/>
  <c r="Q188" i="21"/>
  <c r="R188" i="21"/>
  <c r="S188" i="21"/>
  <c r="T188" i="21"/>
  <c r="M189" i="21"/>
  <c r="N189" i="21"/>
  <c r="O189" i="21"/>
  <c r="P189" i="21"/>
  <c r="Q189" i="21"/>
  <c r="R189" i="21"/>
  <c r="S189" i="21"/>
  <c r="T189" i="21"/>
  <c r="M190" i="21"/>
  <c r="N190" i="21"/>
  <c r="O190" i="21"/>
  <c r="P190" i="21"/>
  <c r="Q190" i="21"/>
  <c r="R190" i="21"/>
  <c r="S190" i="21"/>
  <c r="T190" i="21"/>
  <c r="M191" i="21"/>
  <c r="N191" i="21"/>
  <c r="O191" i="21"/>
  <c r="P191" i="21"/>
  <c r="Q191" i="21"/>
  <c r="R191" i="21"/>
  <c r="S191" i="21"/>
  <c r="T191" i="21"/>
  <c r="M192" i="21"/>
  <c r="N192" i="21"/>
  <c r="O192" i="21"/>
  <c r="P192" i="21"/>
  <c r="Q192" i="21"/>
  <c r="R192" i="21"/>
  <c r="S192" i="21"/>
  <c r="T192" i="21"/>
  <c r="M193" i="21"/>
  <c r="N193" i="21"/>
  <c r="O193" i="21"/>
  <c r="P193" i="21"/>
  <c r="Q193" i="21"/>
  <c r="R193" i="21"/>
  <c r="S193" i="21"/>
  <c r="T193" i="21"/>
  <c r="U193" i="21" s="1"/>
  <c r="M194" i="21"/>
  <c r="N194" i="21"/>
  <c r="O194" i="21"/>
  <c r="P194" i="21"/>
  <c r="Q194" i="21"/>
  <c r="R194" i="21"/>
  <c r="S194" i="21"/>
  <c r="T194" i="21"/>
  <c r="T87" i="21"/>
  <c r="S87" i="21"/>
  <c r="U87" i="21" s="1"/>
  <c r="R87" i="21"/>
  <c r="Q87" i="21"/>
  <c r="Q195" i="21" s="1"/>
  <c r="P87" i="21"/>
  <c r="O87" i="21"/>
  <c r="M9" i="21"/>
  <c r="N9" i="21"/>
  <c r="O9" i="21"/>
  <c r="P9" i="21"/>
  <c r="Q9" i="21"/>
  <c r="R9" i="21"/>
  <c r="S9" i="21"/>
  <c r="T9" i="21"/>
  <c r="M10" i="21"/>
  <c r="N10" i="21"/>
  <c r="O10" i="21"/>
  <c r="P10" i="21"/>
  <c r="Q10" i="21"/>
  <c r="R10" i="21"/>
  <c r="S10" i="21"/>
  <c r="T10" i="21"/>
  <c r="M11" i="21"/>
  <c r="N11" i="21"/>
  <c r="O11" i="21"/>
  <c r="P11" i="21"/>
  <c r="Q11" i="21"/>
  <c r="R11" i="21"/>
  <c r="S11" i="21"/>
  <c r="T11" i="21"/>
  <c r="U11" i="21" s="1"/>
  <c r="M12" i="21"/>
  <c r="N12" i="21"/>
  <c r="O12" i="21"/>
  <c r="P12" i="21"/>
  <c r="Q12" i="21"/>
  <c r="R12" i="21"/>
  <c r="S12" i="21"/>
  <c r="T12" i="21"/>
  <c r="U12" i="21" s="1"/>
  <c r="M13" i="21"/>
  <c r="N13" i="21"/>
  <c r="O13" i="21"/>
  <c r="P13" i="21"/>
  <c r="Q13" i="21"/>
  <c r="R13" i="21"/>
  <c r="S13" i="21"/>
  <c r="T13" i="21"/>
  <c r="M14" i="21"/>
  <c r="N14" i="21"/>
  <c r="O14" i="21"/>
  <c r="P14" i="21"/>
  <c r="Q14" i="21"/>
  <c r="R14" i="21"/>
  <c r="S14" i="21"/>
  <c r="T14" i="21"/>
  <c r="M15" i="21"/>
  <c r="N15" i="21"/>
  <c r="O15" i="21"/>
  <c r="P15" i="21"/>
  <c r="Q15" i="21"/>
  <c r="R15" i="21"/>
  <c r="S15" i="21"/>
  <c r="T15" i="21"/>
  <c r="U15" i="21" s="1"/>
  <c r="M16" i="21"/>
  <c r="O16" i="21"/>
  <c r="P16" i="21"/>
  <c r="Q16" i="21"/>
  <c r="R16" i="21"/>
  <c r="S16" i="21"/>
  <c r="T16" i="21"/>
  <c r="M17" i="21"/>
  <c r="N17" i="21"/>
  <c r="O17" i="21"/>
  <c r="P17" i="21"/>
  <c r="Q17" i="21"/>
  <c r="R17" i="21"/>
  <c r="S17" i="21"/>
  <c r="U17" i="21" s="1"/>
  <c r="T17" i="21"/>
  <c r="M18" i="21"/>
  <c r="N18" i="21"/>
  <c r="O18" i="21"/>
  <c r="P18" i="21"/>
  <c r="Q18" i="21"/>
  <c r="R18" i="21"/>
  <c r="S18" i="21"/>
  <c r="U18" i="21" s="1"/>
  <c r="T18" i="21"/>
  <c r="M19" i="21"/>
  <c r="N19" i="21"/>
  <c r="O19" i="21"/>
  <c r="P19" i="21"/>
  <c r="Q19" i="21"/>
  <c r="R19" i="21"/>
  <c r="S19" i="21"/>
  <c r="T19" i="21"/>
  <c r="M20" i="21"/>
  <c r="N20" i="21"/>
  <c r="O20" i="21"/>
  <c r="P20" i="21"/>
  <c r="Q20" i="21"/>
  <c r="R20" i="21"/>
  <c r="S20" i="21"/>
  <c r="U20" i="21" s="1"/>
  <c r="T20" i="21"/>
  <c r="M21" i="21"/>
  <c r="N21" i="21"/>
  <c r="O21" i="21"/>
  <c r="P21" i="21"/>
  <c r="Q21" i="21"/>
  <c r="R21" i="21"/>
  <c r="S21" i="21"/>
  <c r="T21" i="21"/>
  <c r="M22" i="21"/>
  <c r="N22" i="21"/>
  <c r="O22" i="21"/>
  <c r="P22" i="21"/>
  <c r="Q22" i="21"/>
  <c r="R22" i="21"/>
  <c r="S22" i="21"/>
  <c r="U22" i="21" s="1"/>
  <c r="T22" i="21"/>
  <c r="M23" i="21"/>
  <c r="N23" i="21"/>
  <c r="O23" i="21"/>
  <c r="P23" i="21"/>
  <c r="Q23" i="21"/>
  <c r="R23" i="21"/>
  <c r="S23" i="21"/>
  <c r="T23" i="21"/>
  <c r="M24" i="21"/>
  <c r="N24" i="21"/>
  <c r="O24" i="21"/>
  <c r="P24" i="21"/>
  <c r="Q24" i="21"/>
  <c r="R24" i="21"/>
  <c r="S24" i="21"/>
  <c r="T24" i="21"/>
  <c r="M25" i="21"/>
  <c r="N25" i="21"/>
  <c r="O25" i="21"/>
  <c r="P25" i="21"/>
  <c r="Q25" i="21"/>
  <c r="R25" i="21"/>
  <c r="S25" i="21"/>
  <c r="T25" i="21"/>
  <c r="M26" i="21"/>
  <c r="N26" i="21"/>
  <c r="O26" i="21"/>
  <c r="P26" i="21"/>
  <c r="Q26" i="21"/>
  <c r="R26" i="21"/>
  <c r="S26" i="21"/>
  <c r="U26" i="21" s="1"/>
  <c r="T26" i="21"/>
  <c r="M27" i="21"/>
  <c r="N27" i="21"/>
  <c r="O27" i="21"/>
  <c r="P27" i="21"/>
  <c r="Q27" i="21"/>
  <c r="R27" i="21"/>
  <c r="S27" i="21"/>
  <c r="U27" i="21" s="1"/>
  <c r="T27" i="21"/>
  <c r="M28" i="21"/>
  <c r="N28" i="21"/>
  <c r="O28" i="21"/>
  <c r="P28" i="21"/>
  <c r="Q28" i="21"/>
  <c r="R28" i="21"/>
  <c r="S28" i="21"/>
  <c r="U28" i="21" s="1"/>
  <c r="T28" i="21"/>
  <c r="M29" i="21"/>
  <c r="N29" i="21"/>
  <c r="O29" i="21"/>
  <c r="P29" i="21"/>
  <c r="Q29" i="21"/>
  <c r="R29" i="21"/>
  <c r="S29" i="21"/>
  <c r="U29" i="21" s="1"/>
  <c r="T29" i="21"/>
  <c r="M30" i="21"/>
  <c r="N30" i="21"/>
  <c r="O30" i="21"/>
  <c r="P30" i="21"/>
  <c r="Q30" i="21"/>
  <c r="R30" i="21"/>
  <c r="S30" i="21"/>
  <c r="T30" i="21"/>
  <c r="M31" i="21"/>
  <c r="N31" i="21"/>
  <c r="O31" i="21"/>
  <c r="P31" i="21"/>
  <c r="Q31" i="21"/>
  <c r="R31" i="21"/>
  <c r="S31" i="21"/>
  <c r="U31" i="21" s="1"/>
  <c r="T31" i="21"/>
  <c r="M32" i="21"/>
  <c r="N32" i="21"/>
  <c r="O32" i="21"/>
  <c r="P32" i="21"/>
  <c r="Q32" i="21"/>
  <c r="R32" i="21"/>
  <c r="S32" i="21"/>
  <c r="U32" i="21" s="1"/>
  <c r="T32" i="21"/>
  <c r="M33" i="21"/>
  <c r="N33" i="21"/>
  <c r="O33" i="21"/>
  <c r="P33" i="21"/>
  <c r="Q33" i="21"/>
  <c r="R33" i="21"/>
  <c r="S33" i="21"/>
  <c r="U33" i="21" s="1"/>
  <c r="T33" i="21"/>
  <c r="M34" i="21"/>
  <c r="N34" i="21"/>
  <c r="O34" i="21"/>
  <c r="P34" i="21"/>
  <c r="Q34" i="21"/>
  <c r="R34" i="21"/>
  <c r="S34" i="21"/>
  <c r="T34" i="21"/>
  <c r="M35" i="21"/>
  <c r="N35" i="21"/>
  <c r="O35" i="21"/>
  <c r="P35" i="21"/>
  <c r="Q35" i="21"/>
  <c r="R35" i="21"/>
  <c r="S35" i="21"/>
  <c r="U35" i="21" s="1"/>
  <c r="T35" i="21"/>
  <c r="M36" i="21"/>
  <c r="N36" i="21"/>
  <c r="O36" i="21"/>
  <c r="P36" i="21"/>
  <c r="Q36" i="21"/>
  <c r="R36" i="21"/>
  <c r="S36" i="21"/>
  <c r="T36" i="21"/>
  <c r="M37" i="21"/>
  <c r="N37" i="21"/>
  <c r="O37" i="21"/>
  <c r="P37" i="21"/>
  <c r="Q37" i="21"/>
  <c r="R37" i="21"/>
  <c r="S37" i="21"/>
  <c r="U37" i="21" s="1"/>
  <c r="T37" i="21"/>
  <c r="M38" i="21"/>
  <c r="N38" i="21"/>
  <c r="O38" i="21"/>
  <c r="P38" i="21"/>
  <c r="Q38" i="21"/>
  <c r="R38" i="21"/>
  <c r="S38" i="21"/>
  <c r="T38" i="21"/>
  <c r="M39" i="21"/>
  <c r="N39" i="21"/>
  <c r="O39" i="21"/>
  <c r="P39" i="21"/>
  <c r="Q39" i="21"/>
  <c r="R39" i="21"/>
  <c r="S39" i="21"/>
  <c r="U39" i="21" s="1"/>
  <c r="T39" i="21"/>
  <c r="M40" i="21"/>
  <c r="N40" i="21"/>
  <c r="O40" i="21"/>
  <c r="P40" i="21"/>
  <c r="Q40" i="21"/>
  <c r="R40" i="21"/>
  <c r="S40" i="21"/>
  <c r="T40" i="21"/>
  <c r="M41" i="21"/>
  <c r="N41" i="21"/>
  <c r="O41" i="21"/>
  <c r="P41" i="21"/>
  <c r="Q41" i="21"/>
  <c r="R41" i="21"/>
  <c r="S41" i="21"/>
  <c r="T41" i="21"/>
  <c r="M42" i="21"/>
  <c r="N42" i="21"/>
  <c r="O42" i="21"/>
  <c r="P42" i="21"/>
  <c r="Q42" i="21"/>
  <c r="R42" i="21"/>
  <c r="S42" i="21"/>
  <c r="U42" i="21" s="1"/>
  <c r="T42" i="21"/>
  <c r="M43" i="21"/>
  <c r="N43" i="21"/>
  <c r="O43" i="21"/>
  <c r="P43" i="21"/>
  <c r="Q43" i="21"/>
  <c r="R43" i="21"/>
  <c r="S43" i="21"/>
  <c r="U43" i="21" s="1"/>
  <c r="T43" i="21"/>
  <c r="M44" i="21"/>
  <c r="N44" i="21"/>
  <c r="O44" i="21"/>
  <c r="P44" i="21"/>
  <c r="Q44" i="21"/>
  <c r="R44" i="21"/>
  <c r="S44" i="21"/>
  <c r="U44" i="21" s="1"/>
  <c r="T44" i="21"/>
  <c r="M45" i="21"/>
  <c r="N45" i="21"/>
  <c r="O45" i="21"/>
  <c r="P45" i="21"/>
  <c r="Q45" i="21"/>
  <c r="R45" i="21"/>
  <c r="S45" i="21"/>
  <c r="U45" i="21" s="1"/>
  <c r="T45" i="21"/>
  <c r="M46" i="21"/>
  <c r="N46" i="21"/>
  <c r="O46" i="21"/>
  <c r="P46" i="21"/>
  <c r="Q46" i="21"/>
  <c r="R46" i="21"/>
  <c r="S46" i="21"/>
  <c r="T46" i="21"/>
  <c r="M47" i="21"/>
  <c r="N47" i="21"/>
  <c r="O47" i="21"/>
  <c r="P47" i="21"/>
  <c r="Q47" i="21"/>
  <c r="R47" i="21"/>
  <c r="S47" i="21"/>
  <c r="T47" i="21"/>
  <c r="M48" i="21"/>
  <c r="N48" i="21"/>
  <c r="O48" i="21"/>
  <c r="P48" i="21"/>
  <c r="Q48" i="21"/>
  <c r="R48" i="21"/>
  <c r="S48" i="21"/>
  <c r="T48" i="21"/>
  <c r="M49" i="21"/>
  <c r="N49" i="21"/>
  <c r="O49" i="21"/>
  <c r="P49" i="21"/>
  <c r="Q49" i="21"/>
  <c r="R49" i="21"/>
  <c r="S49" i="21"/>
  <c r="T49" i="21"/>
  <c r="M50" i="21"/>
  <c r="N50" i="21"/>
  <c r="O50" i="21"/>
  <c r="P50" i="21"/>
  <c r="Q50" i="21"/>
  <c r="R50" i="21"/>
  <c r="S50" i="21"/>
  <c r="T50" i="21"/>
  <c r="M51" i="21"/>
  <c r="N51" i="21"/>
  <c r="O51" i="21"/>
  <c r="P51" i="21"/>
  <c r="Q51" i="21"/>
  <c r="R51" i="21"/>
  <c r="S51" i="21"/>
  <c r="T51" i="21"/>
  <c r="M52" i="21"/>
  <c r="N52" i="21"/>
  <c r="O52" i="21"/>
  <c r="P52" i="21"/>
  <c r="Q52" i="21"/>
  <c r="R52" i="21"/>
  <c r="S52" i="21"/>
  <c r="T52" i="21"/>
  <c r="M53" i="21"/>
  <c r="N53" i="21"/>
  <c r="O53" i="21"/>
  <c r="P53" i="21"/>
  <c r="Q53" i="21"/>
  <c r="R53" i="21"/>
  <c r="S53" i="21"/>
  <c r="T53" i="21"/>
  <c r="M54" i="21"/>
  <c r="N54" i="21"/>
  <c r="O54" i="21"/>
  <c r="P54" i="21"/>
  <c r="Q54" i="21"/>
  <c r="R54" i="21"/>
  <c r="S54" i="21"/>
  <c r="T54" i="21"/>
  <c r="M55" i="21"/>
  <c r="N55" i="21"/>
  <c r="O55" i="21"/>
  <c r="P55" i="21"/>
  <c r="Q55" i="21"/>
  <c r="R55" i="21"/>
  <c r="S55" i="21"/>
  <c r="T55" i="21"/>
  <c r="M56" i="21"/>
  <c r="N56" i="21"/>
  <c r="O56" i="21"/>
  <c r="P56" i="21"/>
  <c r="Q56" i="21"/>
  <c r="R56" i="21"/>
  <c r="S56" i="21"/>
  <c r="T56" i="21"/>
  <c r="M57" i="21"/>
  <c r="N57" i="21"/>
  <c r="O57" i="21"/>
  <c r="P57" i="21"/>
  <c r="Q57" i="21"/>
  <c r="R57" i="21"/>
  <c r="S57" i="21"/>
  <c r="T57" i="21"/>
  <c r="M58" i="21"/>
  <c r="N58" i="21"/>
  <c r="O58" i="21"/>
  <c r="P58" i="21"/>
  <c r="Q58" i="21"/>
  <c r="R58" i="21"/>
  <c r="S58" i="21"/>
  <c r="T58" i="21"/>
  <c r="M59" i="21"/>
  <c r="N59" i="21"/>
  <c r="O59" i="21"/>
  <c r="P59" i="21"/>
  <c r="Q59" i="21"/>
  <c r="R59" i="21"/>
  <c r="S59" i="21"/>
  <c r="T59" i="21"/>
  <c r="M60" i="21"/>
  <c r="N60" i="21"/>
  <c r="O60" i="21"/>
  <c r="P60" i="21"/>
  <c r="Q60" i="21"/>
  <c r="R60" i="21"/>
  <c r="S60" i="21"/>
  <c r="T60" i="21"/>
  <c r="M61" i="21"/>
  <c r="N61" i="21"/>
  <c r="O61" i="21"/>
  <c r="P61" i="21"/>
  <c r="Q61" i="21"/>
  <c r="R61" i="21"/>
  <c r="S61" i="21"/>
  <c r="U61" i="21" s="1"/>
  <c r="T61" i="21"/>
  <c r="M62" i="21"/>
  <c r="N62" i="21"/>
  <c r="O62" i="21"/>
  <c r="P62" i="21"/>
  <c r="Q62" i="21"/>
  <c r="R62" i="21"/>
  <c r="S62" i="21"/>
  <c r="U62" i="21" s="1"/>
  <c r="T62" i="21"/>
  <c r="M63" i="21"/>
  <c r="N63" i="21"/>
  <c r="O63" i="21"/>
  <c r="P63" i="21"/>
  <c r="Q63" i="21"/>
  <c r="R63" i="21"/>
  <c r="S63" i="21"/>
  <c r="T63" i="21"/>
  <c r="M64" i="21"/>
  <c r="N64" i="21"/>
  <c r="O64" i="21"/>
  <c r="P64" i="21"/>
  <c r="Q64" i="21"/>
  <c r="R64" i="21"/>
  <c r="S64" i="21"/>
  <c r="T64" i="21"/>
  <c r="M65" i="21"/>
  <c r="N65" i="21"/>
  <c r="O65" i="21"/>
  <c r="P65" i="21"/>
  <c r="Q65" i="21"/>
  <c r="R65" i="21"/>
  <c r="S65" i="21"/>
  <c r="T65" i="21"/>
  <c r="M66" i="21"/>
  <c r="N66" i="21"/>
  <c r="O66" i="21"/>
  <c r="P66" i="21"/>
  <c r="Q66" i="21"/>
  <c r="R66" i="21"/>
  <c r="S66" i="21"/>
  <c r="T66" i="21"/>
  <c r="M67" i="21"/>
  <c r="N67" i="21"/>
  <c r="O67" i="21"/>
  <c r="P67" i="21"/>
  <c r="Q67" i="21"/>
  <c r="R67" i="21"/>
  <c r="S67" i="21"/>
  <c r="T67" i="21"/>
  <c r="M68" i="21"/>
  <c r="N68" i="21"/>
  <c r="O68" i="21"/>
  <c r="P68" i="21"/>
  <c r="Q68" i="21"/>
  <c r="R68" i="21"/>
  <c r="S68" i="21"/>
  <c r="T68" i="21"/>
  <c r="M69" i="21"/>
  <c r="N69" i="21"/>
  <c r="O69" i="21"/>
  <c r="P69" i="21"/>
  <c r="Q69" i="21"/>
  <c r="R69" i="21"/>
  <c r="S69" i="21"/>
  <c r="U69" i="21" s="1"/>
  <c r="T69" i="21"/>
  <c r="M70" i="21"/>
  <c r="N70" i="21"/>
  <c r="O70" i="21"/>
  <c r="P70" i="21"/>
  <c r="Q70" i="21"/>
  <c r="R70" i="21"/>
  <c r="S70" i="21"/>
  <c r="T70" i="21"/>
  <c r="M71" i="21"/>
  <c r="N71" i="21"/>
  <c r="O71" i="21"/>
  <c r="P71" i="21"/>
  <c r="Q71" i="21"/>
  <c r="R71" i="21"/>
  <c r="S71" i="21"/>
  <c r="T71" i="21"/>
  <c r="M72" i="21"/>
  <c r="N72" i="21"/>
  <c r="O72" i="21"/>
  <c r="P72" i="21"/>
  <c r="Q72" i="21"/>
  <c r="R72" i="21"/>
  <c r="S72" i="21"/>
  <c r="T72" i="21"/>
  <c r="M73" i="21"/>
  <c r="N73" i="21"/>
  <c r="O73" i="21"/>
  <c r="P73" i="21"/>
  <c r="Q73" i="21"/>
  <c r="R73" i="21"/>
  <c r="S73" i="21"/>
  <c r="T73" i="21"/>
  <c r="M74" i="21"/>
  <c r="N74" i="21"/>
  <c r="O74" i="21"/>
  <c r="P74" i="21"/>
  <c r="Q74" i="21"/>
  <c r="R74" i="21"/>
  <c r="S74" i="21"/>
  <c r="T74" i="21"/>
  <c r="M75" i="21"/>
  <c r="N75" i="21"/>
  <c r="O75" i="21"/>
  <c r="P75" i="21"/>
  <c r="Q75" i="21"/>
  <c r="R75" i="21"/>
  <c r="S75" i="21"/>
  <c r="T75" i="21"/>
  <c r="M76" i="21"/>
  <c r="N76" i="21"/>
  <c r="O76" i="21"/>
  <c r="P76" i="21"/>
  <c r="Q76" i="21"/>
  <c r="R76" i="21"/>
  <c r="S76" i="21"/>
  <c r="T76" i="21"/>
  <c r="M77" i="21"/>
  <c r="N77" i="21"/>
  <c r="O77" i="21"/>
  <c r="P77" i="21"/>
  <c r="Q77" i="21"/>
  <c r="R77" i="21"/>
  <c r="S77" i="21"/>
  <c r="T77" i="21"/>
  <c r="M78" i="21"/>
  <c r="N78" i="21"/>
  <c r="O78" i="21"/>
  <c r="P78" i="21"/>
  <c r="Q78" i="21"/>
  <c r="R78" i="21"/>
  <c r="S78" i="21"/>
  <c r="T78" i="21"/>
  <c r="M79" i="21"/>
  <c r="N79" i="21"/>
  <c r="O79" i="21"/>
  <c r="P79" i="21"/>
  <c r="Q79" i="21"/>
  <c r="R79" i="21"/>
  <c r="S79" i="21"/>
  <c r="T79" i="21"/>
  <c r="M80" i="21"/>
  <c r="N80" i="21"/>
  <c r="O80" i="21"/>
  <c r="P80" i="21"/>
  <c r="Q80" i="21"/>
  <c r="R80" i="21"/>
  <c r="S80" i="21"/>
  <c r="T80" i="21"/>
  <c r="T8" i="21"/>
  <c r="R8" i="21"/>
  <c r="P8" i="21"/>
  <c r="N8" i="21"/>
  <c r="C81" i="21"/>
  <c r="G8" i="21"/>
  <c r="C143" i="2"/>
  <c r="C183" i="2" s="1"/>
  <c r="C43" i="14" s="1"/>
  <c r="U91" i="21"/>
  <c r="U24" i="21"/>
  <c r="U108" i="21"/>
  <c r="U10" i="21"/>
  <c r="U180" i="21"/>
  <c r="U120" i="21"/>
  <c r="U89" i="21"/>
  <c r="U170" i="21"/>
  <c r="U90" i="21"/>
  <c r="M202" i="21"/>
  <c r="D7" i="2"/>
  <c r="D186" i="2" s="1"/>
  <c r="E7" i="2"/>
  <c r="E186" i="2" s="1"/>
  <c r="C7" i="2"/>
  <c r="C186" i="2" s="1"/>
  <c r="E217" i="2"/>
  <c r="F217" i="2"/>
  <c r="G217" i="2"/>
  <c r="H217" i="2"/>
  <c r="I217" i="2"/>
  <c r="D217" i="2"/>
  <c r="M8" i="9"/>
  <c r="W11" i="9"/>
  <c r="N13" i="10"/>
  <c r="N14" i="10"/>
  <c r="N15" i="10"/>
  <c r="N16" i="10"/>
  <c r="N17" i="10"/>
  <c r="N12" i="10"/>
  <c r="L13" i="10"/>
  <c r="L14" i="10"/>
  <c r="L15" i="10"/>
  <c r="L16" i="10"/>
  <c r="L17" i="10"/>
  <c r="L12" i="10"/>
  <c r="V22" i="9"/>
  <c r="C77" i="14"/>
  <c r="V20" i="9"/>
  <c r="V21" i="9"/>
  <c r="V19" i="9"/>
  <c r="D13" i="2"/>
  <c r="D41" i="14"/>
  <c r="D42" i="14"/>
  <c r="D183" i="2"/>
  <c r="D43" i="14" s="1"/>
  <c r="E135" i="2"/>
  <c r="F42" i="14" s="1"/>
  <c r="I135" i="2"/>
  <c r="I143" i="2"/>
  <c r="I183" i="2" s="1"/>
  <c r="E43" i="14" s="1"/>
  <c r="M7" i="9"/>
  <c r="C135" i="2"/>
  <c r="C42" i="14" s="1"/>
  <c r="F143" i="2"/>
  <c r="F183" i="2" s="1"/>
  <c r="G143" i="2"/>
  <c r="G183" i="2" s="1"/>
  <c r="H143" i="2"/>
  <c r="H183" i="2" s="1"/>
  <c r="F135" i="2"/>
  <c r="AB135" i="2" s="1"/>
  <c r="G135" i="2"/>
  <c r="AC135" i="2" s="1"/>
  <c r="H135" i="2"/>
  <c r="AD135" i="2" s="1"/>
  <c r="D190" i="2"/>
  <c r="D191" i="2"/>
  <c r="E191" i="2"/>
  <c r="F191" i="2"/>
  <c r="G191" i="2"/>
  <c r="H191" i="2"/>
  <c r="I191" i="2"/>
  <c r="D192" i="2"/>
  <c r="E192" i="2"/>
  <c r="F192" i="2"/>
  <c r="G192" i="2"/>
  <c r="H192" i="2"/>
  <c r="I192" i="2"/>
  <c r="D185" i="2"/>
  <c r="D48" i="14" s="1"/>
  <c r="E185" i="2"/>
  <c r="F48" i="14" s="1"/>
  <c r="G185" i="2"/>
  <c r="H185" i="2"/>
  <c r="I185" i="2"/>
  <c r="E48" i="14" s="1"/>
  <c r="D184" i="2"/>
  <c r="D47" i="14" s="1"/>
  <c r="E184" i="2"/>
  <c r="F47" i="14" s="1"/>
  <c r="F184" i="2"/>
  <c r="G184" i="2"/>
  <c r="H184" i="2"/>
  <c r="I184" i="2"/>
  <c r="E47" i="14" s="1"/>
  <c r="C27" i="18"/>
  <c r="C64" i="18"/>
  <c r="C65" i="18"/>
  <c r="C46" i="18"/>
  <c r="C63" i="14" s="1"/>
  <c r="E27" i="18"/>
  <c r="E46" i="18"/>
  <c r="F63" i="14" s="1"/>
  <c r="C21" i="19"/>
  <c r="C20" i="19"/>
  <c r="C80" i="14"/>
  <c r="K53" i="9"/>
  <c r="O53" i="9"/>
  <c r="M47" i="9"/>
  <c r="M48" i="9"/>
  <c r="M49" i="9"/>
  <c r="Z35" i="9"/>
  <c r="G36" i="9"/>
  <c r="D61" i="10"/>
  <c r="F15" i="11"/>
  <c r="E15" i="11" s="1"/>
  <c r="D15" i="11"/>
  <c r="F14" i="11"/>
  <c r="F72" i="14" s="1"/>
  <c r="D14" i="11"/>
  <c r="C72" i="14" s="1"/>
  <c r="C190" i="2"/>
  <c r="C191" i="2"/>
  <c r="C192" i="2"/>
  <c r="C6" i="3"/>
  <c r="C68" i="14" s="1"/>
  <c r="D27" i="18"/>
  <c r="D65" i="18"/>
  <c r="D46" i="18"/>
  <c r="D63" i="14" s="1"/>
  <c r="E65" i="14"/>
  <c r="C22" i="19"/>
  <c r="C55" i="14" s="1"/>
  <c r="C25" i="19"/>
  <c r="C57" i="14" s="1"/>
  <c r="D22" i="19"/>
  <c r="D55" i="14" s="1"/>
  <c r="E22" i="19"/>
  <c r="F55" i="14" s="1"/>
  <c r="D21" i="19"/>
  <c r="D20" i="19"/>
  <c r="D8" i="19"/>
  <c r="C8" i="19"/>
  <c r="C185" i="2"/>
  <c r="C48" i="14" s="1"/>
  <c r="C184" i="2"/>
  <c r="C47" i="14" s="1"/>
  <c r="F80" i="14"/>
  <c r="D80" i="14"/>
  <c r="D25" i="19"/>
  <c r="D57" i="14" s="1"/>
  <c r="E25" i="19"/>
  <c r="F57" i="14" s="1"/>
  <c r="G61" i="10"/>
  <c r="E53" i="9"/>
  <c r="AC11" i="9"/>
  <c r="Z11" i="9"/>
  <c r="T11" i="9"/>
  <c r="Q11" i="9"/>
  <c r="F56" i="14"/>
  <c r="D56" i="14"/>
  <c r="C56" i="14"/>
  <c r="M52" i="9"/>
  <c r="M51" i="9"/>
  <c r="M50" i="9"/>
  <c r="M46" i="9"/>
  <c r="S53" i="9"/>
  <c r="Q53" i="9"/>
  <c r="I53" i="9"/>
  <c r="G53" i="9"/>
  <c r="Y35" i="9"/>
  <c r="X35" i="9"/>
  <c r="W35" i="9"/>
  <c r="Z34" i="9"/>
  <c r="Y34" i="9"/>
  <c r="X34" i="9"/>
  <c r="W34" i="9"/>
  <c r="Z33" i="9"/>
  <c r="Y33" i="9"/>
  <c r="X33" i="9"/>
  <c r="W33" i="9"/>
  <c r="V36" i="9"/>
  <c r="U36" i="9"/>
  <c r="T36" i="9"/>
  <c r="S36" i="9"/>
  <c r="R36" i="9"/>
  <c r="Q36" i="9"/>
  <c r="P36" i="9"/>
  <c r="O36" i="9"/>
  <c r="J36" i="9"/>
  <c r="I36" i="9"/>
  <c r="H36" i="9"/>
  <c r="AD23" i="9"/>
  <c r="V23" i="9" s="1"/>
  <c r="AB23" i="9"/>
  <c r="Z23" i="9"/>
  <c r="X23" i="9"/>
  <c r="M9" i="9"/>
  <c r="K70" i="10"/>
  <c r="E6" i="3"/>
  <c r="F68" i="14" s="1"/>
  <c r="D6" i="3"/>
  <c r="D68" i="14" s="1"/>
  <c r="F65" i="14"/>
  <c r="D65" i="14"/>
  <c r="C65" i="14"/>
  <c r="D61" i="14"/>
  <c r="C61" i="14"/>
  <c r="F58" i="14"/>
  <c r="D58" i="14"/>
  <c r="C58" i="14"/>
  <c r="F50" i="14"/>
  <c r="D50" i="14"/>
  <c r="C50" i="14"/>
  <c r="B48" i="14"/>
  <c r="B72" i="14"/>
  <c r="B71" i="14"/>
  <c r="B70" i="14"/>
  <c r="B68" i="14"/>
  <c r="B65" i="14"/>
  <c r="B64" i="14"/>
  <c r="B63" i="14"/>
  <c r="B62" i="14"/>
  <c r="B66" i="14"/>
  <c r="B61" i="14"/>
  <c r="B59" i="14"/>
  <c r="B58" i="14"/>
  <c r="B57" i="14"/>
  <c r="B55" i="14"/>
  <c r="B54" i="14"/>
  <c r="B52" i="14"/>
  <c r="B51" i="14"/>
  <c r="B50" i="14"/>
  <c r="B49" i="14"/>
  <c r="B47" i="14"/>
  <c r="B46" i="14"/>
  <c r="B45" i="14"/>
  <c r="B44" i="14"/>
  <c r="B43" i="14"/>
  <c r="B41" i="14"/>
  <c r="B42" i="14"/>
  <c r="B40" i="14"/>
  <c r="B39" i="14"/>
  <c r="B38" i="14"/>
  <c r="M10" i="9"/>
  <c r="E8" i="19"/>
  <c r="E64" i="18"/>
  <c r="E20" i="19"/>
  <c r="E65" i="18"/>
  <c r="E21" i="19"/>
  <c r="G201" i="21"/>
  <c r="I204" i="21"/>
  <c r="J204" i="21" s="1"/>
  <c r="K204" i="21" s="1"/>
  <c r="AH89" i="23" l="1"/>
  <c r="AR89" i="23" s="1"/>
  <c r="BC89" i="23"/>
  <c r="AK90" i="23"/>
  <c r="AC90" i="23"/>
  <c r="AR88" i="23"/>
  <c r="BB88" i="23"/>
  <c r="BE88" i="23" s="1"/>
  <c r="AD91" i="23"/>
  <c r="AI91" i="23" s="1"/>
  <c r="AG91" i="23"/>
  <c r="AE92" i="23"/>
  <c r="AF91" i="23"/>
  <c r="AV87" i="23"/>
  <c r="AZ87" i="23" s="1"/>
  <c r="AQ89" i="23"/>
  <c r="AL90" i="23"/>
  <c r="BD90" i="23" s="1"/>
  <c r="AY88" i="23"/>
  <c r="U98" i="21"/>
  <c r="U97" i="21"/>
  <c r="E42" i="14"/>
  <c r="G42" i="14" s="1"/>
  <c r="H42" i="14" s="1"/>
  <c r="I42" i="14" s="1"/>
  <c r="J42" i="14" s="1"/>
  <c r="AE135" i="2"/>
  <c r="L13" i="2"/>
  <c r="AA13" i="2"/>
  <c r="U94" i="21"/>
  <c r="U88" i="21"/>
  <c r="G47" i="14"/>
  <c r="H47" i="14" s="1"/>
  <c r="I47" i="14" s="1"/>
  <c r="J47" i="14" s="1"/>
  <c r="G48" i="14"/>
  <c r="H48" i="14" s="1"/>
  <c r="I48" i="14" s="1"/>
  <c r="J48" i="14" s="1"/>
  <c r="G43" i="14"/>
  <c r="H43" i="14" s="1"/>
  <c r="I43" i="14" s="1"/>
  <c r="J43" i="14" s="1"/>
  <c r="C77" i="18"/>
  <c r="B58" i="10"/>
  <c r="B56" i="10"/>
  <c r="B59" i="10"/>
  <c r="B57" i="10"/>
  <c r="G207" i="21"/>
  <c r="G203" i="21"/>
  <c r="C41" i="14"/>
  <c r="K87" i="2"/>
  <c r="F38" i="14"/>
  <c r="F18" i="11" s="1"/>
  <c r="E18" i="11" s="1"/>
  <c r="P195" i="21"/>
  <c r="P199" i="21"/>
  <c r="M218" i="21" s="1"/>
  <c r="M53" i="9"/>
  <c r="U80" i="21"/>
  <c r="U79" i="21"/>
  <c r="U78" i="21"/>
  <c r="U77" i="21"/>
  <c r="U73" i="21"/>
  <c r="U72" i="21"/>
  <c r="U71" i="21"/>
  <c r="U70" i="21"/>
  <c r="U68" i="21"/>
  <c r="U67" i="21"/>
  <c r="U66" i="21"/>
  <c r="U65" i="21"/>
  <c r="U64" i="21"/>
  <c r="U63" i="21"/>
  <c r="U60" i="21"/>
  <c r="U59" i="21"/>
  <c r="U56" i="21"/>
  <c r="U54" i="21"/>
  <c r="U53" i="21"/>
  <c r="U52" i="21"/>
  <c r="U50" i="21"/>
  <c r="U48" i="21"/>
  <c r="U47" i="21"/>
  <c r="U46" i="21"/>
  <c r="R195" i="21"/>
  <c r="D19" i="19"/>
  <c r="D54" i="14" s="1"/>
  <c r="M228" i="21"/>
  <c r="J201" i="21"/>
  <c r="K201" i="21" s="1"/>
  <c r="I196" i="2"/>
  <c r="U194" i="21"/>
  <c r="U192" i="21"/>
  <c r="U191" i="21"/>
  <c r="U190" i="21"/>
  <c r="U189" i="21"/>
  <c r="U188" i="21"/>
  <c r="U187" i="21"/>
  <c r="U185" i="21"/>
  <c r="U184" i="21"/>
  <c r="U183" i="21"/>
  <c r="U178" i="21"/>
  <c r="U177" i="21"/>
  <c r="U176" i="21"/>
  <c r="U175" i="21"/>
  <c r="U174" i="21"/>
  <c r="U173" i="21"/>
  <c r="U172" i="21"/>
  <c r="U171" i="21"/>
  <c r="U168" i="21"/>
  <c r="U167" i="21"/>
  <c r="U165" i="21"/>
  <c r="U164" i="21"/>
  <c r="U163" i="21"/>
  <c r="U162" i="21"/>
  <c r="U161" i="21"/>
  <c r="U160" i="21"/>
  <c r="U158" i="21"/>
  <c r="U157" i="21"/>
  <c r="U156" i="21"/>
  <c r="U155" i="21"/>
  <c r="U154" i="21"/>
  <c r="U153" i="21"/>
  <c r="U152" i="21"/>
  <c r="U151" i="21"/>
  <c r="U150" i="21"/>
  <c r="U147" i="21"/>
  <c r="U146" i="21"/>
  <c r="U144" i="21"/>
  <c r="U143" i="21"/>
  <c r="U142" i="21"/>
  <c r="U141" i="21"/>
  <c r="U139" i="21"/>
  <c r="U136" i="21"/>
  <c r="U135" i="21"/>
  <c r="U133" i="21"/>
  <c r="U132" i="21"/>
  <c r="U131" i="21"/>
  <c r="U129" i="21"/>
  <c r="U127" i="21"/>
  <c r="U125" i="21"/>
  <c r="U124" i="21"/>
  <c r="U123" i="21"/>
  <c r="U122" i="21"/>
  <c r="U121" i="21"/>
  <c r="U118" i="21"/>
  <c r="U117" i="21"/>
  <c r="U115" i="21"/>
  <c r="U114" i="21"/>
  <c r="U112" i="21"/>
  <c r="U107" i="21"/>
  <c r="U105" i="21"/>
  <c r="U101" i="21"/>
  <c r="U96" i="21"/>
  <c r="J203" i="21"/>
  <c r="K203" i="21" s="1"/>
  <c r="H6" i="3"/>
  <c r="E190" i="2"/>
  <c r="D38" i="14"/>
  <c r="M11" i="9"/>
  <c r="M232" i="21"/>
  <c r="C196" i="2"/>
  <c r="M195" i="21"/>
  <c r="D77" i="18"/>
  <c r="D64" i="14" s="1"/>
  <c r="O199" i="21"/>
  <c r="U106" i="21"/>
  <c r="U104" i="21"/>
  <c r="U103" i="21"/>
  <c r="U102" i="21"/>
  <c r="U99" i="21"/>
  <c r="T195" i="21"/>
  <c r="C82" i="2"/>
  <c r="C159" i="2" s="1"/>
  <c r="E19" i="19"/>
  <c r="F54" i="14" s="1"/>
  <c r="U41" i="21"/>
  <c r="U36" i="21"/>
  <c r="U25" i="21"/>
  <c r="U23" i="21"/>
  <c r="U21" i="21"/>
  <c r="U19" i="21"/>
  <c r="U16" i="21"/>
  <c r="N81" i="21"/>
  <c r="F17" i="11"/>
  <c r="E17" i="11" s="1"/>
  <c r="G205" i="21"/>
  <c r="C38" i="14"/>
  <c r="D18" i="11" s="1"/>
  <c r="F6" i="3"/>
  <c r="G202" i="21"/>
  <c r="J202" i="21" s="1"/>
  <c r="K202" i="21" s="1"/>
  <c r="G206" i="21"/>
  <c r="I206" i="21"/>
  <c r="H196" i="2"/>
  <c r="E14" i="11"/>
  <c r="D39" i="14"/>
  <c r="D187" i="2"/>
  <c r="D202" i="2" s="1"/>
  <c r="D203" i="2" s="1"/>
  <c r="M227" i="21"/>
  <c r="P81" i="21"/>
  <c r="U9" i="21"/>
  <c r="T81" i="21"/>
  <c r="N199" i="21"/>
  <c r="S195" i="21"/>
  <c r="U111" i="21"/>
  <c r="U110" i="21"/>
  <c r="U109" i="21"/>
  <c r="U100" i="21"/>
  <c r="U95" i="21"/>
  <c r="U93" i="21"/>
  <c r="U92" i="21"/>
  <c r="N195" i="21"/>
  <c r="D82" i="2"/>
  <c r="C187" i="2"/>
  <c r="C39" i="14"/>
  <c r="M233" i="21"/>
  <c r="O195" i="21"/>
  <c r="R81" i="21"/>
  <c r="U58" i="21"/>
  <c r="U57" i="21"/>
  <c r="U55" i="21"/>
  <c r="U51" i="21"/>
  <c r="U49" i="21"/>
  <c r="U14" i="21"/>
  <c r="M81" i="21"/>
  <c r="U13" i="21"/>
  <c r="J207" i="21"/>
  <c r="K207" i="21" s="1"/>
  <c r="G196" i="2"/>
  <c r="C19" i="19"/>
  <c r="C54" i="14" s="1"/>
  <c r="D72" i="14"/>
  <c r="U76" i="21"/>
  <c r="U75" i="21"/>
  <c r="U40" i="21"/>
  <c r="U38" i="21"/>
  <c r="U34" i="21"/>
  <c r="U30" i="21"/>
  <c r="U128" i="21"/>
  <c r="M199" i="21"/>
  <c r="M210" i="21" s="1"/>
  <c r="F39" i="14"/>
  <c r="E82" i="2"/>
  <c r="E196" i="2"/>
  <c r="D17" i="11"/>
  <c r="O206" i="21"/>
  <c r="N206" i="21"/>
  <c r="P206" i="21"/>
  <c r="M206" i="21"/>
  <c r="M203" i="21" s="1"/>
  <c r="Q8" i="21"/>
  <c r="N202" i="21"/>
  <c r="O81" i="21"/>
  <c r="E77" i="18"/>
  <c r="F64" i="14" s="1"/>
  <c r="I6" i="3"/>
  <c r="F196" i="2"/>
  <c r="U74" i="21"/>
  <c r="G6" i="3"/>
  <c r="Z32" i="9"/>
  <c r="Z36" i="9" s="1"/>
  <c r="N36" i="9"/>
  <c r="X32" i="9"/>
  <c r="X36" i="9" s="1"/>
  <c r="L36" i="9"/>
  <c r="M36" i="9"/>
  <c r="Y32" i="9"/>
  <c r="Y36" i="9" s="1"/>
  <c r="K36" i="9"/>
  <c r="W32" i="9"/>
  <c r="W36" i="9" s="1"/>
  <c r="BB89" i="23" l="1"/>
  <c r="BE89" i="23" s="1"/>
  <c r="AC91" i="23"/>
  <c r="AK91" i="23"/>
  <c r="BC91" i="23" s="1"/>
  <c r="AQ90" i="23"/>
  <c r="AV89" i="23"/>
  <c r="AZ89" i="23" s="1"/>
  <c r="AU89" i="23"/>
  <c r="AY89" i="23" s="1"/>
  <c r="AD92" i="23"/>
  <c r="AI92" i="23" s="1"/>
  <c r="AF92" i="23"/>
  <c r="AE93" i="23"/>
  <c r="AG92" i="23"/>
  <c r="AH90" i="23"/>
  <c r="AL91" i="23"/>
  <c r="BD91" i="23" s="1"/>
  <c r="AV88" i="23"/>
  <c r="AZ88" i="23" s="1"/>
  <c r="BC90" i="23"/>
  <c r="C64" i="14"/>
  <c r="E38" i="19"/>
  <c r="F59" i="14" s="1"/>
  <c r="D38" i="19"/>
  <c r="D59" i="14" s="1"/>
  <c r="C202" i="2"/>
  <c r="C203" i="2" s="1"/>
  <c r="C40" i="14"/>
  <c r="D7" i="11" s="1"/>
  <c r="C44" i="14"/>
  <c r="E68" i="14"/>
  <c r="F74" i="18"/>
  <c r="H74" i="18"/>
  <c r="H59" i="18"/>
  <c r="H46" i="18" s="1"/>
  <c r="G74" i="18"/>
  <c r="G59" i="18"/>
  <c r="G46" i="18" s="1"/>
  <c r="C38" i="19"/>
  <c r="C59" i="14" s="1"/>
  <c r="U195" i="21"/>
  <c r="D159" i="2"/>
  <c r="D40" i="14"/>
  <c r="J206" i="21"/>
  <c r="K206" i="21" s="1"/>
  <c r="P205" i="21" s="1"/>
  <c r="P200" i="21" s="1"/>
  <c r="M223" i="21" s="1"/>
  <c r="E202" i="2"/>
  <c r="E203" i="2" s="1"/>
  <c r="F40" i="14"/>
  <c r="F7" i="11" s="1"/>
  <c r="E7" i="11" s="1"/>
  <c r="E159" i="2"/>
  <c r="Q81" i="21"/>
  <c r="S8" i="21"/>
  <c r="O202" i="21"/>
  <c r="N210" i="21"/>
  <c r="N203" i="21"/>
  <c r="AR90" i="23" l="1"/>
  <c r="BB90" i="23"/>
  <c r="BE90" i="23" s="1"/>
  <c r="AG93" i="23"/>
  <c r="AD93" i="23"/>
  <c r="AI93" i="23" s="1"/>
  <c r="AF93" i="23"/>
  <c r="AE94" i="23"/>
  <c r="AQ91" i="23"/>
  <c r="AK92" i="23"/>
  <c r="BC92" i="23" s="1"/>
  <c r="AC92" i="23"/>
  <c r="AU90" i="23"/>
  <c r="AY90" i="23" s="1"/>
  <c r="AL92" i="23"/>
  <c r="BD92" i="23" s="1"/>
  <c r="AH91" i="23"/>
  <c r="F46" i="18"/>
  <c r="I74" i="18"/>
  <c r="I59" i="18"/>
  <c r="I46" i="18" s="1"/>
  <c r="E63" i="14" s="1"/>
  <c r="C175" i="2"/>
  <c r="N205" i="21"/>
  <c r="N200" i="21" s="1"/>
  <c r="N211" i="21" s="1"/>
  <c r="C189" i="2"/>
  <c r="C194" i="2" s="1"/>
  <c r="C45" i="14" s="1"/>
  <c r="D13" i="11" s="1"/>
  <c r="M205" i="21"/>
  <c r="M200" i="21" s="1"/>
  <c r="M211" i="21" s="1"/>
  <c r="D175" i="2"/>
  <c r="D44" i="14"/>
  <c r="D189" i="2"/>
  <c r="D194" i="2" s="1"/>
  <c r="D45" i="14" s="1"/>
  <c r="D46" i="14" s="1"/>
  <c r="O205" i="21"/>
  <c r="O200" i="21" s="1"/>
  <c r="K209" i="21"/>
  <c r="E175" i="2"/>
  <c r="E7" i="18" s="1"/>
  <c r="F44" i="14"/>
  <c r="E189" i="2"/>
  <c r="E194" i="2" s="1"/>
  <c r="F45" i="14" s="1"/>
  <c r="O210" i="21"/>
  <c r="O203" i="21"/>
  <c r="U8" i="21"/>
  <c r="P202" i="21"/>
  <c r="S81" i="21"/>
  <c r="AH92" i="23" l="1"/>
  <c r="AL93" i="23"/>
  <c r="BD93" i="23" s="1"/>
  <c r="AF94" i="23"/>
  <c r="AD94" i="23"/>
  <c r="AI94" i="23" s="1"/>
  <c r="AG94" i="23"/>
  <c r="AE95" i="23"/>
  <c r="AR91" i="23"/>
  <c r="BB91" i="23"/>
  <c r="BE91" i="23" s="1"/>
  <c r="AK93" i="23"/>
  <c r="AC93" i="23"/>
  <c r="AQ92" i="23"/>
  <c r="AU91" i="23"/>
  <c r="AY91" i="23" s="1"/>
  <c r="AV90" i="23"/>
  <c r="AZ90" i="23" s="1"/>
  <c r="D178" i="2"/>
  <c r="D17" i="19" s="1"/>
  <c r="D7" i="18"/>
  <c r="D17" i="18" s="1"/>
  <c r="D26" i="18" s="1"/>
  <c r="D28" i="18" s="1"/>
  <c r="C7" i="18"/>
  <c r="C17" i="18" s="1"/>
  <c r="C26" i="18" s="1"/>
  <c r="O211" i="21"/>
  <c r="D8" i="11"/>
  <c r="C46" i="14" s="1"/>
  <c r="C178" i="2"/>
  <c r="C17" i="19" s="1"/>
  <c r="C49" i="14"/>
  <c r="D49" i="14"/>
  <c r="F49" i="14"/>
  <c r="E178" i="2"/>
  <c r="E179" i="2" s="1"/>
  <c r="F13" i="11"/>
  <c r="E13" i="11" s="1"/>
  <c r="F8" i="11"/>
  <c r="P203" i="21"/>
  <c r="P210" i="21"/>
  <c r="U81" i="21"/>
  <c r="M216" i="21"/>
  <c r="M217" i="21" s="1"/>
  <c r="AH93" i="23" l="1"/>
  <c r="AR93" i="23" s="1"/>
  <c r="BC93" i="23"/>
  <c r="AK94" i="23"/>
  <c r="AC94" i="23"/>
  <c r="AQ93" i="23"/>
  <c r="AU93" i="23" s="1"/>
  <c r="AD95" i="23"/>
  <c r="AI95" i="23" s="1"/>
  <c r="AG95" i="23"/>
  <c r="AF95" i="23"/>
  <c r="AE96" i="23"/>
  <c r="AL94" i="23"/>
  <c r="BD94" i="23" s="1"/>
  <c r="AU92" i="23"/>
  <c r="AY92" i="23" s="1"/>
  <c r="AV91" i="23"/>
  <c r="AZ91" i="23" s="1"/>
  <c r="AR92" i="23"/>
  <c r="BB92" i="23"/>
  <c r="BE92" i="23" s="1"/>
  <c r="D179" i="2"/>
  <c r="D180" i="2"/>
  <c r="M17" i="18"/>
  <c r="C51" i="14"/>
  <c r="D9" i="11" s="1"/>
  <c r="C70" i="14" s="1"/>
  <c r="C179" i="2"/>
  <c r="C180" i="2"/>
  <c r="D82" i="18"/>
  <c r="D81" i="18"/>
  <c r="D62" i="14"/>
  <c r="D51" i="14"/>
  <c r="F46" i="14"/>
  <c r="E8" i="11"/>
  <c r="F51" i="14"/>
  <c r="E17" i="19"/>
  <c r="F7" i="19" s="1"/>
  <c r="E180" i="2"/>
  <c r="P211" i="21"/>
  <c r="M221" i="21"/>
  <c r="M226" i="21"/>
  <c r="BB93" i="23" l="1"/>
  <c r="BE93" i="23" s="1"/>
  <c r="AK95" i="23"/>
  <c r="AC95" i="23"/>
  <c r="AL95" i="23"/>
  <c r="BD95" i="23" s="1"/>
  <c r="AQ94" i="23"/>
  <c r="AU94" i="23" s="1"/>
  <c r="AH94" i="23"/>
  <c r="AV92" i="23"/>
  <c r="AZ92" i="23" s="1"/>
  <c r="AF96" i="23"/>
  <c r="AE97" i="23"/>
  <c r="AG96" i="23"/>
  <c r="AD96" i="23"/>
  <c r="AI96" i="23" s="1"/>
  <c r="AY93" i="23"/>
  <c r="BC94" i="23"/>
  <c r="AV93" i="23"/>
  <c r="AZ93" i="23" s="1"/>
  <c r="D10" i="11"/>
  <c r="C71" i="14" s="1"/>
  <c r="D11" i="11"/>
  <c r="C52" i="14" s="1"/>
  <c r="C28" i="18"/>
  <c r="C81" i="18" s="1"/>
  <c r="D66" i="14"/>
  <c r="D76" i="14"/>
  <c r="E17" i="18"/>
  <c r="E26" i="18" s="1"/>
  <c r="E28" i="18" s="1"/>
  <c r="F62" i="14" s="1"/>
  <c r="D70" i="14"/>
  <c r="D71" i="14"/>
  <c r="D52" i="14"/>
  <c r="H7" i="19"/>
  <c r="G7" i="19"/>
  <c r="I7" i="19"/>
  <c r="F10" i="11"/>
  <c r="F11" i="11"/>
  <c r="F9" i="11"/>
  <c r="M231" i="21"/>
  <c r="M222" i="21"/>
  <c r="AH95" i="23" l="1"/>
  <c r="AR95" i="23" s="1"/>
  <c r="AK96" i="23"/>
  <c r="AC96" i="23"/>
  <c r="AY94" i="23"/>
  <c r="AQ95" i="23"/>
  <c r="AL96" i="23"/>
  <c r="BD96" i="23" s="1"/>
  <c r="BC95" i="23"/>
  <c r="AF97" i="23"/>
  <c r="AE98" i="23"/>
  <c r="AG97" i="23"/>
  <c r="AD97" i="23"/>
  <c r="AI97" i="23" s="1"/>
  <c r="AR94" i="23"/>
  <c r="BB94" i="23"/>
  <c r="BE94" i="23" s="1"/>
  <c r="C82" i="18"/>
  <c r="J82" i="18" s="1"/>
  <c r="C62" i="14"/>
  <c r="E82" i="18"/>
  <c r="E9" i="11"/>
  <c r="F70" i="14"/>
  <c r="F52" i="14"/>
  <c r="E11" i="11"/>
  <c r="F71" i="14"/>
  <c r="E10" i="11"/>
  <c r="BB95" i="23" l="1"/>
  <c r="AL97" i="23"/>
  <c r="BD97" i="23" s="1"/>
  <c r="AV95" i="23"/>
  <c r="AZ95" i="23" s="1"/>
  <c r="AQ96" i="23"/>
  <c r="AH96" i="23"/>
  <c r="AV94" i="23"/>
  <c r="AZ94" i="23" s="1"/>
  <c r="AD98" i="23"/>
  <c r="AI98" i="23" s="1"/>
  <c r="AE99" i="23"/>
  <c r="AF98" i="23"/>
  <c r="AG98" i="23"/>
  <c r="AK97" i="23"/>
  <c r="AC97" i="23"/>
  <c r="AU95" i="23"/>
  <c r="AY95" i="23" s="1"/>
  <c r="BC96" i="23"/>
  <c r="J83" i="18"/>
  <c r="C66" i="14"/>
  <c r="E79" i="18"/>
  <c r="C76" i="14"/>
  <c r="BE95" i="23" l="1"/>
  <c r="AH97" i="23"/>
  <c r="AR97" i="23" s="1"/>
  <c r="BC97" i="23"/>
  <c r="AG99" i="23"/>
  <c r="AE100" i="23"/>
  <c r="AF99" i="23"/>
  <c r="AD99" i="23"/>
  <c r="AI99" i="23" s="1"/>
  <c r="AQ97" i="23"/>
  <c r="AU97" i="23" s="1"/>
  <c r="AL98" i="23"/>
  <c r="BD98" i="23" s="1"/>
  <c r="AU96" i="23"/>
  <c r="AY96" i="23" s="1"/>
  <c r="AK98" i="23"/>
  <c r="AC98" i="23"/>
  <c r="AR96" i="23"/>
  <c r="BB96" i="23"/>
  <c r="BE96" i="23" s="1"/>
  <c r="F61" i="14"/>
  <c r="E81" i="18"/>
  <c r="BB97" i="23" l="1"/>
  <c r="BE97" i="23" s="1"/>
  <c r="AH98" i="23"/>
  <c r="AR98" i="23" s="1"/>
  <c r="BC98" i="23"/>
  <c r="AK99" i="23"/>
  <c r="AC99" i="23"/>
  <c r="AV96" i="23"/>
  <c r="AZ96" i="23" s="1"/>
  <c r="AE101" i="23"/>
  <c r="AF100" i="23"/>
  <c r="AG100" i="23"/>
  <c r="AD100" i="23"/>
  <c r="AI100" i="23" s="1"/>
  <c r="AQ98" i="23"/>
  <c r="AU98" i="23" s="1"/>
  <c r="AL99" i="23"/>
  <c r="BD99" i="23" s="1"/>
  <c r="AV97" i="23"/>
  <c r="AZ97" i="23" s="1"/>
  <c r="AY97" i="23"/>
  <c r="G79" i="18"/>
  <c r="I79" i="18"/>
  <c r="F66" i="14"/>
  <c r="H79" i="18"/>
  <c r="F79" i="18"/>
  <c r="F76" i="14"/>
  <c r="BB98" i="23" l="1"/>
  <c r="BE98" i="23" s="1"/>
  <c r="AK100" i="23"/>
  <c r="AC100" i="23"/>
  <c r="AH99" i="23"/>
  <c r="AE102" i="23"/>
  <c r="AG101" i="23"/>
  <c r="AD101" i="23"/>
  <c r="AI101" i="23" s="1"/>
  <c r="AF101" i="23"/>
  <c r="BC99" i="23"/>
  <c r="AV98" i="23"/>
  <c r="AZ98" i="23" s="1"/>
  <c r="AY98" i="23"/>
  <c r="AL100" i="23"/>
  <c r="BD100" i="23" s="1"/>
  <c r="AQ99" i="23"/>
  <c r="AU99" i="23" s="1"/>
  <c r="E61" i="14"/>
  <c r="AK101" i="23" l="1"/>
  <c r="AC101" i="23"/>
  <c r="AR99" i="23"/>
  <c r="AV99" i="23" s="1"/>
  <c r="BB99" i="23"/>
  <c r="AQ100" i="23"/>
  <c r="AU100" i="23" s="1"/>
  <c r="AL101" i="23"/>
  <c r="BD101" i="23" s="1"/>
  <c r="AH100" i="23"/>
  <c r="AY99" i="23"/>
  <c r="AG102" i="23"/>
  <c r="AF102" i="23"/>
  <c r="AD102" i="23"/>
  <c r="AI102" i="23" s="1"/>
  <c r="AE103" i="23"/>
  <c r="BC100" i="23"/>
  <c r="P172" i="27"/>
  <c r="S158" i="27"/>
  <c r="S131" i="27"/>
  <c r="S121" i="27"/>
  <c r="AF121" i="27" s="1"/>
  <c r="AG121" i="27" s="1"/>
  <c r="S141" i="27"/>
  <c r="AF141" i="27" s="1"/>
  <c r="S162" i="27"/>
  <c r="AF162" i="27" s="1"/>
  <c r="AG162" i="27" s="1"/>
  <c r="S115" i="27"/>
  <c r="S161" i="27"/>
  <c r="S138" i="27"/>
  <c r="S166" i="27"/>
  <c r="J162" i="27"/>
  <c r="S123" i="27"/>
  <c r="J161" i="27"/>
  <c r="S142" i="27"/>
  <c r="AF142" i="27" s="1"/>
  <c r="S144" i="27"/>
  <c r="S117" i="27"/>
  <c r="J166" i="27"/>
  <c r="S152" i="27"/>
  <c r="S159" i="27"/>
  <c r="J141" i="27"/>
  <c r="S147" i="27"/>
  <c r="AF147" i="27" s="1"/>
  <c r="J153" i="27"/>
  <c r="S145" i="27"/>
  <c r="AR145" i="27" s="1"/>
  <c r="AS145" i="27" s="1"/>
  <c r="J131" i="27"/>
  <c r="S156" i="27"/>
  <c r="J117" i="27"/>
  <c r="S160" i="27"/>
  <c r="J160" i="27"/>
  <c r="S116" i="27"/>
  <c r="J120" i="27"/>
  <c r="S120" i="27"/>
  <c r="S122" i="27"/>
  <c r="J169" i="27"/>
  <c r="S146" i="27"/>
  <c r="J146" i="27"/>
  <c r="S149" i="27"/>
  <c r="J159" i="27"/>
  <c r="S140" i="27"/>
  <c r="J144" i="27"/>
  <c r="J156" i="27"/>
  <c r="S164" i="27"/>
  <c r="S163" i="27"/>
  <c r="S165" i="27"/>
  <c r="J154" i="27"/>
  <c r="S154" i="27"/>
  <c r="J123" i="27"/>
  <c r="J138" i="27"/>
  <c r="J152" i="27"/>
  <c r="J147" i="27"/>
  <c r="S126" i="27"/>
  <c r="J143" i="27"/>
  <c r="S143" i="27"/>
  <c r="AF143" i="27" s="1"/>
  <c r="S148" i="27"/>
  <c r="J136" i="27"/>
  <c r="S136" i="27"/>
  <c r="J148" i="27"/>
  <c r="J139" i="27"/>
  <c r="S139" i="27"/>
  <c r="J142" i="27"/>
  <c r="S132" i="27"/>
  <c r="J132" i="27"/>
  <c r="J158" i="27"/>
  <c r="J157" i="27"/>
  <c r="S157" i="27"/>
  <c r="J140" i="27"/>
  <c r="J122" i="27"/>
  <c r="J116" i="27"/>
  <c r="J171" i="27"/>
  <c r="S151" i="27"/>
  <c r="J170" i="27"/>
  <c r="J137" i="27"/>
  <c r="S137" i="27"/>
  <c r="J164" i="27"/>
  <c r="S155" i="27"/>
  <c r="J149" i="27"/>
  <c r="J163" i="27"/>
  <c r="J126" i="27"/>
  <c r="J167" i="27"/>
  <c r="S167" i="27"/>
  <c r="J121" i="27"/>
  <c r="J165" i="27"/>
  <c r="J150" i="27"/>
  <c r="S150" i="27"/>
  <c r="AF150" i="27" s="1"/>
  <c r="S130" i="27"/>
  <c r="J130" i="27"/>
  <c r="J151" i="27"/>
  <c r="J168" i="27"/>
  <c r="J155" i="27"/>
  <c r="J145" i="27"/>
  <c r="J172" i="27" s="1"/>
  <c r="BE99" i="23" l="1"/>
  <c r="AE104" i="23"/>
  <c r="AD103" i="23"/>
  <c r="AI103" i="23" s="1"/>
  <c r="AF103" i="23"/>
  <c r="AG103" i="23"/>
  <c r="AY100" i="23"/>
  <c r="AR100" i="23"/>
  <c r="BB100" i="23"/>
  <c r="BE100" i="23" s="1"/>
  <c r="AQ101" i="23"/>
  <c r="AK102" i="23"/>
  <c r="BC102" i="23" s="1"/>
  <c r="AC102" i="23"/>
  <c r="AH101" i="23"/>
  <c r="AL102" i="23"/>
  <c r="BD102" i="23" s="1"/>
  <c r="AZ99" i="23"/>
  <c r="BC101" i="23"/>
  <c r="S202" i="27"/>
  <c r="AF115" i="27"/>
  <c r="AJ115" i="27" s="1"/>
  <c r="AN115" i="27" s="1"/>
  <c r="AF145" i="27"/>
  <c r="AJ162" i="27"/>
  <c r="AJ141" i="27"/>
  <c r="AN141" i="27" s="1"/>
  <c r="AJ121" i="27"/>
  <c r="J181" i="27"/>
  <c r="O181" i="27" s="1"/>
  <c r="AG150" i="27"/>
  <c r="AR155" i="27"/>
  <c r="AS155" i="27" s="1"/>
  <c r="AG143" i="27"/>
  <c r="AG147" i="27"/>
  <c r="AG142" i="27"/>
  <c r="AF114" i="27"/>
  <c r="AF137" i="27"/>
  <c r="D184" i="27"/>
  <c r="AF164" i="27"/>
  <c r="AR163" i="27"/>
  <c r="AS163" i="27" s="1"/>
  <c r="AR132" i="27"/>
  <c r="AS132" i="27" s="1"/>
  <c r="AF146" i="27"/>
  <c r="AJ146" i="27" s="1"/>
  <c r="AF170" i="27"/>
  <c r="AJ170" i="27" s="1"/>
  <c r="AF159" i="27"/>
  <c r="AJ159" i="27" s="1"/>
  <c r="AR159" i="27"/>
  <c r="AS159" i="27" s="1"/>
  <c r="AF157" i="27"/>
  <c r="AJ157" i="27" s="1"/>
  <c r="AF130" i="27"/>
  <c r="AK143" i="27"/>
  <c r="AN121" i="27"/>
  <c r="AF120" i="27"/>
  <c r="AJ120" i="27" s="1"/>
  <c r="AR123" i="27"/>
  <c r="AS123" i="27" s="1"/>
  <c r="AJ145" i="27"/>
  <c r="AN145" i="27" s="1"/>
  <c r="AF144" i="27"/>
  <c r="AF122" i="27"/>
  <c r="AJ122" i="27" s="1"/>
  <c r="AR142" i="27"/>
  <c r="AS142" i="27" s="1"/>
  <c r="AR120" i="27"/>
  <c r="AS120" i="27" s="1"/>
  <c r="AR158" i="27"/>
  <c r="AS158" i="27" s="1"/>
  <c r="AK121" i="27"/>
  <c r="AO121" i="27" s="1"/>
  <c r="AR143" i="27"/>
  <c r="AS143" i="27" s="1"/>
  <c r="AR141" i="27"/>
  <c r="AS141" i="27" s="1"/>
  <c r="AK162" i="27"/>
  <c r="AO162" i="27" s="1"/>
  <c r="AN162" i="27"/>
  <c r="AF158" i="27"/>
  <c r="AR138" i="27"/>
  <c r="AS138" i="27" s="1"/>
  <c r="AF132" i="27"/>
  <c r="AF148" i="27"/>
  <c r="AR149" i="27"/>
  <c r="AS149" i="27" s="1"/>
  <c r="AJ143" i="27"/>
  <c r="AN143" i="27" s="1"/>
  <c r="AR121" i="27"/>
  <c r="AS121" i="27" s="1"/>
  <c r="AJ150" i="27"/>
  <c r="AN150" i="27" s="1"/>
  <c r="AR137" i="27"/>
  <c r="AS137" i="27" s="1"/>
  <c r="AJ130" i="27"/>
  <c r="AR115" i="27"/>
  <c r="AS115" i="27" s="1"/>
  <c r="AJ147" i="27"/>
  <c r="AN147" i="27" s="1"/>
  <c r="AJ142" i="27"/>
  <c r="AN142" i="27" s="1"/>
  <c r="AF167" i="27"/>
  <c r="AR139" i="27"/>
  <c r="AS139" i="27" s="1"/>
  <c r="AF136" i="27"/>
  <c r="AF165" i="27"/>
  <c r="J180" i="27"/>
  <c r="O180" i="27" s="1"/>
  <c r="AF155" i="27"/>
  <c r="AR122" i="27"/>
  <c r="AS122" i="27" s="1"/>
  <c r="AF156" i="27"/>
  <c r="AG145" i="27"/>
  <c r="AF116" i="27"/>
  <c r="AR152" i="27"/>
  <c r="AS152" i="27" s="1"/>
  <c r="AF149" i="27"/>
  <c r="AJ149" i="27" s="1"/>
  <c r="AR117" i="27"/>
  <c r="AF160" i="27"/>
  <c r="AR167" i="27"/>
  <c r="AS167" i="27" s="1"/>
  <c r="AF151" i="27"/>
  <c r="AF117" i="27"/>
  <c r="AJ117" i="27" s="1"/>
  <c r="AF166" i="27"/>
  <c r="AJ166" i="27" s="1"/>
  <c r="AF161" i="27"/>
  <c r="AG115" i="27"/>
  <c r="AG141" i="27"/>
  <c r="AF140" i="27"/>
  <c r="AJ140" i="27" s="1"/>
  <c r="AR147" i="27"/>
  <c r="AS147" i="27" s="1"/>
  <c r="AF152" i="27"/>
  <c r="AJ152" i="27" s="1"/>
  <c r="AF123" i="27"/>
  <c r="AJ114" i="27"/>
  <c r="AF154" i="27"/>
  <c r="AF138" i="27"/>
  <c r="AJ138" i="27" s="1"/>
  <c r="AF163" i="27"/>
  <c r="AF126" i="27"/>
  <c r="AF131" i="27"/>
  <c r="AF139" i="27"/>
  <c r="AR136" i="27"/>
  <c r="AS136" i="27" s="1"/>
  <c r="AR144" i="27"/>
  <c r="AS144" i="27" s="1"/>
  <c r="AR162" i="27"/>
  <c r="AS162" i="27" s="1"/>
  <c r="AR160" i="27"/>
  <c r="AS160" i="27" s="1"/>
  <c r="AF153" i="27"/>
  <c r="AL103" i="23" l="1"/>
  <c r="BD103" i="23" s="1"/>
  <c r="AR101" i="23"/>
  <c r="AV101" i="23" s="1"/>
  <c r="BB101" i="23"/>
  <c r="AV100" i="23"/>
  <c r="AZ100" i="23" s="1"/>
  <c r="AC103" i="23"/>
  <c r="AK103" i="23"/>
  <c r="AQ102" i="23"/>
  <c r="AU102" i="23" s="1"/>
  <c r="AU101" i="23"/>
  <c r="AY101" i="23" s="1"/>
  <c r="AH102" i="23"/>
  <c r="AE105" i="23"/>
  <c r="AD104" i="23"/>
  <c r="AI104" i="23" s="1"/>
  <c r="AF104" i="23"/>
  <c r="AG104" i="23"/>
  <c r="S203" i="27"/>
  <c r="S210" i="27" s="1"/>
  <c r="S209" i="27"/>
  <c r="AF168" i="27"/>
  <c r="AR131" i="27"/>
  <c r="AS131" i="27" s="1"/>
  <c r="AG139" i="27"/>
  <c r="AG153" i="27"/>
  <c r="AK153" i="27" s="1"/>
  <c r="AR153" i="27"/>
  <c r="AS153" i="27" s="1"/>
  <c r="AR165" i="27"/>
  <c r="AS165" i="27" s="1"/>
  <c r="AG131" i="27"/>
  <c r="AG163" i="27"/>
  <c r="AG154" i="27"/>
  <c r="AG123" i="27"/>
  <c r="AK123" i="27" s="1"/>
  <c r="AG161" i="27"/>
  <c r="AK161" i="27" s="1"/>
  <c r="AK150" i="27"/>
  <c r="AK147" i="27"/>
  <c r="AG160" i="27"/>
  <c r="AK160" i="27" s="1"/>
  <c r="AS117" i="27"/>
  <c r="AG155" i="27"/>
  <c r="AG165" i="27"/>
  <c r="AG136" i="27"/>
  <c r="AK136" i="27" s="1"/>
  <c r="AG167" i="27"/>
  <c r="E184" i="27"/>
  <c r="H184" i="27" s="1"/>
  <c r="AG148" i="27"/>
  <c r="AG158" i="27"/>
  <c r="AN122" i="27"/>
  <c r="AG122" i="27"/>
  <c r="AN130" i="27"/>
  <c r="AG130" i="27"/>
  <c r="AK130" i="27" s="1"/>
  <c r="AN146" i="27"/>
  <c r="AG146" i="27"/>
  <c r="AK154" i="27"/>
  <c r="AR154" i="27"/>
  <c r="AS154" i="27" s="1"/>
  <c r="AG164" i="27"/>
  <c r="AK164" i="27" s="1"/>
  <c r="AG137" i="27"/>
  <c r="AJ163" i="27"/>
  <c r="AN163" i="27" s="1"/>
  <c r="S172" i="27"/>
  <c r="AJ161" i="27"/>
  <c r="AN161" i="27" s="1"/>
  <c r="AJ123" i="27"/>
  <c r="AN123" i="27" s="1"/>
  <c r="AK141" i="27"/>
  <c r="AO141" i="27" s="1"/>
  <c r="AJ139" i="27"/>
  <c r="AN139" i="27" s="1"/>
  <c r="AK145" i="27"/>
  <c r="AO145" i="27" s="1"/>
  <c r="AJ160" i="27"/>
  <c r="AN160" i="27" s="1"/>
  <c r="AJ165" i="27"/>
  <c r="AN165" i="27" s="1"/>
  <c r="AJ148" i="27"/>
  <c r="AN148" i="27" s="1"/>
  <c r="J182" i="27"/>
  <c r="AJ153" i="27"/>
  <c r="AN153" i="27" s="1"/>
  <c r="AJ136" i="27"/>
  <c r="AN136" i="27" s="1"/>
  <c r="AR130" i="27"/>
  <c r="AS130" i="27" s="1"/>
  <c r="AO147" i="27"/>
  <c r="AG126" i="27"/>
  <c r="AN138" i="27"/>
  <c r="AG138" i="27"/>
  <c r="AN152" i="27"/>
  <c r="AG152" i="27"/>
  <c r="AN140" i="27"/>
  <c r="AG140" i="27"/>
  <c r="AK140" i="27" s="1"/>
  <c r="AN166" i="27"/>
  <c r="AG166" i="27"/>
  <c r="AK166" i="27" s="1"/>
  <c r="AN117" i="27"/>
  <c r="AG117" i="27"/>
  <c r="AK117" i="27" s="1"/>
  <c r="AG151" i="27"/>
  <c r="AK151" i="27" s="1"/>
  <c r="AN149" i="27"/>
  <c r="AG149" i="27"/>
  <c r="AK149" i="27" s="1"/>
  <c r="AG116" i="27"/>
  <c r="AG156" i="27"/>
  <c r="AF171" i="27"/>
  <c r="AJ171" i="27" s="1"/>
  <c r="AG132" i="27"/>
  <c r="AG144" i="27"/>
  <c r="AK144" i="27" s="1"/>
  <c r="AR157" i="27"/>
  <c r="AS157" i="27" s="1"/>
  <c r="AN120" i="27"/>
  <c r="AG120" i="27"/>
  <c r="AK120" i="27" s="1"/>
  <c r="AN157" i="27"/>
  <c r="AG157" i="27"/>
  <c r="AK157" i="27" s="1"/>
  <c r="AN159" i="27"/>
  <c r="AG159" i="27"/>
  <c r="AG170" i="27"/>
  <c r="AN170" i="27"/>
  <c r="AF169" i="27"/>
  <c r="AJ169" i="27" s="1"/>
  <c r="AR169" i="27"/>
  <c r="AS169" i="27" s="1"/>
  <c r="AN114" i="27"/>
  <c r="AG114" i="27"/>
  <c r="AK122" i="27"/>
  <c r="AK148" i="27"/>
  <c r="AJ156" i="27"/>
  <c r="AN156" i="27" s="1"/>
  <c r="AK115" i="27"/>
  <c r="AO115" i="27" s="1"/>
  <c r="AK137" i="27"/>
  <c r="AR150" i="27"/>
  <c r="AS150" i="27" s="1"/>
  <c r="AJ167" i="27"/>
  <c r="AN167" i="27" s="1"/>
  <c r="AK156" i="27"/>
  <c r="AR116" i="27"/>
  <c r="AS116" i="27" s="1"/>
  <c r="AJ155" i="27"/>
  <c r="AN155" i="27" s="1"/>
  <c r="AR151" i="27"/>
  <c r="AS151" i="27" s="1"/>
  <c r="AR126" i="27"/>
  <c r="AS126" i="27" s="1"/>
  <c r="AK146" i="27"/>
  <c r="AR164" i="27"/>
  <c r="AS164" i="27" s="1"/>
  <c r="AK163" i="27"/>
  <c r="AR148" i="27"/>
  <c r="AS148" i="27" s="1"/>
  <c r="AJ131" i="27"/>
  <c r="AN131" i="27" s="1"/>
  <c r="AR166" i="27"/>
  <c r="AS166" i="27" s="1"/>
  <c r="AJ144" i="27"/>
  <c r="AN144" i="27" s="1"/>
  <c r="AR156" i="27"/>
  <c r="AS156" i="27" s="1"/>
  <c r="AJ116" i="27"/>
  <c r="AJ164" i="27"/>
  <c r="AN164" i="27" s="1"/>
  <c r="AJ154" i="27"/>
  <c r="AN154" i="27" s="1"/>
  <c r="AJ158" i="27"/>
  <c r="AN158" i="27" s="1"/>
  <c r="AR161" i="27"/>
  <c r="AS161" i="27" s="1"/>
  <c r="AK142" i="27"/>
  <c r="AO142" i="27" s="1"/>
  <c r="AR146" i="27"/>
  <c r="AS146" i="27" s="1"/>
  <c r="AR140" i="27"/>
  <c r="AS140" i="27" s="1"/>
  <c r="AJ126" i="27"/>
  <c r="AN126" i="27" s="1"/>
  <c r="AJ132" i="27"/>
  <c r="AN132" i="27" s="1"/>
  <c r="AJ137" i="27"/>
  <c r="AN137" i="27" s="1"/>
  <c r="AR114" i="27"/>
  <c r="AJ151" i="27"/>
  <c r="AN151" i="27" s="1"/>
  <c r="AO143" i="27"/>
  <c r="AO150" i="27"/>
  <c r="BE101" i="23" l="1"/>
  <c r="AH103" i="23"/>
  <c r="AR103" i="23" s="1"/>
  <c r="AV103" i="23" s="1"/>
  <c r="AE106" i="23"/>
  <c r="AD105" i="23"/>
  <c r="AI105" i="23" s="1"/>
  <c r="AG105" i="23"/>
  <c r="AF105" i="23"/>
  <c r="AL104" i="23"/>
  <c r="BD104" i="23" s="1"/>
  <c r="AR102" i="23"/>
  <c r="AV102" i="23" s="1"/>
  <c r="BB102" i="23"/>
  <c r="BE102" i="23" s="1"/>
  <c r="AK104" i="23"/>
  <c r="AC104" i="23"/>
  <c r="AQ103" i="23"/>
  <c r="AY102" i="23"/>
  <c r="BC103" i="23"/>
  <c r="AZ101" i="23"/>
  <c r="S173" i="27"/>
  <c r="AF172" i="27"/>
  <c r="AJ172" i="27" s="1"/>
  <c r="AK159" i="27"/>
  <c r="AO159" i="27" s="1"/>
  <c r="D183" i="27"/>
  <c r="AK167" i="27"/>
  <c r="AO167" i="27" s="1"/>
  <c r="AK155" i="27"/>
  <c r="AO155" i="27" s="1"/>
  <c r="AK170" i="27"/>
  <c r="AO170" i="27" s="1"/>
  <c r="AR170" i="27"/>
  <c r="AS170" i="27" s="1"/>
  <c r="AK139" i="27"/>
  <c r="AO139" i="27" s="1"/>
  <c r="AG168" i="27"/>
  <c r="AK168" i="27" s="1"/>
  <c r="AO157" i="27"/>
  <c r="AO120" i="27"/>
  <c r="AN116" i="27"/>
  <c r="AO164" i="27"/>
  <c r="AK114" i="27"/>
  <c r="AO136" i="27"/>
  <c r="AO160" i="27"/>
  <c r="AO161" i="27"/>
  <c r="AO123" i="27"/>
  <c r="AO154" i="27"/>
  <c r="AO163" i="27"/>
  <c r="AO153" i="27"/>
  <c r="AJ168" i="27"/>
  <c r="H180" i="27"/>
  <c r="AS114" i="27"/>
  <c r="H181" i="27"/>
  <c r="AN181" i="27"/>
  <c r="AN169" i="27"/>
  <c r="AG169" i="27"/>
  <c r="AG171" i="27"/>
  <c r="AN171" i="27"/>
  <c r="AK152" i="27"/>
  <c r="AO152" i="27" s="1"/>
  <c r="AK138" i="27"/>
  <c r="AO138" i="27" s="1"/>
  <c r="O182" i="27"/>
  <c r="AK158" i="27"/>
  <c r="AO158" i="27" s="1"/>
  <c r="AO144" i="27"/>
  <c r="AO156" i="27"/>
  <c r="AO149" i="27"/>
  <c r="AO151" i="27"/>
  <c r="AO117" i="27"/>
  <c r="AO166" i="27"/>
  <c r="AO140" i="27"/>
  <c r="AK132" i="27"/>
  <c r="AO132" i="27" s="1"/>
  <c r="AK126" i="27"/>
  <c r="AO126" i="27" s="1"/>
  <c r="AK116" i="27"/>
  <c r="AO116" i="27" s="1"/>
  <c r="AO137" i="27"/>
  <c r="AO146" i="27"/>
  <c r="AO130" i="27"/>
  <c r="AO122" i="27"/>
  <c r="AO148" i="27"/>
  <c r="U172" i="27"/>
  <c r="AK165" i="27"/>
  <c r="AO165" i="27" s="1"/>
  <c r="AK131" i="27"/>
  <c r="AO131" i="27" s="1"/>
  <c r="AR168" i="27"/>
  <c r="AS168" i="27" s="1"/>
  <c r="AH104" i="23" l="1"/>
  <c r="BB104" i="23" s="1"/>
  <c r="BE104" i="23" s="1"/>
  <c r="BB103" i="23"/>
  <c r="BE103" i="23" s="1"/>
  <c r="AQ104" i="23"/>
  <c r="AZ103" i="23"/>
  <c r="AK105" i="23"/>
  <c r="BC105" i="23" s="1"/>
  <c r="AC105" i="23"/>
  <c r="AL105" i="23"/>
  <c r="BD105" i="23" s="1"/>
  <c r="BC104" i="23"/>
  <c r="AU103" i="23"/>
  <c r="AY103" i="23" s="1"/>
  <c r="AZ102" i="23"/>
  <c r="AD106" i="23"/>
  <c r="AI106" i="23" s="1"/>
  <c r="AG106" i="23"/>
  <c r="AE107" i="23"/>
  <c r="AF106" i="23"/>
  <c r="E183" i="27"/>
  <c r="E194" i="27" s="1"/>
  <c r="E195" i="27" s="1"/>
  <c r="U173" i="27"/>
  <c r="AJ173" i="27"/>
  <c r="N185" i="27"/>
  <c r="L185" i="27"/>
  <c r="O185" i="27"/>
  <c r="AN168" i="27"/>
  <c r="AG172" i="27"/>
  <c r="E196" i="27"/>
  <c r="D186" i="27"/>
  <c r="AK171" i="27"/>
  <c r="AO171" i="27" s="1"/>
  <c r="AR171" i="27"/>
  <c r="AS171" i="27" s="1"/>
  <c r="D194" i="27"/>
  <c r="AK169" i="27"/>
  <c r="AO169" i="27" s="1"/>
  <c r="J185" i="27"/>
  <c r="AO168" i="27"/>
  <c r="AO114" i="27"/>
  <c r="AR104" i="23" l="1"/>
  <c r="AV104" i="23" s="1"/>
  <c r="AZ104" i="23" s="1"/>
  <c r="H183" i="27"/>
  <c r="H187" i="27" s="1"/>
  <c r="AK106" i="23"/>
  <c r="AC106" i="23"/>
  <c r="AG107" i="23"/>
  <c r="AD107" i="23"/>
  <c r="AI107" i="23" s="1"/>
  <c r="AF107" i="23"/>
  <c r="AE108" i="23"/>
  <c r="AQ105" i="23"/>
  <c r="AU105" i="23" s="1"/>
  <c r="AL106" i="23"/>
  <c r="BD106" i="23" s="1"/>
  <c r="AH105" i="23"/>
  <c r="AU104" i="23"/>
  <c r="AY104" i="23" s="1"/>
  <c r="AR172" i="27"/>
  <c r="H182" i="27" s="1"/>
  <c r="D195" i="27"/>
  <c r="D196" i="27"/>
  <c r="AK173" i="27"/>
  <c r="AO172" i="27"/>
  <c r="AO181" i="27"/>
  <c r="AN172" i="27"/>
  <c r="D185" i="27" s="1"/>
  <c r="AR105" i="23" l="1"/>
  <c r="BB105" i="23"/>
  <c r="AY105" i="23"/>
  <c r="AK107" i="23"/>
  <c r="AC107" i="23"/>
  <c r="AQ106" i="23"/>
  <c r="AU106" i="23" s="1"/>
  <c r="AH106" i="23"/>
  <c r="AL107" i="23"/>
  <c r="BD107" i="23" s="1"/>
  <c r="BC106" i="23"/>
  <c r="AG108" i="23"/>
  <c r="AE109" i="23"/>
  <c r="AF108" i="23"/>
  <c r="AD108" i="23"/>
  <c r="AI108" i="23" s="1"/>
  <c r="E186" i="27"/>
  <c r="H186" i="27" s="1"/>
  <c r="AR181" i="27"/>
  <c r="O187" i="27"/>
  <c r="J187" i="27" s="1"/>
  <c r="AN173" i="27"/>
  <c r="AO173" i="27"/>
  <c r="BE105" i="23" l="1"/>
  <c r="AK108" i="23"/>
  <c r="AC108" i="23"/>
  <c r="AD109" i="23"/>
  <c r="AI109" i="23" s="1"/>
  <c r="AE110" i="23"/>
  <c r="AG109" i="23"/>
  <c r="AF109" i="23"/>
  <c r="AQ107" i="23"/>
  <c r="AL108" i="23"/>
  <c r="BD108" i="23" s="1"/>
  <c r="AR106" i="23"/>
  <c r="BB106" i="23"/>
  <c r="BE106" i="23" s="1"/>
  <c r="AH107" i="23"/>
  <c r="AY106" i="23"/>
  <c r="BC107" i="23"/>
  <c r="AV105" i="23"/>
  <c r="AZ105" i="23" s="1"/>
  <c r="E185" i="27"/>
  <c r="H185" i="27" s="1"/>
  <c r="H188" i="27" s="1"/>
  <c r="H189" i="27" s="1"/>
  <c r="AR107" i="23" l="1"/>
  <c r="BB107" i="23"/>
  <c r="BE107" i="23" s="1"/>
  <c r="AK109" i="23"/>
  <c r="BC109" i="23" s="1"/>
  <c r="AC109" i="23"/>
  <c r="AQ108" i="23"/>
  <c r="AH108" i="23"/>
  <c r="AL109" i="23"/>
  <c r="BD109" i="23" s="1"/>
  <c r="AV106" i="23"/>
  <c r="AZ106" i="23" s="1"/>
  <c r="AU107" i="23"/>
  <c r="AY107" i="23" s="1"/>
  <c r="AD110" i="23"/>
  <c r="AI110" i="23" s="1"/>
  <c r="AE111" i="23"/>
  <c r="AF110" i="23"/>
  <c r="AG110" i="23"/>
  <c r="BC108" i="23"/>
  <c r="F185" i="2"/>
  <c r="F186" i="2"/>
  <c r="AL110" i="23" l="1"/>
  <c r="BD110" i="23" s="1"/>
  <c r="AU108" i="23"/>
  <c r="AY108" i="23" s="1"/>
  <c r="AR108" i="23"/>
  <c r="BB108" i="23"/>
  <c r="BE108" i="23" s="1"/>
  <c r="AQ109" i="23"/>
  <c r="AU109" i="23" s="1"/>
  <c r="AK110" i="23"/>
  <c r="AC110" i="23"/>
  <c r="AD111" i="23"/>
  <c r="AI111" i="23" s="1"/>
  <c r="AF111" i="23"/>
  <c r="AE112" i="23"/>
  <c r="AG111" i="23"/>
  <c r="AH109" i="23"/>
  <c r="AV107" i="23"/>
  <c r="AZ107" i="23" s="1"/>
  <c r="E80" i="14"/>
  <c r="AH110" i="23" l="1"/>
  <c r="AR110" i="23" s="1"/>
  <c r="AF112" i="23"/>
  <c r="AD112" i="23"/>
  <c r="AI112" i="23" s="1"/>
  <c r="AG112" i="23"/>
  <c r="AE113" i="23"/>
  <c r="AE114" i="23" s="1"/>
  <c r="AR109" i="23"/>
  <c r="BB109" i="23"/>
  <c r="BE109" i="23" s="1"/>
  <c r="AK111" i="23"/>
  <c r="BC111" i="23" s="1"/>
  <c r="AC111" i="23"/>
  <c r="BC110" i="23"/>
  <c r="AL111" i="23"/>
  <c r="BD111" i="23" s="1"/>
  <c r="AQ110" i="23"/>
  <c r="AU110" i="23" s="1"/>
  <c r="AY109" i="23"/>
  <c r="AV108" i="23"/>
  <c r="AZ108" i="23" s="1"/>
  <c r="N156" i="23"/>
  <c r="P156" i="23"/>
  <c r="P171" i="23"/>
  <c r="N171" i="23"/>
  <c r="N164" i="23"/>
  <c r="P164" i="23"/>
  <c r="P144" i="23"/>
  <c r="N144" i="23"/>
  <c r="P166" i="23"/>
  <c r="N166" i="23"/>
  <c r="P150" i="23"/>
  <c r="N150" i="23"/>
  <c r="N138" i="23"/>
  <c r="P138" i="23"/>
  <c r="P162" i="23"/>
  <c r="N162" i="23"/>
  <c r="N126" i="23"/>
  <c r="P126" i="23"/>
  <c r="P158" i="23"/>
  <c r="N158" i="23"/>
  <c r="N146" i="23"/>
  <c r="P146" i="23"/>
  <c r="N130" i="23"/>
  <c r="P130" i="23"/>
  <c r="N152" i="23"/>
  <c r="P152" i="23"/>
  <c r="P136" i="23"/>
  <c r="N136" i="23"/>
  <c r="N155" i="23"/>
  <c r="P155" i="23"/>
  <c r="N121" i="23"/>
  <c r="P121" i="23"/>
  <c r="N159" i="23"/>
  <c r="P159" i="23"/>
  <c r="N140" i="23"/>
  <c r="P140" i="23"/>
  <c r="N145" i="23"/>
  <c r="P145" i="23"/>
  <c r="P170" i="23"/>
  <c r="N170" i="23"/>
  <c r="P168" i="23"/>
  <c r="N168" i="23"/>
  <c r="N116" i="23"/>
  <c r="P116" i="23"/>
  <c r="N161" i="23"/>
  <c r="P161" i="23"/>
  <c r="P141" i="23"/>
  <c r="N141" i="23"/>
  <c r="P123" i="23"/>
  <c r="N123" i="23"/>
  <c r="P157" i="23"/>
  <c r="N157" i="23"/>
  <c r="P143" i="23"/>
  <c r="N143" i="23"/>
  <c r="P149" i="23"/>
  <c r="N149" i="23"/>
  <c r="P139" i="23"/>
  <c r="N139" i="23"/>
  <c r="P142" i="23"/>
  <c r="N142" i="23"/>
  <c r="N148" i="23"/>
  <c r="P148" i="23"/>
  <c r="P163" i="23"/>
  <c r="N163" i="23"/>
  <c r="P154" i="23"/>
  <c r="N154" i="23"/>
  <c r="P160" i="23"/>
  <c r="N160" i="23"/>
  <c r="P153" i="23"/>
  <c r="N153" i="23"/>
  <c r="N169" i="23"/>
  <c r="P169" i="23"/>
  <c r="N147" i="23"/>
  <c r="P147" i="23"/>
  <c r="P151" i="23"/>
  <c r="N151" i="23"/>
  <c r="N115" i="23"/>
  <c r="P115" i="23"/>
  <c r="P131" i="23"/>
  <c r="N131" i="23"/>
  <c r="P137" i="23"/>
  <c r="N137" i="23"/>
  <c r="P167" i="23"/>
  <c r="N167" i="23"/>
  <c r="N165" i="23"/>
  <c r="P165" i="23"/>
  <c r="P120" i="23"/>
  <c r="N120" i="23"/>
  <c r="P122" i="23"/>
  <c r="N122" i="23"/>
  <c r="P132" i="23"/>
  <c r="N132" i="23"/>
  <c r="P117" i="23"/>
  <c r="N117" i="23"/>
  <c r="P114" i="23"/>
  <c r="N114" i="23"/>
  <c r="AE115" i="23" l="1"/>
  <c r="AE116" i="23" s="1"/>
  <c r="AE117" i="23" s="1"/>
  <c r="AE118" i="23" s="1"/>
  <c r="AE119" i="23" s="1"/>
  <c r="AE120" i="23" s="1"/>
  <c r="AE121" i="23" s="1"/>
  <c r="AE122" i="23" s="1"/>
  <c r="AE123" i="23" s="1"/>
  <c r="AE124" i="23" s="1"/>
  <c r="AE125" i="23" s="1"/>
  <c r="AE126" i="23" s="1"/>
  <c r="AE127" i="23" s="1"/>
  <c r="AE128" i="23" s="1"/>
  <c r="AE129" i="23" s="1"/>
  <c r="AE130" i="23" s="1"/>
  <c r="AE131" i="23" s="1"/>
  <c r="AE132" i="23" s="1"/>
  <c r="AE133" i="23" s="1"/>
  <c r="AE134" i="23" s="1"/>
  <c r="AE135" i="23" s="1"/>
  <c r="AE136" i="23" s="1"/>
  <c r="AE137" i="23" s="1"/>
  <c r="AE138" i="23" s="1"/>
  <c r="AE139" i="23" s="1"/>
  <c r="AE140" i="23" s="1"/>
  <c r="AE141" i="23" s="1"/>
  <c r="AE142" i="23" s="1"/>
  <c r="AE143" i="23" s="1"/>
  <c r="AE144" i="23" s="1"/>
  <c r="AE145" i="23" s="1"/>
  <c r="AE146" i="23" s="1"/>
  <c r="AE147" i="23" s="1"/>
  <c r="AE148" i="23" s="1"/>
  <c r="AE149" i="23" s="1"/>
  <c r="AE150" i="23" s="1"/>
  <c r="AE151" i="23" s="1"/>
  <c r="AE152" i="23" s="1"/>
  <c r="AE153" i="23" s="1"/>
  <c r="AE154" i="23" s="1"/>
  <c r="AE155" i="23" s="1"/>
  <c r="AE156" i="23" s="1"/>
  <c r="AE157" i="23" s="1"/>
  <c r="AE158" i="23" s="1"/>
  <c r="AE159" i="23" s="1"/>
  <c r="AE160" i="23" s="1"/>
  <c r="AE161" i="23" s="1"/>
  <c r="AE162" i="23" s="1"/>
  <c r="AE163" i="23" s="1"/>
  <c r="AE164" i="23" s="1"/>
  <c r="AE165" i="23" s="1"/>
  <c r="AE166" i="23" s="1"/>
  <c r="AE167" i="23" s="1"/>
  <c r="AE168" i="23" s="1"/>
  <c r="AE169" i="23" s="1"/>
  <c r="AE170" i="23" s="1"/>
  <c r="AE171" i="23" s="1"/>
  <c r="AD114" i="23"/>
  <c r="AI114" i="23" s="1"/>
  <c r="BB177" i="23"/>
  <c r="BA110" i="23"/>
  <c r="BE110" i="23"/>
  <c r="W165" i="23"/>
  <c r="AB165" i="23" s="1"/>
  <c r="Q165" i="23"/>
  <c r="R165" i="23" s="1"/>
  <c r="K165" i="23" s="1"/>
  <c r="W115" i="23"/>
  <c r="AB115" i="23" s="1"/>
  <c r="Q115" i="23"/>
  <c r="R115" i="23" s="1"/>
  <c r="K115" i="23" s="1"/>
  <c r="W147" i="23"/>
  <c r="AB147" i="23" s="1"/>
  <c r="Q147" i="23"/>
  <c r="R147" i="23" s="1"/>
  <c r="K147" i="23" s="1"/>
  <c r="W148" i="23"/>
  <c r="AB148" i="23" s="1"/>
  <c r="Q148" i="23"/>
  <c r="R148" i="23" s="1"/>
  <c r="K148" i="23" s="1"/>
  <c r="W161" i="23"/>
  <c r="Q161" i="23"/>
  <c r="R161" i="23" s="1"/>
  <c r="K161" i="23" s="1"/>
  <c r="Q145" i="23"/>
  <c r="R145" i="23" s="1"/>
  <c r="K145" i="23" s="1"/>
  <c r="W145" i="23"/>
  <c r="W159" i="23"/>
  <c r="Q159" i="23"/>
  <c r="R159" i="23" s="1"/>
  <c r="K159" i="23" s="1"/>
  <c r="W152" i="23"/>
  <c r="Q152" i="23"/>
  <c r="R152" i="23" s="1"/>
  <c r="K152" i="23" s="1"/>
  <c r="W126" i="23"/>
  <c r="Q126" i="23"/>
  <c r="R126" i="23" s="1"/>
  <c r="K126" i="23" s="1"/>
  <c r="W164" i="23"/>
  <c r="Q164" i="23"/>
  <c r="R164" i="23" s="1"/>
  <c r="K164" i="23" s="1"/>
  <c r="W156" i="23"/>
  <c r="Q156" i="23"/>
  <c r="R156" i="23" s="1"/>
  <c r="K156" i="23" s="1"/>
  <c r="AA156" i="23" s="1"/>
  <c r="W132" i="23"/>
  <c r="AB132" i="23" s="1"/>
  <c r="Q132" i="23"/>
  <c r="R132" i="23" s="1"/>
  <c r="K132" i="23" s="1"/>
  <c r="W120" i="23"/>
  <c r="AB120" i="23" s="1"/>
  <c r="Q120" i="23"/>
  <c r="R120" i="23" s="1"/>
  <c r="K120" i="23" s="1"/>
  <c r="W167" i="23"/>
  <c r="AB167" i="23" s="1"/>
  <c r="Q167" i="23"/>
  <c r="R167" i="23" s="1"/>
  <c r="K167" i="23" s="1"/>
  <c r="W131" i="23"/>
  <c r="AB131" i="23" s="1"/>
  <c r="Q131" i="23"/>
  <c r="R131" i="23" s="1"/>
  <c r="K131" i="23" s="1"/>
  <c r="W151" i="23"/>
  <c r="U151" i="23" s="1"/>
  <c r="Q151" i="23"/>
  <c r="R151" i="23" s="1"/>
  <c r="K151" i="23" s="1"/>
  <c r="Q160" i="23"/>
  <c r="R160" i="23" s="1"/>
  <c r="K160" i="23" s="1"/>
  <c r="W160" i="23"/>
  <c r="AB160" i="23" s="1"/>
  <c r="W163" i="23"/>
  <c r="AB163" i="23" s="1"/>
  <c r="Q163" i="23"/>
  <c r="R163" i="23" s="1"/>
  <c r="K163" i="23" s="1"/>
  <c r="W142" i="23"/>
  <c r="AB142" i="23" s="1"/>
  <c r="Q142" i="23"/>
  <c r="R142" i="23" s="1"/>
  <c r="K142" i="23" s="1"/>
  <c r="W149" i="23"/>
  <c r="AB149" i="23" s="1"/>
  <c r="Q149" i="23"/>
  <c r="R149" i="23" s="1"/>
  <c r="K149" i="23" s="1"/>
  <c r="W157" i="23"/>
  <c r="AB157" i="23" s="1"/>
  <c r="Q157" i="23"/>
  <c r="R157" i="23" s="1"/>
  <c r="K157" i="23" s="1"/>
  <c r="Q141" i="23"/>
  <c r="R141" i="23" s="1"/>
  <c r="K141" i="23" s="1"/>
  <c r="W141" i="23"/>
  <c r="AB141" i="23" s="1"/>
  <c r="W170" i="23"/>
  <c r="U170" i="23" s="1"/>
  <c r="Q170" i="23"/>
  <c r="R170" i="23" s="1"/>
  <c r="K170" i="23" s="1"/>
  <c r="W136" i="23"/>
  <c r="AB136" i="23" s="1"/>
  <c r="Q136" i="23"/>
  <c r="R136" i="23" s="1"/>
  <c r="K136" i="23" s="1"/>
  <c r="W158" i="23"/>
  <c r="AB158" i="23" s="1"/>
  <c r="Q158" i="23"/>
  <c r="R158" i="23" s="1"/>
  <c r="K158" i="23" s="1"/>
  <c r="W162" i="23"/>
  <c r="U162" i="23" s="1"/>
  <c r="Q162" i="23"/>
  <c r="R162" i="23" s="1"/>
  <c r="K162" i="23" s="1"/>
  <c r="W150" i="23"/>
  <c r="AB150" i="23" s="1"/>
  <c r="Q150" i="23"/>
  <c r="R150" i="23" s="1"/>
  <c r="K150" i="23" s="1"/>
  <c r="W144" i="23"/>
  <c r="U144" i="23" s="1"/>
  <c r="Q144" i="23"/>
  <c r="R144" i="23" s="1"/>
  <c r="K144" i="23" s="1"/>
  <c r="W171" i="23"/>
  <c r="AB171" i="23" s="1"/>
  <c r="Q171" i="23"/>
  <c r="R171" i="23" s="1"/>
  <c r="K171" i="23" s="1"/>
  <c r="W114" i="23"/>
  <c r="Q114" i="23"/>
  <c r="W169" i="23"/>
  <c r="Q169" i="23"/>
  <c r="R169" i="23" s="1"/>
  <c r="K169" i="23" s="1"/>
  <c r="W116" i="23"/>
  <c r="Q116" i="23"/>
  <c r="R116" i="23" s="1"/>
  <c r="K116" i="23" s="1"/>
  <c r="W140" i="23"/>
  <c r="Q140" i="23"/>
  <c r="R140" i="23" s="1"/>
  <c r="K140" i="23" s="1"/>
  <c r="W121" i="23"/>
  <c r="Q121" i="23"/>
  <c r="R121" i="23" s="1"/>
  <c r="K121" i="23" s="1"/>
  <c r="W130" i="23"/>
  <c r="Q130" i="23"/>
  <c r="R130" i="23" s="1"/>
  <c r="K130" i="23" s="1"/>
  <c r="W117" i="23"/>
  <c r="Q117" i="23"/>
  <c r="R117" i="23" s="1"/>
  <c r="K117" i="23" s="1"/>
  <c r="W122" i="23"/>
  <c r="Q122" i="23"/>
  <c r="R122" i="23" s="1"/>
  <c r="K122" i="23" s="1"/>
  <c r="W137" i="23"/>
  <c r="Q137" i="23"/>
  <c r="R137" i="23" s="1"/>
  <c r="K137" i="23" s="1"/>
  <c r="W153" i="23"/>
  <c r="Q153" i="23"/>
  <c r="R153" i="23" s="1"/>
  <c r="K153" i="23" s="1"/>
  <c r="W154" i="23"/>
  <c r="Q154" i="23"/>
  <c r="R154" i="23" s="1"/>
  <c r="K154" i="23" s="1"/>
  <c r="W139" i="23"/>
  <c r="Q139" i="23"/>
  <c r="R139" i="23" s="1"/>
  <c r="K139" i="23" s="1"/>
  <c r="W143" i="23"/>
  <c r="Q143" i="23"/>
  <c r="R143" i="23" s="1"/>
  <c r="K143" i="23" s="1"/>
  <c r="W123" i="23"/>
  <c r="Q123" i="23"/>
  <c r="R123" i="23" s="1"/>
  <c r="K123" i="23" s="1"/>
  <c r="Q168" i="23"/>
  <c r="R168" i="23" s="1"/>
  <c r="K168" i="23" s="1"/>
  <c r="W168" i="23"/>
  <c r="W166" i="23"/>
  <c r="AB166" i="23" s="1"/>
  <c r="Q166" i="23"/>
  <c r="R166" i="23" s="1"/>
  <c r="K166" i="23" s="1"/>
  <c r="W155" i="23"/>
  <c r="Q155" i="23"/>
  <c r="R155" i="23" s="1"/>
  <c r="K155" i="23" s="1"/>
  <c r="W146" i="23"/>
  <c r="Q146" i="23"/>
  <c r="R146" i="23" s="1"/>
  <c r="K146" i="23" s="1"/>
  <c r="W138" i="23"/>
  <c r="Q138" i="23"/>
  <c r="R138" i="23" s="1"/>
  <c r="K138" i="23" s="1"/>
  <c r="AA143" i="23"/>
  <c r="AA163" i="23"/>
  <c r="AA144" i="23"/>
  <c r="AA158" i="23"/>
  <c r="AA169" i="23"/>
  <c r="AA162" i="23"/>
  <c r="AY110" i="23"/>
  <c r="AD113" i="23"/>
  <c r="AI113" i="23" s="1"/>
  <c r="AG113" i="23"/>
  <c r="AF113" i="23"/>
  <c r="AA152" i="23"/>
  <c r="AA171" i="23"/>
  <c r="AL112" i="23"/>
  <c r="BD112" i="23" s="1"/>
  <c r="AA151" i="23"/>
  <c r="AA126" i="23"/>
  <c r="AA168" i="23"/>
  <c r="AA170" i="23"/>
  <c r="AQ111" i="23"/>
  <c r="AU111" i="23" s="1"/>
  <c r="AV110" i="23"/>
  <c r="AZ110" i="23" s="1"/>
  <c r="AA123" i="23"/>
  <c r="AA153" i="23"/>
  <c r="AH111" i="23"/>
  <c r="BA111" i="23" s="1"/>
  <c r="AV109" i="23"/>
  <c r="AZ109" i="23" s="1"/>
  <c r="AK112" i="23"/>
  <c r="AC112" i="23"/>
  <c r="U171" i="23" l="1"/>
  <c r="AO171" i="23" s="1"/>
  <c r="AS171" i="23" s="1"/>
  <c r="AW171" i="23" s="1"/>
  <c r="AB170" i="23"/>
  <c r="U158" i="23"/>
  <c r="AO158" i="23" s="1"/>
  <c r="AS158" i="23" s="1"/>
  <c r="AW158" i="23" s="1"/>
  <c r="R114" i="23"/>
  <c r="K114" i="23" s="1"/>
  <c r="K180" i="23" s="1"/>
  <c r="Q172" i="23"/>
  <c r="AB144" i="23"/>
  <c r="X144" i="23" s="1"/>
  <c r="AB151" i="23"/>
  <c r="X151" i="23" s="1"/>
  <c r="AP151" i="23" s="1"/>
  <c r="AT151" i="23" s="1"/>
  <c r="AX151" i="23" s="1"/>
  <c r="W184" i="23"/>
  <c r="AB114" i="23"/>
  <c r="AG114" i="23" s="1"/>
  <c r="U163" i="23"/>
  <c r="AO163" i="23" s="1"/>
  <c r="AS163" i="23" s="1"/>
  <c r="AW163" i="23" s="1"/>
  <c r="AB162" i="23"/>
  <c r="X162" i="23" s="1"/>
  <c r="X170" i="23"/>
  <c r="AP170" i="23" s="1"/>
  <c r="AT170" i="23" s="1"/>
  <c r="AX170" i="23" s="1"/>
  <c r="W172" i="23"/>
  <c r="X171" i="23"/>
  <c r="AP171" i="23" s="1"/>
  <c r="AT171" i="23" s="1"/>
  <c r="AX171" i="23" s="1"/>
  <c r="AH112" i="23"/>
  <c r="AR112" i="23" s="1"/>
  <c r="AV112" i="23" s="1"/>
  <c r="U147" i="23"/>
  <c r="AA147" i="23"/>
  <c r="X147" i="23" s="1"/>
  <c r="U160" i="23"/>
  <c r="AA160" i="23"/>
  <c r="X160" i="23" s="1"/>
  <c r="U148" i="23"/>
  <c r="AA148" i="23"/>
  <c r="X148" i="23" s="1"/>
  <c r="U122" i="23"/>
  <c r="AA122" i="23"/>
  <c r="U126" i="23"/>
  <c r="AB126" i="23"/>
  <c r="X126" i="23" s="1"/>
  <c r="AB139" i="23"/>
  <c r="AB122" i="23"/>
  <c r="AB130" i="23"/>
  <c r="U169" i="23"/>
  <c r="AB169" i="23"/>
  <c r="X169" i="23" s="1"/>
  <c r="AB155" i="23"/>
  <c r="AB161" i="23"/>
  <c r="AL113" i="23"/>
  <c r="BD113" i="23" s="1"/>
  <c r="X163" i="23"/>
  <c r="U155" i="23"/>
  <c r="AA155" i="23"/>
  <c r="U154" i="23"/>
  <c r="AA154" i="23"/>
  <c r="U137" i="23"/>
  <c r="AA137" i="23"/>
  <c r="U140" i="23"/>
  <c r="AA140" i="23"/>
  <c r="U149" i="23"/>
  <c r="AA149" i="23"/>
  <c r="X149" i="23" s="1"/>
  <c r="AA139" i="23"/>
  <c r="X139" i="23" s="1"/>
  <c r="U132" i="23"/>
  <c r="AA132" i="23"/>
  <c r="X132" i="23" s="1"/>
  <c r="U164" i="23"/>
  <c r="AA164" i="23"/>
  <c r="U136" i="23"/>
  <c r="AA136" i="23"/>
  <c r="X136" i="23" s="1"/>
  <c r="U157" i="23"/>
  <c r="AA157" i="23"/>
  <c r="X157" i="23" s="1"/>
  <c r="U161" i="23"/>
  <c r="AA161" i="23"/>
  <c r="U146" i="23"/>
  <c r="AA146" i="23"/>
  <c r="U156" i="23"/>
  <c r="AB156" i="23"/>
  <c r="X156" i="23" s="1"/>
  <c r="U168" i="23"/>
  <c r="AB168" i="23"/>
  <c r="X168" i="23" s="1"/>
  <c r="AB154" i="23"/>
  <c r="AB117" i="23"/>
  <c r="AB121" i="23"/>
  <c r="AQ112" i="23"/>
  <c r="AR111" i="23"/>
  <c r="BB111" i="23"/>
  <c r="BE111" i="23" s="1"/>
  <c r="AO170" i="23"/>
  <c r="AS170" i="23" s="1"/>
  <c r="AW170" i="23" s="1"/>
  <c r="AO151" i="23"/>
  <c r="AS151" i="23" s="1"/>
  <c r="AW151" i="23" s="1"/>
  <c r="AO162" i="23"/>
  <c r="AS162" i="23" s="1"/>
  <c r="AW162" i="23" s="1"/>
  <c r="U166" i="23"/>
  <c r="AA166" i="23"/>
  <c r="X166" i="23" s="1"/>
  <c r="U120" i="23"/>
  <c r="AA120" i="23"/>
  <c r="U117" i="23"/>
  <c r="AA117" i="23"/>
  <c r="U150" i="23"/>
  <c r="AA150" i="23"/>
  <c r="X150" i="23" s="1"/>
  <c r="U116" i="23"/>
  <c r="AA116" i="23"/>
  <c r="U165" i="23"/>
  <c r="AA165" i="23"/>
  <c r="X165" i="23" s="1"/>
  <c r="U167" i="23"/>
  <c r="AA167" i="23"/>
  <c r="X167" i="23" s="1"/>
  <c r="U131" i="23"/>
  <c r="AA131" i="23"/>
  <c r="X131" i="23" s="1"/>
  <c r="AB164" i="23"/>
  <c r="U123" i="23"/>
  <c r="AB123" i="23"/>
  <c r="X123" i="23" s="1"/>
  <c r="U153" i="23"/>
  <c r="AB153" i="23"/>
  <c r="X153" i="23" s="1"/>
  <c r="AB140" i="23"/>
  <c r="AB146" i="23"/>
  <c r="AB159" i="23"/>
  <c r="U114" i="23"/>
  <c r="AA114" i="23"/>
  <c r="X158" i="23"/>
  <c r="U121" i="23"/>
  <c r="AA121" i="23"/>
  <c r="U141" i="23"/>
  <c r="AA141" i="23"/>
  <c r="X141" i="23" s="1"/>
  <c r="U142" i="23"/>
  <c r="AA142" i="23"/>
  <c r="X142" i="23" s="1"/>
  <c r="U159" i="23"/>
  <c r="AA159" i="23"/>
  <c r="U145" i="23"/>
  <c r="AA145" i="23"/>
  <c r="U138" i="23"/>
  <c r="AA138" i="23"/>
  <c r="AA130" i="23"/>
  <c r="AB138" i="23"/>
  <c r="U143" i="23"/>
  <c r="AB143" i="23"/>
  <c r="X143" i="23" s="1"/>
  <c r="AB137" i="23"/>
  <c r="AB116" i="23"/>
  <c r="U152" i="23"/>
  <c r="AB152" i="23"/>
  <c r="X152" i="23" s="1"/>
  <c r="BC112" i="23"/>
  <c r="AB145" i="23"/>
  <c r="AY111" i="23"/>
  <c r="AC113" i="23"/>
  <c r="AK113" i="23"/>
  <c r="AO144" i="23"/>
  <c r="AS144" i="23" s="1"/>
  <c r="AW144" i="23" s="1"/>
  <c r="U130" i="23"/>
  <c r="U139" i="23"/>
  <c r="K172" i="23"/>
  <c r="V172" i="23"/>
  <c r="V183" i="23" s="1"/>
  <c r="V206" i="23" s="1"/>
  <c r="K181" i="23"/>
  <c r="BA112" i="23" l="1"/>
  <c r="BB112" i="23"/>
  <c r="BE112" i="23" s="1"/>
  <c r="X155" i="23"/>
  <c r="AP155" i="23" s="1"/>
  <c r="AT155" i="23" s="1"/>
  <c r="AX155" i="23" s="1"/>
  <c r="U184" i="23"/>
  <c r="V202" i="23"/>
  <c r="V211" i="23" s="1"/>
  <c r="AB184" i="23"/>
  <c r="AA184" i="23"/>
  <c r="W183" i="23"/>
  <c r="W206" i="23" s="1"/>
  <c r="V223" i="23" s="1"/>
  <c r="AH113" i="23"/>
  <c r="BB113" i="23" s="1"/>
  <c r="BE113" i="23" s="1"/>
  <c r="V218" i="23"/>
  <c r="W203" i="23"/>
  <c r="AB172" i="23"/>
  <c r="X121" i="23"/>
  <c r="AP121" i="23" s="1"/>
  <c r="AT121" i="23" s="1"/>
  <c r="AL114" i="23"/>
  <c r="X130" i="23"/>
  <c r="AP130" i="23" s="1"/>
  <c r="AT130" i="23" s="1"/>
  <c r="AV111" i="23"/>
  <c r="AZ111" i="23" s="1"/>
  <c r="X161" i="23"/>
  <c r="AP161" i="23" s="1"/>
  <c r="AT161" i="23" s="1"/>
  <c r="AX161" i="23" s="1"/>
  <c r="AP123" i="23"/>
  <c r="AT123" i="23" s="1"/>
  <c r="AP156" i="23"/>
  <c r="AT156" i="23" s="1"/>
  <c r="AX156" i="23" s="1"/>
  <c r="AP143" i="23"/>
  <c r="AT143" i="23" s="1"/>
  <c r="AX143" i="23" s="1"/>
  <c r="AP126" i="23"/>
  <c r="AT126" i="23" s="1"/>
  <c r="AP153" i="23"/>
  <c r="AT153" i="23" s="1"/>
  <c r="AX153" i="23" s="1"/>
  <c r="AQ113" i="23"/>
  <c r="AU113" i="23" s="1"/>
  <c r="AO143" i="23"/>
  <c r="AS143" i="23" s="1"/>
  <c r="AW143" i="23" s="1"/>
  <c r="X145" i="23"/>
  <c r="AO142" i="23"/>
  <c r="AS142" i="23" s="1"/>
  <c r="AW142" i="23" s="1"/>
  <c r="AP158" i="23"/>
  <c r="AT158" i="23" s="1"/>
  <c r="AX158" i="23" s="1"/>
  <c r="AO116" i="23"/>
  <c r="AS116" i="23" s="1"/>
  <c r="X117" i="23"/>
  <c r="U115" i="23"/>
  <c r="AA115" i="23"/>
  <c r="AA172" i="23" s="1"/>
  <c r="BC113" i="23"/>
  <c r="AO152" i="23"/>
  <c r="AS152" i="23" s="1"/>
  <c r="AW152" i="23" s="1"/>
  <c r="X138" i="23"/>
  <c r="AO159" i="23"/>
  <c r="AS159" i="23" s="1"/>
  <c r="AW159" i="23" s="1"/>
  <c r="AP141" i="23"/>
  <c r="AT141" i="23" s="1"/>
  <c r="AX141" i="23" s="1"/>
  <c r="AP169" i="23"/>
  <c r="AT169" i="23" s="1"/>
  <c r="AX169" i="23" s="1"/>
  <c r="AP131" i="23"/>
  <c r="AT131" i="23" s="1"/>
  <c r="AO165" i="23"/>
  <c r="AS165" i="23" s="1"/>
  <c r="AW165" i="23" s="1"/>
  <c r="AP150" i="23"/>
  <c r="AT150" i="23" s="1"/>
  <c r="AX150" i="23" s="1"/>
  <c r="AO120" i="23"/>
  <c r="AS120" i="23" s="1"/>
  <c r="AP144" i="23"/>
  <c r="AT144" i="23" s="1"/>
  <c r="AX144" i="23" s="1"/>
  <c r="AO146" i="23"/>
  <c r="AS146" i="23" s="1"/>
  <c r="AW146" i="23" s="1"/>
  <c r="AP157" i="23"/>
  <c r="AT157" i="23" s="1"/>
  <c r="AX157" i="23" s="1"/>
  <c r="AO164" i="23"/>
  <c r="AS164" i="23" s="1"/>
  <c r="AW164" i="23" s="1"/>
  <c r="AP139" i="23"/>
  <c r="AT139" i="23" s="1"/>
  <c r="AX139" i="23" s="1"/>
  <c r="AO149" i="23"/>
  <c r="AS149" i="23" s="1"/>
  <c r="AW149" i="23" s="1"/>
  <c r="X137" i="23"/>
  <c r="AO155" i="23"/>
  <c r="AS155" i="23" s="1"/>
  <c r="AW155" i="23" s="1"/>
  <c r="X122" i="23"/>
  <c r="AO160" i="23"/>
  <c r="AS160" i="23" s="1"/>
  <c r="AW160" i="23" s="1"/>
  <c r="AO130" i="23"/>
  <c r="AP162" i="23"/>
  <c r="AT162" i="23" s="1"/>
  <c r="AX162" i="23" s="1"/>
  <c r="AP152" i="23"/>
  <c r="AT152" i="23" s="1"/>
  <c r="AX152" i="23" s="1"/>
  <c r="AO145" i="23"/>
  <c r="AS145" i="23" s="1"/>
  <c r="AW145" i="23" s="1"/>
  <c r="AP142" i="23"/>
  <c r="AT142" i="23" s="1"/>
  <c r="AX142" i="23" s="1"/>
  <c r="AO121" i="23"/>
  <c r="AS121" i="23" s="1"/>
  <c r="AO114" i="23"/>
  <c r="AO123" i="23"/>
  <c r="AO167" i="23"/>
  <c r="AS167" i="23" s="1"/>
  <c r="AW167" i="23" s="1"/>
  <c r="X116" i="23"/>
  <c r="AO117" i="23"/>
  <c r="AS117" i="23" s="1"/>
  <c r="AP166" i="23"/>
  <c r="AT166" i="23" s="1"/>
  <c r="AX166" i="23" s="1"/>
  <c r="AO156" i="23"/>
  <c r="AS156" i="23" s="1"/>
  <c r="AW156" i="23" s="1"/>
  <c r="AO136" i="23"/>
  <c r="AS136" i="23" s="1"/>
  <c r="AW136" i="23" s="1"/>
  <c r="AP132" i="23"/>
  <c r="AT132" i="23" s="1"/>
  <c r="X140" i="23"/>
  <c r="AO154" i="23"/>
  <c r="AS154" i="23" s="1"/>
  <c r="AW154" i="23" s="1"/>
  <c r="AP163" i="23"/>
  <c r="AT163" i="23" s="1"/>
  <c r="AX163" i="23" s="1"/>
  <c r="AO148" i="23"/>
  <c r="AS148" i="23" s="1"/>
  <c r="AW148" i="23" s="1"/>
  <c r="AP147" i="23"/>
  <c r="AT147" i="23" s="1"/>
  <c r="AX147" i="23" s="1"/>
  <c r="X114" i="23"/>
  <c r="AF114" i="23"/>
  <c r="AP167" i="23"/>
  <c r="AT167" i="23" s="1"/>
  <c r="AX167" i="23" s="1"/>
  <c r="AO166" i="23"/>
  <c r="AS166" i="23" s="1"/>
  <c r="AW166" i="23" s="1"/>
  <c r="AO139" i="23"/>
  <c r="AS139" i="23" s="1"/>
  <c r="AW139" i="23" s="1"/>
  <c r="AO138" i="23"/>
  <c r="AS138" i="23" s="1"/>
  <c r="AW138" i="23" s="1"/>
  <c r="X159" i="23"/>
  <c r="AO141" i="23"/>
  <c r="AS141" i="23" s="1"/>
  <c r="AW141" i="23" s="1"/>
  <c r="AD115" i="23"/>
  <c r="AI115" i="23" s="1"/>
  <c r="AP168" i="23"/>
  <c r="AT168" i="23" s="1"/>
  <c r="AX168" i="23" s="1"/>
  <c r="AZ112" i="23"/>
  <c r="AO153" i="23"/>
  <c r="AS153" i="23" s="1"/>
  <c r="AW153" i="23" s="1"/>
  <c r="AO131" i="23"/>
  <c r="AS131" i="23" s="1"/>
  <c r="AP165" i="23"/>
  <c r="AT165" i="23" s="1"/>
  <c r="AX165" i="23" s="1"/>
  <c r="AO150" i="23"/>
  <c r="AS150" i="23" s="1"/>
  <c r="AW150" i="23" s="1"/>
  <c r="X120" i="23"/>
  <c r="AG115" i="23"/>
  <c r="AO168" i="23"/>
  <c r="AS168" i="23" s="1"/>
  <c r="AW168" i="23" s="1"/>
  <c r="X146" i="23"/>
  <c r="AO157" i="23"/>
  <c r="AS157" i="23" s="1"/>
  <c r="AW157" i="23" s="1"/>
  <c r="X164" i="23"/>
  <c r="AP149" i="23"/>
  <c r="AT149" i="23" s="1"/>
  <c r="AX149" i="23" s="1"/>
  <c r="AO137" i="23"/>
  <c r="AS137" i="23" s="1"/>
  <c r="AW137" i="23" s="1"/>
  <c r="AO169" i="23"/>
  <c r="AS169" i="23" s="1"/>
  <c r="AW169" i="23" s="1"/>
  <c r="AO122" i="23"/>
  <c r="AS122" i="23" s="1"/>
  <c r="AP160" i="23"/>
  <c r="AT160" i="23" s="1"/>
  <c r="AX160" i="23" s="1"/>
  <c r="AU112" i="23"/>
  <c r="AY112" i="23" s="1"/>
  <c r="AO161" i="23"/>
  <c r="AS161" i="23" s="1"/>
  <c r="AW161" i="23" s="1"/>
  <c r="AP136" i="23"/>
  <c r="AT136" i="23" s="1"/>
  <c r="AX136" i="23" s="1"/>
  <c r="AO132" i="23"/>
  <c r="AS132" i="23" s="1"/>
  <c r="AO140" i="23"/>
  <c r="AS140" i="23" s="1"/>
  <c r="AW140" i="23" s="1"/>
  <c r="X154" i="23"/>
  <c r="AO126" i="23"/>
  <c r="AP148" i="23"/>
  <c r="AT148" i="23" s="1"/>
  <c r="AX148" i="23" s="1"/>
  <c r="AO147" i="23"/>
  <c r="AS147" i="23" s="1"/>
  <c r="AW147" i="23" s="1"/>
  <c r="K182" i="23"/>
  <c r="V216" i="23" l="1"/>
  <c r="V221" i="23" s="1"/>
  <c r="AR113" i="23"/>
  <c r="AV113" i="23" s="1"/>
  <c r="AZ113" i="23" s="1"/>
  <c r="V203" i="23"/>
  <c r="V222" i="23" s="1"/>
  <c r="U230" i="23"/>
  <c r="X202" i="23"/>
  <c r="X211" i="23" s="1"/>
  <c r="X184" i="23"/>
  <c r="G100" i="2" s="1"/>
  <c r="V204" i="23"/>
  <c r="V208" i="23" s="1"/>
  <c r="F100" i="2"/>
  <c r="V207" i="23"/>
  <c r="AA183" i="23"/>
  <c r="X206" i="23" s="1"/>
  <c r="AB183" i="23"/>
  <c r="Y206" i="23" s="1"/>
  <c r="W204" i="23"/>
  <c r="W208" i="23" s="1"/>
  <c r="Y203" i="23"/>
  <c r="BD114" i="23"/>
  <c r="AS114" i="23"/>
  <c r="AW114" i="23" s="1"/>
  <c r="AX123" i="23"/>
  <c r="AS126" i="23"/>
  <c r="AW126" i="23" s="1"/>
  <c r="AW132" i="23"/>
  <c r="AP120" i="23"/>
  <c r="AP159" i="23"/>
  <c r="AT159" i="23" s="1"/>
  <c r="AX159" i="23" s="1"/>
  <c r="AX130" i="23"/>
  <c r="AK114" i="23"/>
  <c r="AC114" i="23"/>
  <c r="AP140" i="23"/>
  <c r="AT140" i="23" s="1"/>
  <c r="AX140" i="23" s="1"/>
  <c r="AY113" i="23"/>
  <c r="AP154" i="23"/>
  <c r="AT154" i="23" s="1"/>
  <c r="AX154" i="23" s="1"/>
  <c r="AW122" i="23"/>
  <c r="AW131" i="23"/>
  <c r="AD116" i="23"/>
  <c r="AI116" i="23" s="1"/>
  <c r="AP114" i="23"/>
  <c r="AG116" i="23"/>
  <c r="AP137" i="23"/>
  <c r="AT137" i="23" s="1"/>
  <c r="AX137" i="23" s="1"/>
  <c r="AP138" i="23"/>
  <c r="AT138" i="23" s="1"/>
  <c r="AX138" i="23" s="1"/>
  <c r="X115" i="23"/>
  <c r="AF115" i="23"/>
  <c r="AP117" i="23"/>
  <c r="AT117" i="23" s="1"/>
  <c r="AP145" i="23"/>
  <c r="AT145" i="23" s="1"/>
  <c r="AX145" i="23" s="1"/>
  <c r="AX126" i="23"/>
  <c r="AP146" i="23"/>
  <c r="AT146" i="23" s="1"/>
  <c r="AX146" i="23" s="1"/>
  <c r="AL115" i="23"/>
  <c r="BD115" i="23" s="1"/>
  <c r="AX132" i="23"/>
  <c r="AF116" i="23"/>
  <c r="AP122" i="23"/>
  <c r="AX131" i="23"/>
  <c r="AW116" i="23"/>
  <c r="AP164" i="23"/>
  <c r="AT164" i="23" s="1"/>
  <c r="AX164" i="23" s="1"/>
  <c r="AX121" i="23"/>
  <c r="AW117" i="23"/>
  <c r="AP116" i="23"/>
  <c r="AS123" i="23"/>
  <c r="AW123" i="23" s="1"/>
  <c r="AW121" i="23"/>
  <c r="AS130" i="23"/>
  <c r="AW130" i="23" s="1"/>
  <c r="AW120" i="23"/>
  <c r="AO115" i="23"/>
  <c r="AS115" i="23" s="1"/>
  <c r="U172" i="23"/>
  <c r="U183" i="23" l="1"/>
  <c r="U227" i="23" s="1"/>
  <c r="U235" i="23" s="1"/>
  <c r="U174" i="23"/>
  <c r="Z202" i="23"/>
  <c r="Z211" i="23" s="1"/>
  <c r="X203" i="23"/>
  <c r="X217" i="23" s="1"/>
  <c r="AE214" i="23"/>
  <c r="V217" i="23"/>
  <c r="X216" i="23"/>
  <c r="X221" i="23" s="1"/>
  <c r="V209" i="23"/>
  <c r="AW186" i="23"/>
  <c r="U186" i="23" s="1"/>
  <c r="V230" i="23"/>
  <c r="AB100" i="2"/>
  <c r="X207" i="23"/>
  <c r="X218" i="23"/>
  <c r="X223" i="23"/>
  <c r="V205" i="23"/>
  <c r="Y204" i="23"/>
  <c r="Y208" i="23" s="1"/>
  <c r="AH114" i="23"/>
  <c r="BA114" i="23" s="1"/>
  <c r="AS172" i="23"/>
  <c r="AO172" i="23"/>
  <c r="C12" i="20" s="1"/>
  <c r="AW115" i="23"/>
  <c r="AW172" i="23" s="1"/>
  <c r="AP115" i="23"/>
  <c r="AT115" i="23" s="1"/>
  <c r="AL116" i="23"/>
  <c r="BD116" i="23" s="1"/>
  <c r="AX117" i="23"/>
  <c r="AD117" i="23"/>
  <c r="AF117" i="23"/>
  <c r="AG117" i="23"/>
  <c r="BC114" i="23"/>
  <c r="AT120" i="23"/>
  <c r="AX120" i="23" s="1"/>
  <c r="AT116" i="23"/>
  <c r="AX116" i="23" s="1"/>
  <c r="AT122" i="23"/>
  <c r="AX122" i="23" s="1"/>
  <c r="AC116" i="23"/>
  <c r="AK116" i="23"/>
  <c r="AK115" i="23"/>
  <c r="AH115" i="23" s="1"/>
  <c r="AC115" i="23"/>
  <c r="AT114" i="23"/>
  <c r="AQ114" i="23"/>
  <c r="AU114" i="23" s="1"/>
  <c r="AC100" i="2"/>
  <c r="Z216" i="23" l="1"/>
  <c r="Z221" i="23" s="1"/>
  <c r="X222" i="23"/>
  <c r="AB202" i="23"/>
  <c r="AB211" i="23" s="1"/>
  <c r="J23" i="10" s="1"/>
  <c r="X204" i="23"/>
  <c r="X208" i="23" s="1"/>
  <c r="X209" i="23" s="1"/>
  <c r="U185" i="23"/>
  <c r="V213" i="23" s="1"/>
  <c r="U231" i="23"/>
  <c r="F25" i="2"/>
  <c r="F199" i="2" s="1"/>
  <c r="F101" i="2"/>
  <c r="V212" i="23"/>
  <c r="AI117" i="23"/>
  <c r="AR114" i="23"/>
  <c r="AV114" i="23" s="1"/>
  <c r="AH116" i="23"/>
  <c r="BB116" i="23" s="1"/>
  <c r="BE116" i="23" s="1"/>
  <c r="BB114" i="23"/>
  <c r="BE114" i="23" s="1"/>
  <c r="AP172" i="23"/>
  <c r="D12" i="20" s="1"/>
  <c r="AX114" i="23"/>
  <c r="AX186" i="23" s="1"/>
  <c r="X186" i="23" s="1"/>
  <c r="G101" i="2" s="1"/>
  <c r="AT172" i="23"/>
  <c r="BC116" i="23"/>
  <c r="AY114" i="23"/>
  <c r="AQ115" i="23"/>
  <c r="AQ116" i="23"/>
  <c r="AU116" i="23" s="1"/>
  <c r="AR115" i="23"/>
  <c r="AV115" i="23" s="1"/>
  <c r="AD118" i="23"/>
  <c r="AI118" i="23" s="1"/>
  <c r="AG118" i="23"/>
  <c r="AF118" i="23"/>
  <c r="AX115" i="23"/>
  <c r="AL117" i="23"/>
  <c r="BC115" i="23"/>
  <c r="AC117" i="23"/>
  <c r="AK117" i="23"/>
  <c r="BB115" i="23"/>
  <c r="BE115" i="23" s="1"/>
  <c r="D193" i="23"/>
  <c r="AB216" i="23" l="1"/>
  <c r="J27" i="10" s="1"/>
  <c r="BA116" i="23"/>
  <c r="J19" i="10"/>
  <c r="N19" i="10" s="1"/>
  <c r="X205" i="23"/>
  <c r="U228" i="23"/>
  <c r="U236" i="23" s="1"/>
  <c r="F26" i="2"/>
  <c r="F200" i="2" s="1"/>
  <c r="V231" i="23"/>
  <c r="L23" i="10"/>
  <c r="N23" i="10"/>
  <c r="AR116" i="23"/>
  <c r="AV116" i="23" s="1"/>
  <c r="AZ116" i="23" s="1"/>
  <c r="AZ114" i="23"/>
  <c r="X212" i="23"/>
  <c r="T180" i="23"/>
  <c r="H180" i="23"/>
  <c r="AH117" i="23"/>
  <c r="BD117" i="23"/>
  <c r="AX172" i="23"/>
  <c r="X185" i="23" s="1"/>
  <c r="AQ117" i="23"/>
  <c r="AK118" i="23"/>
  <c r="AC118" i="23"/>
  <c r="AZ115" i="23"/>
  <c r="AG119" i="23"/>
  <c r="AD119" i="23"/>
  <c r="AI119" i="23" s="1"/>
  <c r="AF119" i="23"/>
  <c r="BC117" i="23"/>
  <c r="AL118" i="23"/>
  <c r="BD118" i="23" s="1"/>
  <c r="AU115" i="23"/>
  <c r="AY115" i="23" s="1"/>
  <c r="AY116" i="23"/>
  <c r="AB25" i="2"/>
  <c r="S186" i="27"/>
  <c r="AB101" i="2"/>
  <c r="K99" i="2"/>
  <c r="D195" i="23"/>
  <c r="D194" i="23"/>
  <c r="G26" i="2" l="1"/>
  <c r="G200" i="2" s="1"/>
  <c r="AB221" i="23"/>
  <c r="J31" i="10" s="1"/>
  <c r="L31" i="10" s="1"/>
  <c r="L19" i="10"/>
  <c r="V228" i="23"/>
  <c r="V236" i="23" s="1"/>
  <c r="BB117" i="23"/>
  <c r="BE117" i="23" s="1"/>
  <c r="N27" i="10"/>
  <c r="L27" i="10"/>
  <c r="AR117" i="23"/>
  <c r="AV117" i="23" s="1"/>
  <c r="AZ117" i="23" s="1"/>
  <c r="AD120" i="23"/>
  <c r="AG120" i="23"/>
  <c r="AF120" i="23"/>
  <c r="AH118" i="23"/>
  <c r="AC119" i="23"/>
  <c r="AK119" i="23"/>
  <c r="BC118" i="23"/>
  <c r="AL119" i="23"/>
  <c r="BD119" i="23" s="1"/>
  <c r="AQ118" i="23"/>
  <c r="AU118" i="23" s="1"/>
  <c r="AU117" i="23"/>
  <c r="AY117" i="23" s="1"/>
  <c r="S174" i="27"/>
  <c r="S175" i="27" s="1"/>
  <c r="S177" i="27" s="1"/>
  <c r="C11" i="20"/>
  <c r="AB26" i="2"/>
  <c r="F13" i="2"/>
  <c r="U186" i="27"/>
  <c r="AC101" i="2"/>
  <c r="N31" i="10" l="1"/>
  <c r="AI120" i="23"/>
  <c r="AD121" i="23"/>
  <c r="AI121" i="23" s="1"/>
  <c r="AG121" i="23"/>
  <c r="AF121" i="23"/>
  <c r="AH119" i="23"/>
  <c r="BA119" i="23" s="1"/>
  <c r="AR118" i="23"/>
  <c r="BB118" i="23"/>
  <c r="BE118" i="23" s="1"/>
  <c r="AL120" i="23"/>
  <c r="AQ119" i="23"/>
  <c r="AU119" i="23" s="1"/>
  <c r="AY118" i="23"/>
  <c r="BC119" i="23"/>
  <c r="AK120" i="23"/>
  <c r="AC120" i="23"/>
  <c r="F82" i="2"/>
  <c r="T183" i="27"/>
  <c r="T188" i="27" s="1"/>
  <c r="S183" i="27"/>
  <c r="F37" i="19"/>
  <c r="S193" i="27"/>
  <c r="S191" i="27" s="1"/>
  <c r="C19" i="20"/>
  <c r="F36" i="19" s="1"/>
  <c r="F35" i="19" s="1"/>
  <c r="C18" i="20"/>
  <c r="F29" i="19" s="1"/>
  <c r="C17" i="20"/>
  <c r="K200" i="2" s="1"/>
  <c r="K201" i="2" s="1"/>
  <c r="F25" i="19" l="1"/>
  <c r="BD120" i="23"/>
  <c r="AH120" i="23"/>
  <c r="BA120" i="23" s="1"/>
  <c r="AC121" i="23"/>
  <c r="AK121" i="23"/>
  <c r="AV118" i="23"/>
  <c r="AZ118" i="23" s="1"/>
  <c r="AF122" i="23"/>
  <c r="AD122" i="23"/>
  <c r="AI122" i="23" s="1"/>
  <c r="AG122" i="23"/>
  <c r="BC120" i="23"/>
  <c r="AR119" i="23"/>
  <c r="AV119" i="23" s="1"/>
  <c r="BB119" i="23"/>
  <c r="BE119" i="23" s="1"/>
  <c r="AL121" i="23"/>
  <c r="BD121" i="23" s="1"/>
  <c r="AQ120" i="23"/>
  <c r="AU120" i="23" s="1"/>
  <c r="AY119" i="23"/>
  <c r="S184" i="27"/>
  <c r="S188" i="27"/>
  <c r="S190" i="27" s="1"/>
  <c r="BB120" i="23" l="1"/>
  <c r="BE120" i="23" s="1"/>
  <c r="AR120" i="23"/>
  <c r="AV120" i="23" s="1"/>
  <c r="AZ120" i="23" s="1"/>
  <c r="AZ119" i="23"/>
  <c r="AL122" i="23"/>
  <c r="BD122" i="23" s="1"/>
  <c r="AH121" i="23"/>
  <c r="BA121" i="23" s="1"/>
  <c r="AK122" i="23"/>
  <c r="AC122" i="23"/>
  <c r="AQ121" i="23"/>
  <c r="AU121" i="23" s="1"/>
  <c r="AY120" i="23"/>
  <c r="AD123" i="23"/>
  <c r="AI123" i="23" s="1"/>
  <c r="AF123" i="23"/>
  <c r="AG123" i="23"/>
  <c r="BC121" i="23"/>
  <c r="S192" i="27"/>
  <c r="AH122" i="23" l="1"/>
  <c r="AR122" i="23" s="1"/>
  <c r="AR121" i="23"/>
  <c r="BB121" i="23"/>
  <c r="BE121" i="23" s="1"/>
  <c r="AL123" i="23"/>
  <c r="AQ122" i="23"/>
  <c r="AF124" i="23"/>
  <c r="AD124" i="23"/>
  <c r="AI124" i="23" s="1"/>
  <c r="AG124" i="23"/>
  <c r="AK123" i="23"/>
  <c r="AC123" i="23"/>
  <c r="AY121" i="23"/>
  <c r="BC122" i="23"/>
  <c r="BB122" i="23" l="1"/>
  <c r="BE122" i="23" s="1"/>
  <c r="AH123" i="23"/>
  <c r="AR123" i="23" s="1"/>
  <c r="BD123" i="23"/>
  <c r="BC123" i="23"/>
  <c r="AG125" i="23"/>
  <c r="AF125" i="23"/>
  <c r="AD125" i="23"/>
  <c r="AI125" i="23" s="1"/>
  <c r="AL124" i="23"/>
  <c r="BD124" i="23" s="1"/>
  <c r="AQ123" i="23"/>
  <c r="AU122" i="23"/>
  <c r="AY122" i="23" s="1"/>
  <c r="AV122" i="23"/>
  <c r="AZ122" i="23" s="1"/>
  <c r="AK124" i="23"/>
  <c r="AC124" i="23"/>
  <c r="AV121" i="23"/>
  <c r="AZ121" i="23" s="1"/>
  <c r="BB123" i="23" l="1"/>
  <c r="BE123" i="23" s="1"/>
  <c r="AH124" i="23"/>
  <c r="BB124" i="23" s="1"/>
  <c r="BE124" i="23" s="1"/>
  <c r="AQ124" i="23"/>
  <c r="AC125" i="23"/>
  <c r="AK125" i="23"/>
  <c r="BC125" i="23" s="1"/>
  <c r="BC124" i="23"/>
  <c r="AV123" i="23"/>
  <c r="AZ123" i="23" s="1"/>
  <c r="AL125" i="23"/>
  <c r="AU123" i="23"/>
  <c r="AY123" i="23" s="1"/>
  <c r="AF126" i="23"/>
  <c r="AG126" i="23"/>
  <c r="AD126" i="23"/>
  <c r="AI126" i="23" s="1"/>
  <c r="BA124" i="23" l="1"/>
  <c r="AR124" i="23"/>
  <c r="AV124" i="23" s="1"/>
  <c r="AZ124" i="23" s="1"/>
  <c r="BD125" i="23"/>
  <c r="AD127" i="23"/>
  <c r="AI127" i="23" s="1"/>
  <c r="AF127" i="23"/>
  <c r="AG127" i="23"/>
  <c r="AQ125" i="23"/>
  <c r="AL126" i="23"/>
  <c r="BD126" i="23" s="1"/>
  <c r="AC126" i="23"/>
  <c r="AK126" i="23"/>
  <c r="AH125" i="23"/>
  <c r="AU124" i="23"/>
  <c r="AY124" i="23" s="1"/>
  <c r="AH126" i="23" l="1"/>
  <c r="BB126" i="23" s="1"/>
  <c r="BE126" i="23" s="1"/>
  <c r="AR125" i="23"/>
  <c r="BB125" i="23"/>
  <c r="BE125" i="23" s="1"/>
  <c r="AL127" i="23"/>
  <c r="BD127" i="23" s="1"/>
  <c r="AG128" i="23"/>
  <c r="AF128" i="23"/>
  <c r="AD128" i="23"/>
  <c r="AI128" i="23" s="1"/>
  <c r="AQ126" i="23"/>
  <c r="AU125" i="23"/>
  <c r="AY125" i="23" s="1"/>
  <c r="AC127" i="23"/>
  <c r="AK127" i="23"/>
  <c r="BC126" i="23"/>
  <c r="AR126" i="23" l="1"/>
  <c r="AV126" i="23" s="1"/>
  <c r="AZ126" i="23" s="1"/>
  <c r="AH127" i="23"/>
  <c r="BB127" i="23" s="1"/>
  <c r="BE127" i="23" s="1"/>
  <c r="AC128" i="23"/>
  <c r="AK128" i="23"/>
  <c r="AQ127" i="23"/>
  <c r="AU127" i="23" s="1"/>
  <c r="AU126" i="23"/>
  <c r="AY126" i="23" s="1"/>
  <c r="AG129" i="23"/>
  <c r="AD129" i="23"/>
  <c r="AI129" i="23" s="1"/>
  <c r="AF129" i="23"/>
  <c r="BC127" i="23"/>
  <c r="AL128" i="23"/>
  <c r="BD128" i="23" s="1"/>
  <c r="AV125" i="23"/>
  <c r="AZ125" i="23" s="1"/>
  <c r="AR127" i="23" l="1"/>
  <c r="AV127" i="23" s="1"/>
  <c r="AZ127" i="23" s="1"/>
  <c r="AL129" i="23"/>
  <c r="BD129" i="23" s="1"/>
  <c r="AG130" i="23"/>
  <c r="AD130" i="23"/>
  <c r="AF130" i="23"/>
  <c r="AH128" i="23"/>
  <c r="BA128" i="23" s="1"/>
  <c r="AC129" i="23"/>
  <c r="AK129" i="23"/>
  <c r="AQ128" i="23"/>
  <c r="AU128" i="23" s="1"/>
  <c r="AY127" i="23"/>
  <c r="BC128" i="23"/>
  <c r="BE4" i="23"/>
  <c r="X172" i="23"/>
  <c r="X183" i="23" s="1"/>
  <c r="V227" i="23" l="1"/>
  <c r="V235" i="23" s="1"/>
  <c r="AH129" i="23"/>
  <c r="BB129" i="23" s="1"/>
  <c r="BE129" i="23" s="1"/>
  <c r="AI130" i="23"/>
  <c r="X174" i="23"/>
  <c r="AR128" i="23"/>
  <c r="BB128" i="23"/>
  <c r="BE128" i="23" s="1"/>
  <c r="AL130" i="23"/>
  <c r="AQ129" i="23"/>
  <c r="AK130" i="23"/>
  <c r="AC130" i="23"/>
  <c r="AY128" i="23"/>
  <c r="BC129" i="23"/>
  <c r="AG131" i="23"/>
  <c r="AD131" i="23"/>
  <c r="AI131" i="23" s="1"/>
  <c r="AF131" i="23"/>
  <c r="AR129" i="23" l="1"/>
  <c r="AV129" i="23" s="1"/>
  <c r="G25" i="2"/>
  <c r="G199" i="2" s="1"/>
  <c r="X175" i="23"/>
  <c r="X176" i="23" s="1"/>
  <c r="X213" i="23"/>
  <c r="BD130" i="23"/>
  <c r="AH130" i="23"/>
  <c r="BC130" i="23"/>
  <c r="AL131" i="23"/>
  <c r="BD131" i="23" s="1"/>
  <c r="AD132" i="23"/>
  <c r="AI132" i="23" s="1"/>
  <c r="AG132" i="23"/>
  <c r="AF132" i="23"/>
  <c r="AK131" i="23"/>
  <c r="AC131" i="23"/>
  <c r="AQ130" i="23"/>
  <c r="AU130" i="23" s="1"/>
  <c r="AU129" i="23"/>
  <c r="AY129" i="23" s="1"/>
  <c r="AV128" i="23"/>
  <c r="AZ128" i="23" s="1"/>
  <c r="E193" i="23"/>
  <c r="AZ129" i="23" l="1"/>
  <c r="AR130" i="23"/>
  <c r="AV130" i="23" s="1"/>
  <c r="AZ130" i="23" s="1"/>
  <c r="AH131" i="23"/>
  <c r="AR131" i="23" s="1"/>
  <c r="BB130" i="23"/>
  <c r="BE130" i="23" s="1"/>
  <c r="AL132" i="23"/>
  <c r="BD132" i="23" s="1"/>
  <c r="BC131" i="23"/>
  <c r="AF133" i="23"/>
  <c r="AD133" i="23"/>
  <c r="AI133" i="23" s="1"/>
  <c r="AG133" i="23"/>
  <c r="AY130" i="23"/>
  <c r="AQ131" i="23"/>
  <c r="AU131" i="23" s="1"/>
  <c r="AC132" i="23"/>
  <c r="AK132" i="23"/>
  <c r="E194" i="23"/>
  <c r="E195" i="23"/>
  <c r="AC25" i="2"/>
  <c r="G12" i="2"/>
  <c r="BB131" i="23" l="1"/>
  <c r="BE131" i="23" s="1"/>
  <c r="AH132" i="23"/>
  <c r="BB132" i="23" s="1"/>
  <c r="BE132" i="23" s="1"/>
  <c r="AY131" i="23"/>
  <c r="AK133" i="23"/>
  <c r="AC133" i="23"/>
  <c r="AL133" i="23"/>
  <c r="BD133" i="23" s="1"/>
  <c r="AQ132" i="23"/>
  <c r="AF134" i="23"/>
  <c r="AD134" i="23"/>
  <c r="AI134" i="23" s="1"/>
  <c r="AG134" i="23"/>
  <c r="BC132" i="23"/>
  <c r="AV131" i="23"/>
  <c r="AZ131" i="23" s="1"/>
  <c r="U193" i="27"/>
  <c r="U191" i="27" s="1"/>
  <c r="AC26" i="2"/>
  <c r="G45" i="2"/>
  <c r="G44" i="2" s="1"/>
  <c r="G39" i="2" s="1"/>
  <c r="G7" i="2"/>
  <c r="D11" i="20"/>
  <c r="U174" i="27"/>
  <c r="U175" i="27" s="1"/>
  <c r="U177" i="27" s="1"/>
  <c r="AR132" i="23" l="1"/>
  <c r="AV132" i="23" s="1"/>
  <c r="AZ132" i="23" s="1"/>
  <c r="AF135" i="23"/>
  <c r="AG135" i="23"/>
  <c r="AD135" i="23"/>
  <c r="AI135" i="23" s="1"/>
  <c r="AQ133" i="23"/>
  <c r="AU133" i="23" s="1"/>
  <c r="AY133" i="23" s="1"/>
  <c r="AL134" i="23"/>
  <c r="BD134" i="23" s="1"/>
  <c r="AH133" i="23"/>
  <c r="AU132" i="23"/>
  <c r="AY132" i="23" s="1"/>
  <c r="BC133" i="23"/>
  <c r="AC134" i="23"/>
  <c r="AK134" i="23"/>
  <c r="BC134" i="23" s="1"/>
  <c r="V183" i="27"/>
  <c r="V188" i="27" s="1"/>
  <c r="U183" i="27"/>
  <c r="G186" i="2"/>
  <c r="D19" i="20"/>
  <c r="G36" i="19" s="1"/>
  <c r="G35" i="19" s="1"/>
  <c r="D18" i="20"/>
  <c r="G29" i="19" s="1"/>
  <c r="D17" i="20"/>
  <c r="AC39" i="2"/>
  <c r="G13" i="2"/>
  <c r="G25" i="19" l="1"/>
  <c r="AQ134" i="23"/>
  <c r="AU134" i="23" s="1"/>
  <c r="AY134" i="23" s="1"/>
  <c r="AR133" i="23"/>
  <c r="BB133" i="23"/>
  <c r="BE133" i="23" s="1"/>
  <c r="AG136" i="23"/>
  <c r="AF136" i="23"/>
  <c r="AD136" i="23"/>
  <c r="AL135" i="23"/>
  <c r="BD135" i="23" s="1"/>
  <c r="AH134" i="23"/>
  <c r="AK135" i="23"/>
  <c r="AC135" i="23"/>
  <c r="U184" i="27"/>
  <c r="G82" i="2"/>
  <c r="L200" i="2"/>
  <c r="L201" i="2" s="1"/>
  <c r="G37" i="19"/>
  <c r="U188" i="27"/>
  <c r="U190" i="27" s="1"/>
  <c r="AI136" i="23" l="1"/>
  <c r="AH135" i="23"/>
  <c r="BB135" i="23" s="1"/>
  <c r="BE135" i="23" s="1"/>
  <c r="AQ135" i="23"/>
  <c r="AU135" i="23" s="1"/>
  <c r="AY135" i="23" s="1"/>
  <c r="AD137" i="23"/>
  <c r="AI137" i="23" s="1"/>
  <c r="AG137" i="23"/>
  <c r="AF137" i="23"/>
  <c r="AK136" i="23"/>
  <c r="AC136" i="23"/>
  <c r="AV133" i="23"/>
  <c r="AZ133" i="23" s="1"/>
  <c r="BC135" i="23"/>
  <c r="AL136" i="23"/>
  <c r="AR134" i="23"/>
  <c r="BB134" i="23"/>
  <c r="BE134" i="23" s="1"/>
  <c r="U192" i="27"/>
  <c r="AR135" i="23" l="1"/>
  <c r="AV135" i="23" s="1"/>
  <c r="AZ135" i="23" s="1"/>
  <c r="BD136" i="23"/>
  <c r="BC136" i="23"/>
  <c r="AG138" i="23"/>
  <c r="AF138" i="23"/>
  <c r="AD138" i="23"/>
  <c r="AI138" i="23" s="1"/>
  <c r="AV134" i="23"/>
  <c r="AZ134" i="23" s="1"/>
  <c r="AQ136" i="23"/>
  <c r="AU136" i="23" s="1"/>
  <c r="AY136" i="23" s="1"/>
  <c r="AC137" i="23"/>
  <c r="AK137" i="23"/>
  <c r="BC137" i="23" s="1"/>
  <c r="AH136" i="23"/>
  <c r="BA136" i="23" s="1"/>
  <c r="AL137" i="23"/>
  <c r="BD137" i="23" s="1"/>
  <c r="AQ137" i="23" l="1"/>
  <c r="AU137" i="23" s="1"/>
  <c r="AY137" i="23" s="1"/>
  <c r="AK138" i="23"/>
  <c r="AC138" i="23"/>
  <c r="AG139" i="23"/>
  <c r="AD139" i="23"/>
  <c r="AI139" i="23" s="1"/>
  <c r="AF139" i="23"/>
  <c r="AR136" i="23"/>
  <c r="BB136" i="23"/>
  <c r="BE136" i="23" s="1"/>
  <c r="AL138" i="23"/>
  <c r="BD138" i="23" s="1"/>
  <c r="AH137" i="23"/>
  <c r="AH138" i="23" l="1"/>
  <c r="AR138" i="23" s="1"/>
  <c r="AV136" i="23"/>
  <c r="AZ136" i="23" s="1"/>
  <c r="AL139" i="23"/>
  <c r="BD139" i="23" s="1"/>
  <c r="BC138" i="23"/>
  <c r="AR137" i="23"/>
  <c r="BB137" i="23"/>
  <c r="BE137" i="23" s="1"/>
  <c r="AD140" i="23"/>
  <c r="AI140" i="23" s="1"/>
  <c r="AF140" i="23"/>
  <c r="AG140" i="23"/>
  <c r="AK139" i="23"/>
  <c r="AC139" i="23"/>
  <c r="AQ138" i="23"/>
  <c r="AU138" i="23" s="1"/>
  <c r="AY138" i="23" s="1"/>
  <c r="BA138" i="23" l="1"/>
  <c r="BB138" i="23"/>
  <c r="BE138" i="23" s="1"/>
  <c r="AH139" i="23"/>
  <c r="BB139" i="23" s="1"/>
  <c r="BE139" i="23" s="1"/>
  <c r="AD141" i="23"/>
  <c r="AI141" i="23" s="1"/>
  <c r="AG141" i="23"/>
  <c r="AF141" i="23"/>
  <c r="AC140" i="23"/>
  <c r="AK140" i="23"/>
  <c r="AV138" i="23"/>
  <c r="AZ138" i="23" s="1"/>
  <c r="AQ139" i="23"/>
  <c r="AU139" i="23" s="1"/>
  <c r="AY139" i="23" s="1"/>
  <c r="AL140" i="23"/>
  <c r="BD140" i="23" s="1"/>
  <c r="BC139" i="23"/>
  <c r="AV137" i="23"/>
  <c r="AZ137" i="23" s="1"/>
  <c r="BA139" i="23" l="1"/>
  <c r="AR139" i="23"/>
  <c r="AV139" i="23" s="1"/>
  <c r="AZ139" i="23" s="1"/>
  <c r="AH140" i="23"/>
  <c r="AR140" i="23" s="1"/>
  <c r="AC141" i="23"/>
  <c r="AK141" i="23"/>
  <c r="AQ140" i="23"/>
  <c r="AU140" i="23" s="1"/>
  <c r="AY140" i="23" s="1"/>
  <c r="AG142" i="23"/>
  <c r="AD142" i="23"/>
  <c r="AI142" i="23" s="1"/>
  <c r="AF142" i="23"/>
  <c r="BC140" i="23"/>
  <c r="AL141" i="23"/>
  <c r="BD141" i="23" s="1"/>
  <c r="BB140" i="23" l="1"/>
  <c r="BE140" i="23" s="1"/>
  <c r="AH141" i="23"/>
  <c r="AR141" i="23" s="1"/>
  <c r="AQ141" i="23"/>
  <c r="AU141" i="23" s="1"/>
  <c r="AY141" i="23" s="1"/>
  <c r="AL142" i="23"/>
  <c r="BD142" i="23" s="1"/>
  <c r="AK142" i="23"/>
  <c r="AC142" i="23"/>
  <c r="AF143" i="23"/>
  <c r="AD143" i="23"/>
  <c r="AI143" i="23" s="1"/>
  <c r="AG143" i="23"/>
  <c r="BC141" i="23"/>
  <c r="AV140" i="23"/>
  <c r="AZ140" i="23" s="1"/>
  <c r="BA141" i="23" l="1"/>
  <c r="AH142" i="23"/>
  <c r="AR142" i="23" s="1"/>
  <c r="AV142" i="23" s="1"/>
  <c r="BB141" i="23"/>
  <c r="BE141" i="23" s="1"/>
  <c r="AC143" i="23"/>
  <c r="AK143" i="23"/>
  <c r="AL143" i="23"/>
  <c r="BD143" i="23" s="1"/>
  <c r="AQ142" i="23"/>
  <c r="AU142" i="23" s="1"/>
  <c r="AY142" i="23" s="1"/>
  <c r="AD144" i="23"/>
  <c r="AI144" i="23" s="1"/>
  <c r="AG144" i="23"/>
  <c r="AF144" i="23"/>
  <c r="BC142" i="23"/>
  <c r="AV141" i="23"/>
  <c r="AZ141" i="23" s="1"/>
  <c r="BB142" i="23" l="1"/>
  <c r="BE142" i="23" s="1"/>
  <c r="AH143" i="23"/>
  <c r="AR143" i="23" s="1"/>
  <c r="AV143" i="23" s="1"/>
  <c r="AK144" i="23"/>
  <c r="AC144" i="23"/>
  <c r="AG145" i="23"/>
  <c r="AD145" i="23"/>
  <c r="AI145" i="23" s="1"/>
  <c r="AF145" i="23"/>
  <c r="AQ143" i="23"/>
  <c r="AU143" i="23" s="1"/>
  <c r="AY143" i="23" s="1"/>
  <c r="AL144" i="23"/>
  <c r="BD144" i="23" s="1"/>
  <c r="AZ142" i="23"/>
  <c r="BC143" i="23"/>
  <c r="BB143" i="23" l="1"/>
  <c r="BE143" i="23" s="1"/>
  <c r="AL145" i="23"/>
  <c r="BD145" i="23" s="1"/>
  <c r="AG146" i="23"/>
  <c r="AD146" i="23"/>
  <c r="AI146" i="23" s="1"/>
  <c r="AF146" i="23"/>
  <c r="AQ144" i="23"/>
  <c r="AU144" i="23" s="1"/>
  <c r="AY144" i="23" s="1"/>
  <c r="AK145" i="23"/>
  <c r="AC145" i="23"/>
  <c r="AH144" i="23"/>
  <c r="AZ143" i="23"/>
  <c r="BC144" i="23"/>
  <c r="AH145" i="23" l="1"/>
  <c r="AR145" i="23" s="1"/>
  <c r="AQ145" i="23"/>
  <c r="AU145" i="23" s="1"/>
  <c r="AY145" i="23" s="1"/>
  <c r="AL146" i="23"/>
  <c r="BD146" i="23" s="1"/>
  <c r="BC145" i="23"/>
  <c r="AK146" i="23"/>
  <c r="AC146" i="23"/>
  <c r="AR144" i="23"/>
  <c r="AV144" i="23" s="1"/>
  <c r="BB144" i="23"/>
  <c r="BE144" i="23" s="1"/>
  <c r="AG147" i="23"/>
  <c r="AD147" i="23"/>
  <c r="AI147" i="23" s="1"/>
  <c r="AF147" i="23"/>
  <c r="BB145" i="23" l="1"/>
  <c r="BE145" i="23" s="1"/>
  <c r="AH146" i="23"/>
  <c r="BB146" i="23" s="1"/>
  <c r="BE146" i="23" s="1"/>
  <c r="AL147" i="23"/>
  <c r="BD147" i="23" s="1"/>
  <c r="AK147" i="23"/>
  <c r="AC147" i="23"/>
  <c r="AD148" i="23"/>
  <c r="AI148" i="23" s="1"/>
  <c r="AG148" i="23"/>
  <c r="AF148" i="23"/>
  <c r="AQ146" i="23"/>
  <c r="AU146" i="23" s="1"/>
  <c r="AY146" i="23" s="1"/>
  <c r="AV145" i="23"/>
  <c r="AZ145" i="23" s="1"/>
  <c r="AZ144" i="23"/>
  <c r="BC146" i="23"/>
  <c r="AR146" i="23" l="1"/>
  <c r="AV146" i="23" s="1"/>
  <c r="AH147" i="23"/>
  <c r="AR147" i="23" s="1"/>
  <c r="BC147" i="23"/>
  <c r="AG149" i="23"/>
  <c r="AF149" i="23"/>
  <c r="AD149" i="23"/>
  <c r="AI149" i="23" s="1"/>
  <c r="AC148" i="23"/>
  <c r="AK148" i="23"/>
  <c r="BC148" i="23" s="1"/>
  <c r="AQ147" i="23"/>
  <c r="AU147" i="23" s="1"/>
  <c r="AY147" i="23" s="1"/>
  <c r="AL148" i="23"/>
  <c r="BD148" i="23" s="1"/>
  <c r="BB147" i="23" l="1"/>
  <c r="BE147" i="23" s="1"/>
  <c r="AZ146" i="23"/>
  <c r="AQ148" i="23"/>
  <c r="AU148" i="23" s="1"/>
  <c r="AY148" i="23" s="1"/>
  <c r="AK149" i="23"/>
  <c r="AC149" i="23"/>
  <c r="AL149" i="23"/>
  <c r="BD149" i="23" s="1"/>
  <c r="AV147" i="23"/>
  <c r="AZ147" i="23" s="1"/>
  <c r="AD150" i="23"/>
  <c r="AI150" i="23" s="1"/>
  <c r="AG150" i="23"/>
  <c r="AF150" i="23"/>
  <c r="AH148" i="23"/>
  <c r="AD151" i="23" l="1"/>
  <c r="AI151" i="23" s="1"/>
  <c r="AG151" i="23"/>
  <c r="AF151" i="23"/>
  <c r="AH149" i="23"/>
  <c r="AR148" i="23"/>
  <c r="BB148" i="23"/>
  <c r="BE148" i="23" s="1"/>
  <c r="AL150" i="23"/>
  <c r="BD150" i="23" s="1"/>
  <c r="BC149" i="23"/>
  <c r="AC150" i="23"/>
  <c r="AK150" i="23"/>
  <c r="AQ149" i="23"/>
  <c r="AU149" i="23" s="1"/>
  <c r="AY149" i="23" s="1"/>
  <c r="AH150" i="23" l="1"/>
  <c r="BB150" i="23" s="1"/>
  <c r="BE150" i="23" s="1"/>
  <c r="AK151" i="23"/>
  <c r="AC151" i="23"/>
  <c r="AV148" i="23"/>
  <c r="AZ148" i="23" s="1"/>
  <c r="AF152" i="23"/>
  <c r="AG152" i="23"/>
  <c r="AD152" i="23"/>
  <c r="AI152" i="23" s="1"/>
  <c r="AQ150" i="23"/>
  <c r="AU150" i="23" s="1"/>
  <c r="AY150" i="23" s="1"/>
  <c r="AR149" i="23"/>
  <c r="BB149" i="23"/>
  <c r="BE149" i="23" s="1"/>
  <c r="AL151" i="23"/>
  <c r="BD151" i="23" s="1"/>
  <c r="BC150" i="23"/>
  <c r="AR150" i="23" l="1"/>
  <c r="AV150" i="23" s="1"/>
  <c r="AL152" i="23"/>
  <c r="BD152" i="23" s="1"/>
  <c r="AQ151" i="23"/>
  <c r="AU151" i="23" s="1"/>
  <c r="AY151" i="23" s="1"/>
  <c r="AC152" i="23"/>
  <c r="AK152" i="23"/>
  <c r="AH151" i="23"/>
  <c r="AD153" i="23"/>
  <c r="AI153" i="23" s="1"/>
  <c r="AG153" i="23"/>
  <c r="AF153" i="23"/>
  <c r="BC151" i="23"/>
  <c r="AZ150" i="23"/>
  <c r="AV149" i="23"/>
  <c r="AZ149" i="23" s="1"/>
  <c r="AH152" i="23" l="1"/>
  <c r="BB152" i="23" s="1"/>
  <c r="BE152" i="23" s="1"/>
  <c r="AL153" i="23"/>
  <c r="BD153" i="23" s="1"/>
  <c r="AR151" i="23"/>
  <c r="BB151" i="23"/>
  <c r="BE151" i="23" s="1"/>
  <c r="AR152" i="23"/>
  <c r="AQ152" i="23"/>
  <c r="AU152" i="23" s="1"/>
  <c r="AY152" i="23" s="1"/>
  <c r="AF154" i="23"/>
  <c r="AG154" i="23"/>
  <c r="AD154" i="23"/>
  <c r="AI154" i="23" s="1"/>
  <c r="AK153" i="23"/>
  <c r="AC153" i="23"/>
  <c r="BC152" i="23"/>
  <c r="AH153" i="23" l="1"/>
  <c r="AR153" i="23" s="1"/>
  <c r="BC153" i="23"/>
  <c r="AL154" i="23"/>
  <c r="BD154" i="23" s="1"/>
  <c r="AC154" i="23"/>
  <c r="AK154" i="23"/>
  <c r="AV151" i="23"/>
  <c r="AZ151" i="23" s="1"/>
  <c r="AQ153" i="23"/>
  <c r="AU153" i="23" s="1"/>
  <c r="AY153" i="23" s="1"/>
  <c r="AD155" i="23"/>
  <c r="AI155" i="23" s="1"/>
  <c r="AF155" i="23"/>
  <c r="AG155" i="23"/>
  <c r="AV152" i="23"/>
  <c r="AZ152" i="23" s="1"/>
  <c r="BB153" i="23" l="1"/>
  <c r="BE153" i="23" s="1"/>
  <c r="AH154" i="23"/>
  <c r="AR154" i="23" s="1"/>
  <c r="AD156" i="23"/>
  <c r="AI156" i="23" s="1"/>
  <c r="AF156" i="23"/>
  <c r="AG156" i="23"/>
  <c r="BC154" i="23"/>
  <c r="AL155" i="23"/>
  <c r="BD155" i="23" s="1"/>
  <c r="AV153" i="23"/>
  <c r="AZ153" i="23" s="1"/>
  <c r="AK155" i="23"/>
  <c r="AC155" i="23"/>
  <c r="AQ154" i="23"/>
  <c r="AU154" i="23" s="1"/>
  <c r="AY154" i="23" s="1"/>
  <c r="AH155" i="23" l="1"/>
  <c r="AR155" i="23" s="1"/>
  <c r="BB154" i="23"/>
  <c r="BE154" i="23" s="1"/>
  <c r="AQ155" i="23"/>
  <c r="AU155" i="23" s="1"/>
  <c r="AY155" i="23" s="1"/>
  <c r="AC156" i="23"/>
  <c r="AK156" i="23"/>
  <c r="BC156" i="23" s="1"/>
  <c r="BC155" i="23"/>
  <c r="AV154" i="23"/>
  <c r="AZ154" i="23" s="1"/>
  <c r="AF157" i="23"/>
  <c r="AD157" i="23"/>
  <c r="AI157" i="23" s="1"/>
  <c r="AG157" i="23"/>
  <c r="AL156" i="23"/>
  <c r="BD156" i="23" s="1"/>
  <c r="BB155" i="23" l="1"/>
  <c r="BE155" i="23" s="1"/>
  <c r="AK157" i="23"/>
  <c r="AC157" i="23"/>
  <c r="AQ156" i="23"/>
  <c r="AU156" i="23" s="1"/>
  <c r="AY156" i="23" s="1"/>
  <c r="AL157" i="23"/>
  <c r="BD157" i="23" s="1"/>
  <c r="AD158" i="23"/>
  <c r="AF158" i="23"/>
  <c r="AG158" i="23"/>
  <c r="AV155" i="23"/>
  <c r="AZ155" i="23" s="1"/>
  <c r="AH156" i="23"/>
  <c r="AI158" i="23" l="1"/>
  <c r="AR156" i="23"/>
  <c r="BB156" i="23"/>
  <c r="BE156" i="23" s="1"/>
  <c r="AL158" i="23"/>
  <c r="AK158" i="23"/>
  <c r="AC158" i="23"/>
  <c r="AQ157" i="23"/>
  <c r="AU157" i="23" s="1"/>
  <c r="AY157" i="23" s="1"/>
  <c r="AG159" i="23"/>
  <c r="AD159" i="23"/>
  <c r="AI159" i="23" s="1"/>
  <c r="AF159" i="23"/>
  <c r="AH157" i="23"/>
  <c r="BC157" i="23"/>
  <c r="AH158" i="23" l="1"/>
  <c r="BD158" i="23"/>
  <c r="AR157" i="23"/>
  <c r="BB157" i="23"/>
  <c r="BE157" i="23" s="1"/>
  <c r="AL159" i="23"/>
  <c r="BD159" i="23" s="1"/>
  <c r="AQ158" i="23"/>
  <c r="AU158" i="23" s="1"/>
  <c r="AY158" i="23" s="1"/>
  <c r="AG160" i="23"/>
  <c r="AF160" i="23"/>
  <c r="AE184" i="23"/>
  <c r="AD160" i="23"/>
  <c r="AC159" i="23"/>
  <c r="AK159" i="23"/>
  <c r="BC158" i="23"/>
  <c r="AV156" i="23"/>
  <c r="AZ156" i="23" s="1"/>
  <c r="BB158" i="23" l="1"/>
  <c r="BE158" i="23" s="1"/>
  <c r="AR158" i="23"/>
  <c r="AV158" i="23" s="1"/>
  <c r="AZ158" i="23" s="1"/>
  <c r="AH159" i="23"/>
  <c r="AR159" i="23" s="1"/>
  <c r="AI160" i="23"/>
  <c r="AL160" i="23"/>
  <c r="AQ159" i="23"/>
  <c r="AU159" i="23" s="1"/>
  <c r="AY159" i="23" s="1"/>
  <c r="BC159" i="23"/>
  <c r="AF161" i="23"/>
  <c r="AF184" i="23" s="1"/>
  <c r="AG161" i="23"/>
  <c r="AG184" i="23" s="1"/>
  <c r="AD161" i="23"/>
  <c r="AI161" i="23" s="1"/>
  <c r="AK160" i="23"/>
  <c r="AC160" i="23"/>
  <c r="AV157" i="23"/>
  <c r="AZ157" i="23" s="1"/>
  <c r="AD184" i="23" l="1"/>
  <c r="Z203" i="23"/>
  <c r="BB159" i="23"/>
  <c r="BE159" i="23" s="1"/>
  <c r="AH160" i="23"/>
  <c r="BB160" i="23" s="1"/>
  <c r="AA203" i="23"/>
  <c r="BD160" i="23"/>
  <c r="BC160" i="23"/>
  <c r="AF162" i="23"/>
  <c r="AG162" i="23"/>
  <c r="AD162" i="23"/>
  <c r="AI162" i="23" s="1"/>
  <c r="AL161" i="23"/>
  <c r="AV159" i="23"/>
  <c r="AZ159" i="23" s="1"/>
  <c r="AQ160" i="23"/>
  <c r="AU160" i="23" s="1"/>
  <c r="AY160" i="23" s="1"/>
  <c r="AC161" i="23"/>
  <c r="AC184" i="23" s="1"/>
  <c r="AK161" i="23"/>
  <c r="AH161" i="23" s="1"/>
  <c r="BA160" i="23" l="1"/>
  <c r="W230" i="23"/>
  <c r="AH184" i="23"/>
  <c r="X230" i="23" s="1"/>
  <c r="BD161" i="23"/>
  <c r="AL184" i="23"/>
  <c r="AK184" i="23"/>
  <c r="Z204" i="23"/>
  <c r="Z217" i="23"/>
  <c r="H100" i="2"/>
  <c r="AR160" i="23"/>
  <c r="AV160" i="23" s="1"/>
  <c r="AZ160" i="23" s="1"/>
  <c r="Z222" i="23"/>
  <c r="AA204" i="23"/>
  <c r="BE160" i="23"/>
  <c r="AF163" i="23"/>
  <c r="AG163" i="23"/>
  <c r="AD163" i="23"/>
  <c r="AI163" i="23" s="1"/>
  <c r="AR161" i="23"/>
  <c r="AV161" i="23" s="1"/>
  <c r="BB161" i="23"/>
  <c r="BE161" i="23" s="1"/>
  <c r="AL162" i="23"/>
  <c r="BD162" i="23" s="1"/>
  <c r="AQ161" i="23"/>
  <c r="AU161" i="23" s="1"/>
  <c r="AY161" i="23" s="1"/>
  <c r="AY186" i="23" s="1"/>
  <c r="AC186" i="23" s="1"/>
  <c r="BC161" i="23"/>
  <c r="AC162" i="23"/>
  <c r="AK162" i="23"/>
  <c r="AH162" i="23" l="1"/>
  <c r="BB162" i="23" s="1"/>
  <c r="BE162" i="23" s="1"/>
  <c r="AM184" i="23"/>
  <c r="W231" i="23"/>
  <c r="AD100" i="2"/>
  <c r="I100" i="2"/>
  <c r="Z212" i="23"/>
  <c r="H101" i="2"/>
  <c r="Z205" i="23"/>
  <c r="AB203" i="23"/>
  <c r="AB217" i="23" s="1"/>
  <c r="J28" i="10" s="1"/>
  <c r="AC203" i="23"/>
  <c r="AC204" i="23" s="1"/>
  <c r="AL163" i="23"/>
  <c r="BD163" i="23" s="1"/>
  <c r="T181" i="23"/>
  <c r="AR162" i="23"/>
  <c r="AQ162" i="23"/>
  <c r="AU162" i="23" s="1"/>
  <c r="AY162" i="23" s="1"/>
  <c r="AF164" i="23"/>
  <c r="AD164" i="23"/>
  <c r="AI164" i="23" s="1"/>
  <c r="AG164" i="23"/>
  <c r="BC162" i="23"/>
  <c r="AC163" i="23"/>
  <c r="AK163" i="23"/>
  <c r="AZ161" i="23"/>
  <c r="AZ186" i="23" s="1"/>
  <c r="AH186" i="23" s="1"/>
  <c r="AM186" i="23" s="1"/>
  <c r="H181" i="23"/>
  <c r="X231" i="23" l="1"/>
  <c r="AB212" i="23"/>
  <c r="H87" i="2"/>
  <c r="AE100" i="2"/>
  <c r="AB222" i="23"/>
  <c r="J32" i="10" s="1"/>
  <c r="I101" i="2"/>
  <c r="AB204" i="23"/>
  <c r="AH163" i="23"/>
  <c r="AR163" i="23" s="1"/>
  <c r="AK164" i="23"/>
  <c r="AC164" i="23"/>
  <c r="AQ163" i="23"/>
  <c r="AU163" i="23" s="1"/>
  <c r="AL164" i="23"/>
  <c r="BD164" i="23" s="1"/>
  <c r="AV162" i="23"/>
  <c r="AZ162" i="23" s="1"/>
  <c r="AD101" i="2"/>
  <c r="X186" i="27"/>
  <c r="BC163" i="23"/>
  <c r="AG165" i="23"/>
  <c r="AF165" i="23"/>
  <c r="AD165" i="23"/>
  <c r="AI165" i="23" s="1"/>
  <c r="AD212" i="23" l="1"/>
  <c r="J24" i="10"/>
  <c r="AB205" i="23"/>
  <c r="BB163" i="23"/>
  <c r="BE163" i="23" s="1"/>
  <c r="AY163" i="23"/>
  <c r="AG166" i="23"/>
  <c r="AF166" i="23"/>
  <c r="AD166" i="23"/>
  <c r="AI166" i="23" s="1"/>
  <c r="AB186" i="27"/>
  <c r="AE101" i="2"/>
  <c r="AQ164" i="23"/>
  <c r="AU164" i="23" s="1"/>
  <c r="AH164" i="23"/>
  <c r="AV163" i="23"/>
  <c r="AZ163" i="23" s="1"/>
  <c r="AC165" i="23"/>
  <c r="AK165" i="23"/>
  <c r="BC164" i="23"/>
  <c r="AL165" i="23"/>
  <c r="BD165" i="23" s="1"/>
  <c r="J20" i="10" l="1"/>
  <c r="AD204" i="23"/>
  <c r="AH165" i="23"/>
  <c r="BC165" i="23"/>
  <c r="AY164" i="23"/>
  <c r="AQ165" i="23"/>
  <c r="AU165" i="23" s="1"/>
  <c r="AF167" i="23"/>
  <c r="AG167" i="23"/>
  <c r="AD167" i="23"/>
  <c r="AI167" i="23" s="1"/>
  <c r="AR164" i="23"/>
  <c r="AV164" i="23" s="1"/>
  <c r="BB164" i="23"/>
  <c r="BE164" i="23" s="1"/>
  <c r="AL166" i="23"/>
  <c r="BD166" i="23" s="1"/>
  <c r="AK166" i="23"/>
  <c r="AC166" i="23"/>
  <c r="AH166" i="23" l="1"/>
  <c r="BB166" i="23" s="1"/>
  <c r="BB165" i="23"/>
  <c r="BE165" i="23" s="1"/>
  <c r="AR165" i="23"/>
  <c r="AY165" i="23"/>
  <c r="AK167" i="23"/>
  <c r="AC167" i="23"/>
  <c r="BC166" i="23"/>
  <c r="AL167" i="23"/>
  <c r="BD167" i="23" s="1"/>
  <c r="AZ164" i="23"/>
  <c r="AF168" i="23"/>
  <c r="AD168" i="23"/>
  <c r="AI168" i="23" s="1"/>
  <c r="AG168" i="23"/>
  <c r="AQ166" i="23"/>
  <c r="AU166" i="23" s="1"/>
  <c r="AY166" i="23" s="1"/>
  <c r="AR166" i="23" l="1"/>
  <c r="AV166" i="23" s="1"/>
  <c r="AV165" i="23"/>
  <c r="AZ165" i="23" s="1"/>
  <c r="AL168" i="23"/>
  <c r="BD168" i="23" s="1"/>
  <c r="AQ167" i="23"/>
  <c r="AU167" i="23" s="1"/>
  <c r="AY167" i="23" s="1"/>
  <c r="AH167" i="23"/>
  <c r="AG169" i="23"/>
  <c r="AF169" i="23"/>
  <c r="AD169" i="23"/>
  <c r="AI169" i="23" s="1"/>
  <c r="BE166" i="23"/>
  <c r="AK168" i="23"/>
  <c r="AC168" i="23"/>
  <c r="BC167" i="23"/>
  <c r="AZ166" i="23"/>
  <c r="AH168" i="23" l="1"/>
  <c r="AR168" i="23" s="1"/>
  <c r="BC168" i="23"/>
  <c r="AD170" i="23"/>
  <c r="AI170" i="23" s="1"/>
  <c r="AG170" i="23"/>
  <c r="AF170" i="23"/>
  <c r="AR167" i="23"/>
  <c r="BB167" i="23"/>
  <c r="AK169" i="23"/>
  <c r="AC169" i="23"/>
  <c r="AQ168" i="23"/>
  <c r="AU168" i="23" s="1"/>
  <c r="AL169" i="23"/>
  <c r="BD169" i="23" s="1"/>
  <c r="BA168" i="23" l="1"/>
  <c r="F193" i="23"/>
  <c r="BB168" i="23"/>
  <c r="BE168" i="23" s="1"/>
  <c r="AY168" i="23"/>
  <c r="BE167" i="23"/>
  <c r="AH169" i="23"/>
  <c r="BA169" i="23" s="1"/>
  <c r="AD171" i="23"/>
  <c r="AF171" i="23"/>
  <c r="AF172" i="23" s="1"/>
  <c r="AF183" i="23" s="1"/>
  <c r="Z206" i="23" s="1"/>
  <c r="AG171" i="23"/>
  <c r="AG172" i="23" s="1"/>
  <c r="AG183" i="23" s="1"/>
  <c r="AA206" i="23" s="1"/>
  <c r="AA208" i="23" s="1"/>
  <c r="AK170" i="23"/>
  <c r="BC170" i="23" s="1"/>
  <c r="AC170" i="23"/>
  <c r="BC169" i="23"/>
  <c r="AV167" i="23"/>
  <c r="AL170" i="23"/>
  <c r="BD170" i="23" s="1"/>
  <c r="AV168" i="23"/>
  <c r="AZ168" i="23" s="1"/>
  <c r="AQ169" i="23"/>
  <c r="AU169" i="23" s="1"/>
  <c r="AY169" i="23" s="1"/>
  <c r="Z208" i="23" l="1"/>
  <c r="Z209" i="23" s="1"/>
  <c r="Z207" i="23"/>
  <c r="Z218" i="23"/>
  <c r="Z223" i="23"/>
  <c r="AI171" i="23"/>
  <c r="F195" i="23"/>
  <c r="F194" i="23"/>
  <c r="AK171" i="23"/>
  <c r="AK172" i="23" s="1"/>
  <c r="AK183" i="23" s="1"/>
  <c r="AB206" i="23" s="1"/>
  <c r="AC171" i="23"/>
  <c r="AQ170" i="23"/>
  <c r="AU170" i="23" s="1"/>
  <c r="AY170" i="23" s="1"/>
  <c r="AZ167" i="23"/>
  <c r="AH170" i="23"/>
  <c r="BA170" i="23" s="1"/>
  <c r="AL171" i="23"/>
  <c r="AR169" i="23"/>
  <c r="AV169" i="23" s="1"/>
  <c r="BB169" i="23"/>
  <c r="AC172" i="23" l="1"/>
  <c r="AC183" i="23" s="1"/>
  <c r="W227" i="23" s="1"/>
  <c r="W235" i="23" s="1"/>
  <c r="AB208" i="23"/>
  <c r="AB218" i="23"/>
  <c r="J29" i="10" s="1"/>
  <c r="BD171" i="23"/>
  <c r="BD172" i="23" s="1"/>
  <c r="AL172" i="23"/>
  <c r="AL183" i="23" s="1"/>
  <c r="AC206" i="23" s="1"/>
  <c r="AC208" i="23" s="1"/>
  <c r="AZ169" i="23"/>
  <c r="AR170" i="23"/>
  <c r="BB170" i="23"/>
  <c r="BE170" i="23" s="1"/>
  <c r="AQ171" i="23"/>
  <c r="AH171" i="23"/>
  <c r="AH172" i="23" s="1"/>
  <c r="AH183" i="23" s="1"/>
  <c r="BC171" i="23"/>
  <c r="BC172" i="23" s="1"/>
  <c r="BE169" i="23"/>
  <c r="X227" i="23" l="1"/>
  <c r="X235" i="23" s="1"/>
  <c r="AC175" i="23"/>
  <c r="AH175" i="23" s="1"/>
  <c r="AC174" i="23"/>
  <c r="AC176" i="23" s="1"/>
  <c r="BA171" i="23"/>
  <c r="BA179" i="23" s="1"/>
  <c r="AB209" i="23"/>
  <c r="AB207" i="23"/>
  <c r="J21" i="10" s="1"/>
  <c r="AM183" i="23"/>
  <c r="AM196" i="23" s="1"/>
  <c r="H25" i="2"/>
  <c r="AD208" i="23"/>
  <c r="AB223" i="23"/>
  <c r="J33" i="10" s="1"/>
  <c r="AU171" i="23"/>
  <c r="AU172" i="23" s="1"/>
  <c r="AQ172" i="23"/>
  <c r="E12" i="20" s="1"/>
  <c r="AV170" i="23"/>
  <c r="AZ170" i="23" s="1"/>
  <c r="AR171" i="23"/>
  <c r="AR172" i="23" s="1"/>
  <c r="BB171" i="23"/>
  <c r="BB172" i="23" s="1"/>
  <c r="AH174" i="23" l="1"/>
  <c r="AY171" i="23"/>
  <c r="AY172" i="23" s="1"/>
  <c r="AC185" i="23" s="1"/>
  <c r="H26" i="2" s="1"/>
  <c r="H200" i="2" s="1"/>
  <c r="H12" i="2"/>
  <c r="H199" i="2"/>
  <c r="I25" i="2"/>
  <c r="I199" i="2" s="1"/>
  <c r="AD25" i="2"/>
  <c r="F12" i="20"/>
  <c r="BE171" i="23"/>
  <c r="BE172" i="23" s="1"/>
  <c r="AV171" i="23"/>
  <c r="Z213" i="23" l="1"/>
  <c r="W228" i="23"/>
  <c r="W236" i="23" s="1"/>
  <c r="X174" i="27"/>
  <c r="X175" i="27" s="1"/>
  <c r="X177" i="27" s="1"/>
  <c r="E11" i="20"/>
  <c r="H45" i="2"/>
  <c r="H44" i="2" s="1"/>
  <c r="H39" i="2" s="1"/>
  <c r="AD39" i="2" s="1"/>
  <c r="H7" i="2"/>
  <c r="H186" i="2" s="1"/>
  <c r="I12" i="2"/>
  <c r="AV172" i="23"/>
  <c r="AZ171" i="23"/>
  <c r="AZ172" i="23" s="1"/>
  <c r="AH185" i="23" s="1"/>
  <c r="X228" i="23" s="1"/>
  <c r="X236" i="23" s="1"/>
  <c r="G193" i="23"/>
  <c r="H187" i="23"/>
  <c r="T182" i="23"/>
  <c r="H182" i="23"/>
  <c r="AM185" i="23" l="1"/>
  <c r="AM197" i="23" s="1"/>
  <c r="I26" i="2"/>
  <c r="I200" i="2" s="1"/>
  <c r="E18" i="20"/>
  <c r="H29" i="19" s="1"/>
  <c r="E19" i="20"/>
  <c r="H36" i="19" s="1"/>
  <c r="H35" i="19" s="1"/>
  <c r="E17" i="20"/>
  <c r="M59" i="10"/>
  <c r="I45" i="2"/>
  <c r="I44" i="2" s="1"/>
  <c r="I39" i="2" s="1"/>
  <c r="AE39" i="2" s="1"/>
  <c r="I7" i="2"/>
  <c r="X183" i="27"/>
  <c r="X188" i="27" s="1"/>
  <c r="Y183" i="27"/>
  <c r="Y188" i="27" s="1"/>
  <c r="AB213" i="23"/>
  <c r="J25" i="10" s="1"/>
  <c r="K187" i="23"/>
  <c r="T183" i="23"/>
  <c r="H13" i="2"/>
  <c r="AD26" i="2"/>
  <c r="G194" i="23"/>
  <c r="G195" i="23"/>
  <c r="AE25" i="2"/>
  <c r="AA179" i="2" l="1"/>
  <c r="E38" i="14"/>
  <c r="I186" i="2"/>
  <c r="L179" i="2"/>
  <c r="K178" i="2"/>
  <c r="X190" i="27"/>
  <c r="H25" i="19"/>
  <c r="M61" i="10"/>
  <c r="C59" i="10" s="1"/>
  <c r="N59" i="10"/>
  <c r="X184" i="27"/>
  <c r="H37" i="19"/>
  <c r="M200" i="2"/>
  <c r="M201" i="2" s="1"/>
  <c r="AE26" i="2"/>
  <c r="I13" i="2"/>
  <c r="X193" i="27"/>
  <c r="X191" i="27" s="1"/>
  <c r="AB174" i="27"/>
  <c r="AB175" i="27" s="1"/>
  <c r="AB177" i="27" s="1"/>
  <c r="AB199" i="2"/>
  <c r="Y199" i="27"/>
  <c r="F11" i="20"/>
  <c r="H188" i="23"/>
  <c r="H189" i="23" s="1"/>
  <c r="H82" i="2"/>
  <c r="X192" i="27" l="1"/>
  <c r="G18" i="11"/>
  <c r="G38" i="14"/>
  <c r="H38" i="14" s="1"/>
  <c r="I38" i="14" s="1"/>
  <c r="J38" i="14" s="1"/>
  <c r="C58" i="10"/>
  <c r="C56" i="10"/>
  <c r="C57" i="10"/>
  <c r="I82" i="2"/>
  <c r="E39" i="14"/>
  <c r="G39" i="14" s="1"/>
  <c r="AB183" i="27"/>
  <c r="AC183" i="27"/>
  <c r="AC188" i="27" s="1"/>
  <c r="F18" i="20"/>
  <c r="I29" i="19" s="1"/>
  <c r="F19" i="20"/>
  <c r="I36" i="19" s="1"/>
  <c r="I35" i="19" s="1"/>
  <c r="F17" i="20"/>
  <c r="J207" i="2"/>
  <c r="AB193" i="27"/>
  <c r="AB191" i="27" s="1"/>
  <c r="N200" i="2" l="1"/>
  <c r="N201" i="2" s="1"/>
  <c r="I37" i="19"/>
  <c r="E58" i="14" s="1"/>
  <c r="G58" i="14" s="1"/>
  <c r="H58" i="14" s="1"/>
  <c r="I58" i="14" s="1"/>
  <c r="J58" i="14" s="1"/>
  <c r="AB188" i="27"/>
  <c r="AB184" i="27"/>
  <c r="V226" i="27"/>
  <c r="H39" i="14"/>
  <c r="G40" i="14"/>
  <c r="E40" i="14"/>
  <c r="G7" i="11" s="1"/>
  <c r="I25" i="19"/>
  <c r="E57" i="14" s="1"/>
  <c r="G57" i="14" s="1"/>
  <c r="H57" i="14" s="1"/>
  <c r="I57" i="14" s="1"/>
  <c r="J57" i="14" s="1"/>
  <c r="T221" i="27" l="1"/>
  <c r="T231" i="27"/>
  <c r="T216" i="27"/>
  <c r="T227" i="27"/>
  <c r="AB190" i="27"/>
  <c r="AB192" i="27" s="1"/>
  <c r="V227" i="27"/>
  <c r="W227" i="27" s="1"/>
  <c r="I39" i="14"/>
  <c r="H40" i="14"/>
  <c r="T226" i="27"/>
  <c r="W226" i="27"/>
  <c r="T222" i="27" l="1"/>
  <c r="T223" i="27" s="1"/>
  <c r="T232" i="27"/>
  <c r="T217" i="27"/>
  <c r="N20" i="10"/>
  <c r="L20" i="10"/>
  <c r="L32" i="10"/>
  <c r="N32" i="10"/>
  <c r="L28" i="10"/>
  <c r="N28" i="10"/>
  <c r="L29" i="10"/>
  <c r="N29" i="10"/>
  <c r="I40" i="14"/>
  <c r="J39" i="14"/>
  <c r="J40" i="14" s="1"/>
  <c r="L21" i="10" l="1"/>
  <c r="N21" i="10"/>
  <c r="L33" i="10"/>
  <c r="N33" i="10"/>
  <c r="L24" i="10"/>
  <c r="N24" i="10"/>
  <c r="L25" i="10"/>
  <c r="N25" i="10"/>
  <c r="H201" i="2"/>
  <c r="H190" i="2" s="1"/>
  <c r="AD102" i="2"/>
  <c r="AD187" i="2"/>
  <c r="AD191" i="2" s="1"/>
  <c r="G102" i="2"/>
  <c r="F102" i="2" s="1"/>
  <c r="F87" i="2" s="1"/>
  <c r="I102" i="2"/>
  <c r="I87" i="2" s="1"/>
  <c r="I201" i="2" l="1"/>
  <c r="G201" i="2"/>
  <c r="G190" i="2" s="1"/>
  <c r="G87" i="2"/>
  <c r="F159" i="2"/>
  <c r="G17" i="11"/>
  <c r="I9" i="18"/>
  <c r="E74" i="14"/>
  <c r="I190" i="2"/>
  <c r="AB102" i="2"/>
  <c r="AB187" i="2" s="1"/>
  <c r="AB191" i="2" s="1"/>
  <c r="F201" i="2"/>
  <c r="AC102" i="2"/>
  <c r="AC187" i="2" s="1"/>
  <c r="AC191" i="2" s="1"/>
  <c r="H159" i="2"/>
  <c r="AE102" i="2"/>
  <c r="AE187" i="2" s="1"/>
  <c r="AE191" i="2" s="1"/>
  <c r="H9" i="18"/>
  <c r="G9" i="18" l="1"/>
  <c r="I159" i="2"/>
  <c r="E41" i="14"/>
  <c r="G41" i="14" s="1"/>
  <c r="F9" i="18"/>
  <c r="F190" i="2"/>
  <c r="H189" i="2"/>
  <c r="H194" i="2" s="1"/>
  <c r="H175" i="2"/>
  <c r="G159" i="2"/>
  <c r="F189" i="2"/>
  <c r="F194" i="2" s="1"/>
  <c r="F175" i="2"/>
  <c r="H7" i="18" l="1"/>
  <c r="H17" i="18" s="1"/>
  <c r="H26" i="18" s="1"/>
  <c r="F176" i="2"/>
  <c r="F178" i="2" s="1"/>
  <c r="F7" i="18"/>
  <c r="F17" i="18" s="1"/>
  <c r="F26" i="18" s="1"/>
  <c r="G44" i="14"/>
  <c r="H41" i="14"/>
  <c r="E44" i="14"/>
  <c r="I189" i="2"/>
  <c r="I194" i="2" s="1"/>
  <c r="E45" i="14" s="1"/>
  <c r="I175" i="2"/>
  <c r="G189" i="2"/>
  <c r="G194" i="2" s="1"/>
  <c r="G175" i="2"/>
  <c r="F180" i="2" l="1"/>
  <c r="F9" i="19"/>
  <c r="F10" i="19" s="1"/>
  <c r="F179" i="2"/>
  <c r="K7" i="2" s="1"/>
  <c r="E49" i="14"/>
  <c r="I7" i="18"/>
  <c r="I17" i="18" s="1"/>
  <c r="I26" i="18" s="1"/>
  <c r="G7" i="18"/>
  <c r="G17" i="18" s="1"/>
  <c r="G26" i="18" s="1"/>
  <c r="F22" i="19"/>
  <c r="F27" i="18"/>
  <c r="F28" i="18" s="1"/>
  <c r="G176" i="2"/>
  <c r="F187" i="2"/>
  <c r="G49" i="14"/>
  <c r="G45" i="14"/>
  <c r="I41" i="14"/>
  <c r="H44" i="14"/>
  <c r="H49" i="14" s="1"/>
  <c r="G8" i="11"/>
  <c r="E46" i="14" s="1"/>
  <c r="G13" i="11"/>
  <c r="H50" i="14" l="1"/>
  <c r="H55" i="14" s="1"/>
  <c r="G50" i="14"/>
  <c r="G55" i="14" s="1"/>
  <c r="G27" i="18"/>
  <c r="G28" i="18" s="1"/>
  <c r="G22" i="19"/>
  <c r="H176" i="2"/>
  <c r="G187" i="2"/>
  <c r="H45" i="14"/>
  <c r="G46" i="14"/>
  <c r="I44" i="14"/>
  <c r="I49" i="14" s="1"/>
  <c r="J41" i="14"/>
  <c r="J44" i="14" s="1"/>
  <c r="J49" i="14" s="1"/>
  <c r="F206" i="2"/>
  <c r="F202" i="2"/>
  <c r="F203" i="2" s="1"/>
  <c r="F64" i="18"/>
  <c r="F20" i="19"/>
  <c r="G9" i="19"/>
  <c r="F8" i="19"/>
  <c r="F17" i="19" s="1"/>
  <c r="G178" i="2"/>
  <c r="F65" i="18"/>
  <c r="G10" i="19"/>
  <c r="F21" i="19"/>
  <c r="F220" i="2" l="1"/>
  <c r="F23" i="19"/>
  <c r="F77" i="18"/>
  <c r="F81" i="18" s="1"/>
  <c r="G51" i="14"/>
  <c r="G52" i="14" s="1"/>
  <c r="F19" i="19"/>
  <c r="F227" i="2"/>
  <c r="H46" i="14"/>
  <c r="I45" i="14"/>
  <c r="J50" i="14"/>
  <c r="J55" i="14" s="1"/>
  <c r="G206" i="2"/>
  <c r="G202" i="2"/>
  <c r="G203" i="2" s="1"/>
  <c r="H51" i="14"/>
  <c r="I50" i="14"/>
  <c r="I55" i="14" s="1"/>
  <c r="H27" i="18"/>
  <c r="H28" i="18" s="1"/>
  <c r="H22" i="19"/>
  <c r="I176" i="2"/>
  <c r="H187" i="2"/>
  <c r="H178" i="2"/>
  <c r="G179" i="2"/>
  <c r="G180" i="2"/>
  <c r="L7" i="2"/>
  <c r="G65" i="18"/>
  <c r="G21" i="19"/>
  <c r="H10" i="19"/>
  <c r="G8" i="19"/>
  <c r="G17" i="19" s="1"/>
  <c r="G64" i="18"/>
  <c r="G77" i="18" s="1"/>
  <c r="G81" i="18" s="1"/>
  <c r="H9" i="19"/>
  <c r="G20" i="19"/>
  <c r="G54" i="14" l="1"/>
  <c r="G23" i="19"/>
  <c r="G227" i="2"/>
  <c r="F82" i="18"/>
  <c r="G82" i="18"/>
  <c r="G220" i="2"/>
  <c r="H8" i="19"/>
  <c r="H17" i="19" s="1"/>
  <c r="H20" i="19"/>
  <c r="H64" i="18"/>
  <c r="I9" i="19"/>
  <c r="M7" i="2"/>
  <c r="H179" i="2"/>
  <c r="H180" i="2"/>
  <c r="H206" i="2"/>
  <c r="H23" i="19" s="1"/>
  <c r="H202" i="2"/>
  <c r="H203" i="2" s="1"/>
  <c r="I51" i="14"/>
  <c r="H52" i="14"/>
  <c r="H54" i="14"/>
  <c r="J51" i="14"/>
  <c r="G19" i="19"/>
  <c r="I10" i="19"/>
  <c r="H65" i="18"/>
  <c r="H21" i="19"/>
  <c r="I22" i="19"/>
  <c r="E55" i="14" s="1"/>
  <c r="I27" i="18"/>
  <c r="I28" i="18" s="1"/>
  <c r="E50" i="14"/>
  <c r="I187" i="2"/>
  <c r="I178" i="2"/>
  <c r="I46" i="14"/>
  <c r="J45" i="14"/>
  <c r="J46" i="14" s="1"/>
  <c r="F38" i="19"/>
  <c r="G38" i="19" l="1"/>
  <c r="H19" i="19"/>
  <c r="J52" i="14"/>
  <c r="J54" i="14"/>
  <c r="H227" i="2"/>
  <c r="H220" i="2"/>
  <c r="I180" i="2"/>
  <c r="I179" i="2"/>
  <c r="K179" i="2" s="1"/>
  <c r="N7" i="2"/>
  <c r="AA178" i="2"/>
  <c r="E51" i="14"/>
  <c r="I206" i="2"/>
  <c r="I23" i="19" s="1"/>
  <c r="I202" i="2"/>
  <c r="I203" i="2" s="1"/>
  <c r="E62" i="14"/>
  <c r="I65" i="18"/>
  <c r="I21" i="19"/>
  <c r="I20" i="19"/>
  <c r="I8" i="19"/>
  <c r="I17" i="19" s="1"/>
  <c r="I64" i="18"/>
  <c r="I77" i="18" s="1"/>
  <c r="E64" i="14" s="1"/>
  <c r="I52" i="14"/>
  <c r="I54" i="14"/>
  <c r="H77" i="18"/>
  <c r="I82" i="18" l="1"/>
  <c r="H82" i="18"/>
  <c r="H81" i="18"/>
  <c r="I19" i="19"/>
  <c r="I81" i="18"/>
  <c r="G11" i="11"/>
  <c r="E52" i="14" s="1"/>
  <c r="I227" i="2"/>
  <c r="I220" i="2"/>
  <c r="E56" i="14" s="1"/>
  <c r="G56" i="14" s="1"/>
  <c r="H38" i="19"/>
  <c r="H56" i="14" l="1"/>
  <c r="G59" i="14"/>
  <c r="E54" i="14"/>
  <c r="E83" i="14" s="1"/>
  <c r="I38" i="19"/>
  <c r="E59" i="14" s="1"/>
  <c r="E76" i="14"/>
  <c r="E66" i="14"/>
  <c r="G61" i="14" s="1"/>
  <c r="G66" i="14" s="1"/>
  <c r="H61" i="14" s="1"/>
  <c r="H66" i="14" s="1"/>
  <c r="I61" i="14" s="1"/>
  <c r="I66" i="14" s="1"/>
  <c r="J61" i="14" s="1"/>
  <c r="J66" i="14" s="1"/>
  <c r="E75" i="14" l="1"/>
  <c r="G15" i="11" s="1"/>
  <c r="E85" i="14"/>
  <c r="G14" i="11"/>
  <c r="E72" i="14" s="1"/>
  <c r="G10" i="11"/>
  <c r="E71" i="14" s="1"/>
  <c r="I56" i="14"/>
  <c r="H59" i="14"/>
  <c r="E77" i="14" l="1"/>
  <c r="G9" i="11" s="1"/>
  <c r="E70" i="14" s="1"/>
  <c r="J56" i="14"/>
  <c r="J59" i="14" s="1"/>
  <c r="I59" i="14"/>
</calcChain>
</file>

<file path=xl/comments1.xml><?xml version="1.0" encoding="utf-8"?>
<comments xmlns="http://schemas.openxmlformats.org/spreadsheetml/2006/main">
  <authors>
    <author>Уреа</author>
  </authors>
  <commentList>
    <comment ref="D3" authorId="0">
      <text>
        <r>
          <rPr>
            <b/>
            <sz val="9"/>
            <color indexed="81"/>
            <rFont val="Tahoma"/>
            <family val="2"/>
            <charset val="204"/>
          </rPr>
          <t>Уреа:</t>
        </r>
        <r>
          <rPr>
            <sz val="9"/>
            <color indexed="81"/>
            <rFont val="Tahoma"/>
            <family val="2"/>
            <charset val="204"/>
          </rPr>
          <t xml:space="preserve">
відпрацьовано
</t>
        </r>
      </text>
    </comment>
    <comment ref="Z107" authorId="0">
      <text>
        <r>
          <rPr>
            <b/>
            <sz val="9"/>
            <color indexed="81"/>
            <rFont val="Tahoma"/>
            <family val="2"/>
            <charset val="204"/>
          </rPr>
          <t>Уреа:</t>
        </r>
        <r>
          <rPr>
            <sz val="9"/>
            <color indexed="81"/>
            <rFont val="Tahoma"/>
            <family val="2"/>
            <charset val="204"/>
          </rPr>
          <t xml:space="preserve">
субсчет 154
</t>
        </r>
      </text>
    </comment>
  </commentList>
</comments>
</file>

<file path=xl/comments2.xml><?xml version="1.0" encoding="utf-8"?>
<comments xmlns="http://schemas.openxmlformats.org/spreadsheetml/2006/main">
  <authors>
    <author>1235</author>
  </authors>
  <commentList>
    <comment ref="E17" authorId="0">
      <text>
        <r>
          <rPr>
            <b/>
            <sz val="22"/>
            <color indexed="81"/>
            <rFont val="Tahoma"/>
            <family val="2"/>
            <charset val="204"/>
          </rPr>
          <t>-46197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Админ</author>
  </authors>
  <commentList>
    <comment ref="E75" authorId="0">
      <text>
        <r>
          <rPr>
            <b/>
            <sz val="9"/>
            <color indexed="81"/>
            <rFont val="Tahoma"/>
            <family val="2"/>
            <charset val="204"/>
          </rPr>
          <t>Админ:</t>
        </r>
        <r>
          <rPr>
            <sz val="9"/>
            <color indexed="81"/>
            <rFont val="Tahoma"/>
            <family val="2"/>
            <charset val="204"/>
          </rPr>
          <t xml:space="preserve">
ф1  рядок 1410
</t>
        </r>
      </text>
    </comment>
  </commentList>
</comments>
</file>

<file path=xl/comments4.xml><?xml version="1.0" encoding="utf-8"?>
<comments xmlns="http://schemas.openxmlformats.org/spreadsheetml/2006/main">
  <authors>
    <author>Админ</author>
  </authors>
  <commentList>
    <comment ref="Q7" authorId="0">
      <text>
        <r>
          <rPr>
            <b/>
            <sz val="9"/>
            <color indexed="81"/>
            <rFont val="Tahoma"/>
            <family val="2"/>
            <charset val="204"/>
          </rPr>
          <t>Админ:</t>
        </r>
        <r>
          <rPr>
            <sz val="9"/>
            <color indexed="81"/>
            <rFont val="Tahoma"/>
            <family val="2"/>
            <charset val="204"/>
          </rPr>
          <t xml:space="preserve">
паливо + мастила
</t>
        </r>
      </text>
    </comment>
    <comment ref="AC7" authorId="0">
      <text>
        <r>
          <rPr>
            <b/>
            <sz val="9"/>
            <color indexed="81"/>
            <rFont val="Tahoma"/>
            <family val="2"/>
            <charset val="204"/>
          </rPr>
          <t>Админ:</t>
        </r>
        <r>
          <rPr>
            <sz val="9"/>
            <color indexed="81"/>
            <rFont val="Tahoma"/>
            <family val="2"/>
            <charset val="204"/>
          </rPr>
          <t xml:space="preserve">
ремонти, страхування+техогляд
</t>
        </r>
      </text>
    </comment>
  </commentList>
</comments>
</file>

<file path=xl/sharedStrings.xml><?xml version="1.0" encoding="utf-8"?>
<sst xmlns="http://schemas.openxmlformats.org/spreadsheetml/2006/main" count="3138" uniqueCount="1155">
  <si>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</si>
  <si>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</si>
  <si>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</si>
  <si>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</si>
  <si>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</si>
  <si>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</si>
  <si>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</si>
  <si>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</si>
  <si>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</si>
  <si>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</si>
  <si>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</si>
  <si>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</si>
  <si>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</si>
  <si>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</si>
  <si>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</si>
  <si>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</si>
  <si>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</si>
  <si>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</si>
  <si>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</si>
  <si>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Додаток 1</t>
  </si>
  <si>
    <t>Територія</t>
  </si>
  <si>
    <t>Форма власності</t>
  </si>
  <si>
    <t>витрати на страхові послуги</t>
  </si>
  <si>
    <t>витрати на аудиторські послуги</t>
  </si>
  <si>
    <t>Валовий прибуток (збиток)</t>
  </si>
  <si>
    <t xml:space="preserve">прибуток </t>
  </si>
  <si>
    <t>збиток</t>
  </si>
  <si>
    <t>Резервний фонд</t>
  </si>
  <si>
    <t>неустойки (штрафи, пені)</t>
  </si>
  <si>
    <t>витрати на паливо та енергію</t>
  </si>
  <si>
    <t>Інші операційні витрати</t>
  </si>
  <si>
    <t>придбання (виготовлення) інших необоротних матеріальних активів</t>
  </si>
  <si>
    <t>Факт минулого року</t>
  </si>
  <si>
    <t>Виручка від реалізації основних фондів</t>
  </si>
  <si>
    <t xml:space="preserve">Виручка від реалізації нематеріальних активів </t>
  </si>
  <si>
    <t>Грошові кошти:</t>
  </si>
  <si>
    <t>на початок періоду</t>
  </si>
  <si>
    <t>Чистий грошовий потік</t>
  </si>
  <si>
    <t>Забезпечення</t>
  </si>
  <si>
    <t>х</t>
  </si>
  <si>
    <t>Фінансовий план поточного року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</si>
  <si>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</si>
  <si>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</si>
  <si>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</si>
  <si>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</si>
  <si>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</si>
  <si>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</si>
  <si>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</si>
  <si>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</si>
  <si>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</si>
  <si>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</si>
  <si>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</si>
  <si>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</si>
  <si>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</si>
  <si>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поліпшення основних фондів</t>
  </si>
  <si>
    <t>відрахування до резерву сумнівних боргів</t>
  </si>
  <si>
    <t>№ з/п</t>
  </si>
  <si>
    <t xml:space="preserve">Надходження від продажу акцій та облігацій </t>
  </si>
  <si>
    <t xml:space="preserve">Придбання акцій та облігацій  </t>
  </si>
  <si>
    <t>на кінець періоду</t>
  </si>
  <si>
    <t>Залучення кредитних коштів</t>
  </si>
  <si>
    <t>Усього</t>
  </si>
  <si>
    <t>Відсоток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</si>
  <si>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</si>
  <si>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</si>
  <si>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відрахування до недержавних пенсійних фондів</t>
  </si>
  <si>
    <t>витрати на консалтингові послуги</t>
  </si>
  <si>
    <t>амортизація основних засобів і нематеріальних активів</t>
  </si>
  <si>
    <t>витрати на електроенергію</t>
  </si>
  <si>
    <t xml:space="preserve">витрати на паливо </t>
  </si>
  <si>
    <t>консультаційні та інформаційні послуги</t>
  </si>
  <si>
    <t>План поточного року</t>
  </si>
  <si>
    <t>Зобов'язання</t>
  </si>
  <si>
    <t xml:space="preserve">Сума, валюта за договорами </t>
  </si>
  <si>
    <t>Процентна ставка</t>
  </si>
  <si>
    <t>модернізація, модифікація (добудова, дообладнання, реконструкція) основних засобів</t>
  </si>
  <si>
    <t>Розвиток виробництва</t>
  </si>
  <si>
    <t>витрати на благодійну допомогу</t>
  </si>
  <si>
    <t xml:space="preserve">Вид кредитного продукту та цільове призначення </t>
  </si>
  <si>
    <t>за минулий рік</t>
  </si>
  <si>
    <t>за плановий рік</t>
  </si>
  <si>
    <t xml:space="preserve">      4. Діючі фінансові зобов'язання підприємства</t>
  </si>
  <si>
    <t xml:space="preserve">      5. Інформація щодо отримання та повернення залучених коштів</t>
  </si>
  <si>
    <t>витрати на утримання основних фондів, інших необоротних активів загальногосподарського використання,  у тому числі:</t>
  </si>
  <si>
    <t>(посада)</t>
  </si>
  <si>
    <t>(підпис)</t>
  </si>
  <si>
    <t>витрати на рекламу</t>
  </si>
  <si>
    <t>рік</t>
  </si>
  <si>
    <t>Інші операційні витрати, усього, у тому числі:</t>
  </si>
  <si>
    <t>Капітальні інвестиції, усього,
у тому числі:</t>
  </si>
  <si>
    <t>податок на доходи фізичних осіб</t>
  </si>
  <si>
    <t xml:space="preserve">Єдиний внесок на загальнообов'язкове державне соціальне страхування                              </t>
  </si>
  <si>
    <t>акцизний податок</t>
  </si>
  <si>
    <t>Вид діяльності</t>
  </si>
  <si>
    <t>Заборгованість на останню дату</t>
  </si>
  <si>
    <t>Заборгованість за кредитами на початок ______ року</t>
  </si>
  <si>
    <t>Заборгованість за кредитами на кінець ______ року</t>
  </si>
  <si>
    <t>Бюджетне фінансування</t>
  </si>
  <si>
    <t>інші платежі (розшифрувати)</t>
  </si>
  <si>
    <t xml:space="preserve">      1. Дані про підприємство, персонал та фонд заробітної плати</t>
  </si>
  <si>
    <t>кредити</t>
  </si>
  <si>
    <t>Отримання коштів  за довгостроковими зобов'язаннями, у тому числі:</t>
  </si>
  <si>
    <t>Повернення коштів за короткостроковими зобов'язаннями, у тому числі:</t>
  </si>
  <si>
    <t>Отримання коштів за короткостроковими зобов'язаннями, у тому числі:</t>
  </si>
  <si>
    <t>Повернення коштів  за довгостроковими зобов'язаннями, у тому числі:</t>
  </si>
  <si>
    <t xml:space="preserve">позики </t>
  </si>
  <si>
    <t>у тому числі за кварталами</t>
  </si>
  <si>
    <t>Фінансовий результат до оподаткування</t>
  </si>
  <si>
    <t>Чистий  фінансовий результат, у тому числі:</t>
  </si>
  <si>
    <t>І. Формування фінансових результатів</t>
  </si>
  <si>
    <t>плата за користування надрами</t>
  </si>
  <si>
    <t>Оптимальне значення</t>
  </si>
  <si>
    <t>Факт за звітний період поточного року на останню дату</t>
  </si>
  <si>
    <t>Планові показники</t>
  </si>
  <si>
    <t>Примітки</t>
  </si>
  <si>
    <t>&gt; 0</t>
  </si>
  <si>
    <t xml:space="preserve">         (ініціали, прізвище)    </t>
  </si>
  <si>
    <t>у тому числі:</t>
  </si>
  <si>
    <r>
      <t>у тому числі:</t>
    </r>
    <r>
      <rPr>
        <i/>
        <sz val="14"/>
        <rFont val="Times New Roman"/>
        <family val="1"/>
        <charset val="204"/>
      </rPr>
      <t xml:space="preserve"> </t>
    </r>
  </si>
  <si>
    <t>рентна плата за транспортування</t>
  </si>
  <si>
    <t>_____________________________</t>
  </si>
  <si>
    <t>витрати, пов'язані з використанням власних службових автомобілів</t>
  </si>
  <si>
    <t>Чистий дохід від реалізації продукції (товарів, робіт, послуг) (розшифрувати)</t>
  </si>
  <si>
    <t>Дохід від участі в капіталі (розшифрувати)</t>
  </si>
  <si>
    <t>Фінансові витрати (розшифрувати)</t>
  </si>
  <si>
    <t>Втрати від участі в капіталі (розшифрувати)</t>
  </si>
  <si>
    <t>Інші витрати (розшифрувати)</t>
  </si>
  <si>
    <t>Інші фонди (розшифрувати)</t>
  </si>
  <si>
    <t>Інші цілі (розшифрувати)</t>
  </si>
  <si>
    <t>місцеві податки та збори (розшифрувати)</t>
  </si>
  <si>
    <t>Цільове фінансування  (розшифрувати)</t>
  </si>
  <si>
    <t xml:space="preserve">Інші надходження (розшифрувати) </t>
  </si>
  <si>
    <t xml:space="preserve">Придбання (створення) основних засобів (розшифрувати) </t>
  </si>
  <si>
    <t xml:space="preserve">Капітальне будівництво (розшифрувати) </t>
  </si>
  <si>
    <t xml:space="preserve">Придбання (створення) нематеріальних активів (розшифрувати) </t>
  </si>
  <si>
    <t>облігації</t>
  </si>
  <si>
    <t>Інформація</t>
  </si>
  <si>
    <t>інші витрати на збут (розшифрувати)</t>
  </si>
  <si>
    <t>Собівартість реалізованої продукції (товарів, робіт, послуг) (розшифрувати)</t>
  </si>
  <si>
    <t>Найменування  банку</t>
  </si>
  <si>
    <t>Інші джерела (розшифрувати)</t>
  </si>
  <si>
    <t>(ініціали, прізвище)</t>
  </si>
  <si>
    <t>за КОАТУУ</t>
  </si>
  <si>
    <t>за КОПФГ</t>
  </si>
  <si>
    <t>у тому числі за основними видами діяльності за КВЕД</t>
  </si>
  <si>
    <t>(найменування підприємства)</t>
  </si>
  <si>
    <t>Середньооблікова чисельність осіб, у тому числі:</t>
  </si>
  <si>
    <t>План минулого року</t>
  </si>
  <si>
    <t>Плановий рік</t>
  </si>
  <si>
    <t>Код за ЄДРПОУ</t>
  </si>
  <si>
    <t>Рік</t>
  </si>
  <si>
    <t>Витрати на збут</t>
  </si>
  <si>
    <t>Витрати (дохід) з податку на прибуток</t>
  </si>
  <si>
    <t xml:space="preserve">Прибуток (збиток) від  припиненої діяльності після оподаткування </t>
  </si>
  <si>
    <t>Адміністративні витрати</t>
  </si>
  <si>
    <t>Інші операційні доходи/витрати</t>
  </si>
  <si>
    <t>EBITDA</t>
  </si>
  <si>
    <t>Доходи/витрати від фінансової та інвестиційної діяльності</t>
  </si>
  <si>
    <t>Грошові кошти на початок періоду</t>
  </si>
  <si>
    <t>Чистий рух грошових коштів від операційної діяльності</t>
  </si>
  <si>
    <t>Чистий рух грошових коштів від фінансової діяльності</t>
  </si>
  <si>
    <t>Грошові кошти на кінець періоду</t>
  </si>
  <si>
    <t>Необоротні активи</t>
  </si>
  <si>
    <t>Оборотні активи</t>
  </si>
  <si>
    <t>Власний капітал</t>
  </si>
  <si>
    <t>Розподіл чистого прибутку</t>
  </si>
  <si>
    <t xml:space="preserve">Нараховані до сплати обов'язкові платежі підприємства до бюджету та єдиний внесок на загальнообов'язкове державне соціальне страхування </t>
  </si>
  <si>
    <t>ІІІ. Рух грошових коштів</t>
  </si>
  <si>
    <t>Податок на прибуток підприємств</t>
  </si>
  <si>
    <t>IІ. Розрахунки з бюджетом</t>
  </si>
  <si>
    <t>Чистий рух грошових коштів операційної діяльності</t>
  </si>
  <si>
    <t>І. Рух коштів у результаті операційної діяльності</t>
  </si>
  <si>
    <t>II. Рух коштів у результаті інвестиційної діяльності</t>
  </si>
  <si>
    <t>Чистий рух коштів від інвестиційної діяльності </t>
  </si>
  <si>
    <t>III. Рух коштів у результаті фінансової діяльності</t>
  </si>
  <si>
    <t>Чистий рух коштів від фінансової діяльності </t>
  </si>
  <si>
    <t>Надходження від отриманих:</t>
  </si>
  <si>
    <t>відсотків </t>
  </si>
  <si>
    <t>дивідендів </t>
  </si>
  <si>
    <t>Надходження від деривативів</t>
  </si>
  <si>
    <t>Власного капіталу </t>
  </si>
  <si>
    <t>Прогноз на поточний рік</t>
  </si>
  <si>
    <t>Розрахунок показника EBITDA</t>
  </si>
  <si>
    <t>Коефіцієнт рентабельності власного капіталу</t>
  </si>
  <si>
    <t xml:space="preserve">Вплив зміни валютних курсів на залишок коштів </t>
  </si>
  <si>
    <t>Довгострокові зобов'язання і забезпечення</t>
  </si>
  <si>
    <t>Поточні зобов'язання і забезпечення</t>
  </si>
  <si>
    <t>Коефіцієнт рентабельності активів</t>
  </si>
  <si>
    <t>погашення податкового боргу, у тому числі:</t>
  </si>
  <si>
    <t>Собівартість реалізованої продукції (товарів, робіт, послуг)</t>
  </si>
  <si>
    <t>&gt; 1</t>
  </si>
  <si>
    <t xml:space="preserve">Прибуток (збиток) від звичайної діяльності до оподаткування </t>
  </si>
  <si>
    <t>Коригування на:</t>
  </si>
  <si>
    <t>Грошові кошти від операційної діяльності</t>
  </si>
  <si>
    <t>Сплачений податок на прибуток</t>
  </si>
  <si>
    <t>амортизацію необоротних активів</t>
  </si>
  <si>
    <t xml:space="preserve">збільшення (зменшення) забезпечень  </t>
  </si>
  <si>
    <t xml:space="preserve">збиток (прибуток) від нереалізованих курсових різниць </t>
  </si>
  <si>
    <t>збиток (прибуток) від неопераційної діяльності та інших негрошових операцій (розшифрувати)</t>
  </si>
  <si>
    <t>Зменшення (збільшення) оборотних активів (розшифрувати)</t>
  </si>
  <si>
    <t>Збільшення (зменшення) поточних зобов’язань (розшифрувати)</t>
  </si>
  <si>
    <t>транспортні витрати</t>
  </si>
  <si>
    <t>витрати на зберігання та упаковку</t>
  </si>
  <si>
    <t>Коефіцієнти рентабельності та прибутковості</t>
  </si>
  <si>
    <t>Аналіз капітальних інвестицій</t>
  </si>
  <si>
    <t>Коефіцієнти фінансової стійкості та ліквідності</t>
  </si>
  <si>
    <t>Стандарти звітності П(с)БОУ</t>
  </si>
  <si>
    <t>Стандарти звітності МСФЗ</t>
  </si>
  <si>
    <t>Перенесено з додаткового капіталу</t>
  </si>
  <si>
    <t>Марка</t>
  </si>
  <si>
    <t>Рік придбання</t>
  </si>
  <si>
    <t>Витрати, усього</t>
  </si>
  <si>
    <t>матеріальні витрати</t>
  </si>
  <si>
    <t>оплата праці</t>
  </si>
  <si>
    <t>амортизація</t>
  </si>
  <si>
    <t>інші витрати</t>
  </si>
  <si>
    <t>Договір</t>
  </si>
  <si>
    <t>Дата початку оренди</t>
  </si>
  <si>
    <t>Сума орендної плати</t>
  </si>
  <si>
    <t>Усього на рік</t>
  </si>
  <si>
    <t>Основні фінансові показники</t>
  </si>
  <si>
    <t>Чистий дохід від реалізації продукції (товарів, робіт, послуг)</t>
  </si>
  <si>
    <t>Відрахування частини чистого прибутку, усього, у тому числі:</t>
  </si>
  <si>
    <t>витрати на оренду службових автомобілів</t>
  </si>
  <si>
    <t>№</t>
  </si>
  <si>
    <t>Загальна кошторисна вартість</t>
  </si>
  <si>
    <t>Первісна балансова вартість введених потужностей на початок планового року</t>
  </si>
  <si>
    <t>Капітальні інвестиції</t>
  </si>
  <si>
    <t>IV. Капітальні інвестиції</t>
  </si>
  <si>
    <t xml:space="preserve">IV. Капітальні інвестиції </t>
  </si>
  <si>
    <t>VI. Звіт про фінансовий стан</t>
  </si>
  <si>
    <t>V. Коефіцієнтний аналіз</t>
  </si>
  <si>
    <t>8. Джерела капітальних інвестицій</t>
  </si>
  <si>
    <t>курсові різниці</t>
  </si>
  <si>
    <t>Інші доходи (розшифрувати), у тому числі:</t>
  </si>
  <si>
    <t>Інші витрати (розшифрувати), у тому числі:</t>
  </si>
  <si>
    <t>2145/1</t>
  </si>
  <si>
    <t>2145/2</t>
  </si>
  <si>
    <t>4010</t>
  </si>
  <si>
    <t>x</t>
  </si>
  <si>
    <t>Адміністративні витрати, у тому числі:</t>
  </si>
  <si>
    <t>Витрати на збут, у тому числі:</t>
  </si>
  <si>
    <t>Рентабельність EBITDA</t>
  </si>
  <si>
    <t>Чистий  фінансовий результат</t>
  </si>
  <si>
    <t>Коефіцієнт рентабельності діяльності</t>
  </si>
  <si>
    <t>2120 / 2130</t>
  </si>
  <si>
    <t>Коефіцієнт фінансової стійкості</t>
  </si>
  <si>
    <t>Інші доходи/витрати</t>
  </si>
  <si>
    <t>Чистий рух грошових коштів від інвестиційної діяльності</t>
  </si>
  <si>
    <t>Пояснення та обґрунтування до запланованого рівня доходів/витрат</t>
  </si>
  <si>
    <t>Елементи операційних витрат</t>
  </si>
  <si>
    <t>тис. гривень (без ПДВ)</t>
  </si>
  <si>
    <t xml:space="preserve">      3. Інформація про бізнес підприємства (код рядка 1000 фінансового плану)</t>
  </si>
  <si>
    <t>6. Витрати, пов'язані з використанням власних службових автомобілів (у складі адміністративних витрат, рядок 1041)</t>
  </si>
  <si>
    <t>7. Витрати на оренду службових автомобілів (у складі адміністративних витрат, рядок 1042)</t>
  </si>
  <si>
    <t>Найменування об’єкта</t>
  </si>
  <si>
    <t>9. Капітальне будівництво (рядок 4010 таблиці 4)</t>
  </si>
  <si>
    <t>Прибуток (збиток) від операційної діяльності до змін в оборотному капіталі</t>
  </si>
  <si>
    <t>Інші поточні податки, збори, обов'язкові платежі до державного та місцевих бюджетів, у тому числі:</t>
  </si>
  <si>
    <t xml:space="preserve">                                (посада)</t>
  </si>
  <si>
    <t>_________________________</t>
  </si>
  <si>
    <r>
      <t>Керівник ______________________________________</t>
    </r>
    <r>
      <rPr>
        <sz val="14"/>
        <rFont val="Times New Roman"/>
        <family val="1"/>
        <charset val="204"/>
      </rPr>
      <t xml:space="preserve"> </t>
    </r>
  </si>
  <si>
    <t>____________________________________________</t>
  </si>
  <si>
    <t>Коди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</si>
  <si>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</si>
  <si>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Неконтрольована частка</t>
  </si>
  <si>
    <t>плановий рік +1 рік</t>
  </si>
  <si>
    <t>плановий рік +2 роки</t>
  </si>
  <si>
    <t>плановий рік +3 роки</t>
  </si>
  <si>
    <t>погашення реструктуризованих та відстрочених сум,  що підлягають сплаті в поточному році до бюджетів та державних цільових фондів</t>
  </si>
  <si>
    <t xml:space="preserve">                                                                   (посада)</t>
  </si>
  <si>
    <t xml:space="preserve">                (ініціали, прізвище)    </t>
  </si>
  <si>
    <t>директор</t>
  </si>
  <si>
    <t>працівники</t>
  </si>
  <si>
    <t>Найменування показника</t>
  </si>
  <si>
    <t>Інформація згідно із стратегічним планом розвитку</t>
  </si>
  <si>
    <t>у тому числі грошові кошти та їх еквіваленти</t>
  </si>
  <si>
    <t>у тому числі державні гранти і субсидії</t>
  </si>
  <si>
    <t>у тому числі фінансові запозичення</t>
  </si>
  <si>
    <t>Усього зобов'язання і забезпечення</t>
  </si>
  <si>
    <t>Усього активи</t>
  </si>
  <si>
    <t>Доходи і витрати (деталізація)</t>
  </si>
  <si>
    <t>Доходи/витрати від фінансової та інвестиційної діяльності
(рядок 1110 + рядок 1120 - рядок 1130 - рядок 1140)</t>
  </si>
  <si>
    <t>Інші доходи/витрати
(рядок 1150 - рядок 1160)</t>
  </si>
  <si>
    <t>Фінансовий результат від операційної діяльності (рядок 1100)</t>
  </si>
  <si>
    <t>плюс амортизація (рядок 1530)</t>
  </si>
  <si>
    <t>мінус операційні доходи від курсових різниць (рядок 1031)</t>
  </si>
  <si>
    <t>плюс операційні витрати від курсових різниць (рядок 1084)</t>
  </si>
  <si>
    <t>Інші операційні доходи/витрати
(рядок 1030 - рядок 1080)</t>
  </si>
  <si>
    <t>Надходження</t>
  </si>
  <si>
    <t xml:space="preserve">Надходження </t>
  </si>
  <si>
    <t>Витрати</t>
  </si>
  <si>
    <t>Ковенанти/обмежувальні коефіцієнти</t>
  </si>
  <si>
    <t>Фонд оплати праці, тис. гривень, у тому числі:</t>
  </si>
  <si>
    <t>Витрати на оплату праці, тис. гривень, у тому числі:</t>
  </si>
  <si>
    <t>Плановий рік до плану поточного року, %</t>
  </si>
  <si>
    <t>Плановий рік до факту минулого року, %</t>
  </si>
  <si>
    <t>адміністративно-управлінський персонал</t>
  </si>
  <si>
    <t>Незавершене будівництво на початок планового року</t>
  </si>
  <si>
    <t>власні кошти</t>
  </si>
  <si>
    <t>кредитні кошти</t>
  </si>
  <si>
    <t>інші джерела (зазначити джерело)</t>
  </si>
  <si>
    <t>Документ, яким затверджений титул будови, із зазначенням органу, який його погодив</t>
  </si>
  <si>
    <t>У тому числі за їх видами</t>
  </si>
  <si>
    <t xml:space="preserve">                    (підпис)</t>
  </si>
  <si>
    <t xml:space="preserve">                                     (посада)</t>
  </si>
  <si>
    <t xml:space="preserve">Найменування об’єктів </t>
  </si>
  <si>
    <t>Власні кошти (розшифрувати)</t>
  </si>
  <si>
    <t>Валовий прибуток/збиток</t>
  </si>
  <si>
    <t>витрати на сировину та основні матеріали</t>
  </si>
  <si>
    <t>Доходи і витрати (узагальнені показники)</t>
  </si>
  <si>
    <t>Матеріальні витрати, у тому числі:</t>
  </si>
  <si>
    <t>Коефіцієнт відношення боргу до EBITDA
(довгострокові зобов'язання, рядок 6040 + поточні зобов'язання, рядок 6050 / EBITDA, рядок 1410)</t>
  </si>
  <si>
    <t>Коефіцієнт фінансової стійкості
(власний капітал, рядок 6090 / довгострокові зобов'язання, рядок 6040 + поточні зобов'язання, рядок 6050)</t>
  </si>
  <si>
    <t>Коефіцієнт поточної ліквідності (покриття)
(оборотні активи, рядок 6010 / поточні зобов'язання, рядок 6050)</t>
  </si>
  <si>
    <t>Коефіцієнт відношення капітальних інвестицій до амортизації
(рядок 4000 / рядок 1530)</t>
  </si>
  <si>
    <t>Коефіцієнт відношення капітальних інвестицій до чистого доходу (виручки) від реалізації продукції (товарів, робіт, послуг)
(рядок 4000 / рядок 1000)</t>
  </si>
  <si>
    <t>керівники</t>
  </si>
  <si>
    <t>професіонали</t>
  </si>
  <si>
    <t>фахівці</t>
  </si>
  <si>
    <t>технічні службовці</t>
  </si>
  <si>
    <t>робітники</t>
  </si>
  <si>
    <t>інші категорії</t>
  </si>
  <si>
    <t>Середньомісячна заробітна плата одного працівника, гривень</t>
  </si>
  <si>
    <t>Середньомісячний дохід одного працівника, гривень</t>
  </si>
  <si>
    <t xml:space="preserve"> У разі збільшення витрат на оплату праці в плановому році порівняно з установленим рівнем поточного року та фактом попереднього року надаються обґрунтування. </t>
  </si>
  <si>
    <t xml:space="preserve">      2. Перелік підприємств, які включені до консолідованого (зведеного) фінансового плану</t>
  </si>
  <si>
    <t>Найменування підприємства</t>
  </si>
  <si>
    <t>Питома вага в загальному обсязі реалізації, %</t>
  </si>
  <si>
    <t>чистий дохід  від реалізації продукції (товарів, робіт, послуг),     тис. гривень</t>
  </si>
  <si>
    <t>кількість продукції/             наданих послуг, одиниця виміру</t>
  </si>
  <si>
    <t>ціна одиниці     (вартість  продукції/     наданих послуг), гривень</t>
  </si>
  <si>
    <t>Дата видачі/погашення (графік)</t>
  </si>
  <si>
    <t xml:space="preserve">Довгострокові зобов'язання, усього </t>
  </si>
  <si>
    <t>Короткострокові зобов'язання, усього</t>
  </si>
  <si>
    <t>Інші фінансові зобов'язання, усього</t>
  </si>
  <si>
    <t xml:space="preserve">у тому числі </t>
  </si>
  <si>
    <t>Рік початку                і закінчення будівництва</t>
  </si>
  <si>
    <t>Інформація щодо проектно-кошторисної документації (стан розроблення, затвердження,                                     у разі затвердження зазначити орган, яким затверджено, та відповідний документ)</t>
  </si>
  <si>
    <t xml:space="preserve">               (підпис)</t>
  </si>
  <si>
    <t>Податок на додану вартість, нарахований до сплати до державного бюджету за підсумками звітного періоду</t>
  </si>
  <si>
    <t>Податок на додану вартість, що підлягає відшкодуванню з державного бюджету за підсумками звітного періоду</t>
  </si>
  <si>
    <t>Збільшення</t>
  </si>
  <si>
    <t>Характеризує ефективність використання активів підприємства</t>
  </si>
  <si>
    <t>Характеризує ефективність господарської діяльності підприємства</t>
  </si>
  <si>
    <t>Характеризує співвідношення власних та позикових коштів і залежність підприємства від зовнішніх фінансових джерел</t>
  </si>
  <si>
    <t>Характеризує інвестиційну політику підприємства</t>
  </si>
  <si>
    <t>Показує достатність ресурсів підприємства, які може бути використано для погашення його поточних зобов'язань.  Нормативним значенням для цього показника є &gt; 1–1,5</t>
  </si>
  <si>
    <t xml:space="preserve">      Загальна інформація про підприємство (резюме)</t>
  </si>
  <si>
    <t>Мета використання</t>
  </si>
  <si>
    <t>освоєння капітальних вкладень</t>
  </si>
  <si>
    <t>фінансування капітальних інвестицій (оплата грошовими коштами), усього</t>
  </si>
  <si>
    <t>М. П.</t>
  </si>
  <si>
    <t>План з повернення коштів</t>
  </si>
  <si>
    <t>мінус/плюс значні нетипові операційні доходи/витрати (розшифрувати)</t>
  </si>
  <si>
    <t>Валова рентабельність
(валовий прибуток, рядок 1020 / чистий дохід від реалізації продукції (товарів, робіт, послуг), рядок 1000, %)</t>
  </si>
  <si>
    <t>Рентабельність EBITDA
(EBITDA, рядок 1410 / чистий дохід від реалізації продукції (товарів, робіт, послуг), рядок 1000, %)</t>
  </si>
  <si>
    <t>Коефіцієнт зносу основних засобів 
(сума зносу / первісна вартість основних засобів) 
(форма 1, рядок 1012 / форма 1, рядок 1011)</t>
  </si>
  <si>
    <t>Інші коефіцієнти/ковенанти, якщо такі передбачені умовами кредитних договорів, із зазначенням банку, валюти та суми зобов'язання на дату останньої звітності, строку погашення. У графі "Оптимальне значення" вказати граничне значення коефіцієнта</t>
  </si>
  <si>
    <t>План із залучення коштів</t>
  </si>
  <si>
    <t>плановий рік
+4 роки</t>
  </si>
  <si>
    <t>Податок на додану вартість нарахований/до відшкодування
(з мінусом)</t>
  </si>
  <si>
    <t>Коефіцієнт рентабельності активів
(чистий фінансовий результат, рядок 1200 / вартість активів, рядок 6030)</t>
  </si>
  <si>
    <t>Коефіцієнт рентабельності власного капіталу
(чистий фінансовий результат, рядок 1200 / власний капітал, рядок 6090)</t>
  </si>
  <si>
    <t>Коефіцієнт рентабельності діяльності
(чистий фінансовий результат, рядок 1200 / чистий дохід від реалізації продукції (товарів, робіт, послуг), рядок 1000)</t>
  </si>
  <si>
    <t>Відрахування частини чистого прибутку</t>
  </si>
  <si>
    <t>Сплата інших податків, зборів, обов'язкових платежів до державного та місцевих бюджетів</t>
  </si>
  <si>
    <t>Усього виплат</t>
  </si>
  <si>
    <t>Усього доходів (рядок 1000 + рядок 1030 + рядок 1110 + рядок 1120+ рядок 1150)</t>
  </si>
  <si>
    <t>Усього витрат (рядок 1010 + рядок 1040 + рядок 1070 + рядок 1080 + рядок 1130 + рядок 1140 + рядок 1160 + рядок 1180 + рядок 1190)</t>
  </si>
  <si>
    <t>План</t>
  </si>
  <si>
    <t>І   квартал</t>
  </si>
  <si>
    <t>півріччя</t>
  </si>
  <si>
    <t>9 місяців</t>
  </si>
  <si>
    <t>Таблиця IІ. Розрахунки з бюджетом</t>
  </si>
  <si>
    <t>Таблиця I. Формування фінансових результатів</t>
  </si>
  <si>
    <t>внесок 15 % чистого прибутку до загального фонду міського бюджету</t>
  </si>
  <si>
    <t>внесок 60 % частини прибутку, який залишається в розпорядженні підприємства після оподаткування відповідно до чинного законодавства та сплати 15 % чистого прибутку до загального фонду міського бюджету</t>
  </si>
  <si>
    <t>Таблиця ІІІ. Рух грошових коштів</t>
  </si>
  <si>
    <t>І  квартал</t>
  </si>
  <si>
    <t>І квартал</t>
  </si>
  <si>
    <t xml:space="preserve">І квартал </t>
  </si>
  <si>
    <t>РОЗГЛЯНУТО __________________________________________</t>
  </si>
  <si>
    <t>______________________________________________________</t>
  </si>
  <si>
    <t xml:space="preserve">(прізвище, ініціали та підпис керівника виконавчого органу міської ради відповідно до підпорядкованості, який розглянув фінансовий план) </t>
  </si>
  <si>
    <t>ЗАТВЕРДЖЕНО ______________________________</t>
  </si>
  <si>
    <t xml:space="preserve">(дата та номер рішення виконавчого </t>
  </si>
  <si>
    <t>комітету міської ради)</t>
  </si>
  <si>
    <r>
      <t xml:space="preserve">Орган державного управління  </t>
    </r>
    <r>
      <rPr>
        <b/>
        <i/>
        <sz val="16"/>
        <rFont val="Times New Roman"/>
        <family val="1"/>
        <charset val="204"/>
      </rPr>
      <t xml:space="preserve"> </t>
    </r>
  </si>
  <si>
    <t>Одиниця виміру, тис. гривень без десяткових знаків</t>
  </si>
  <si>
    <t xml:space="preserve">                      (посада)</t>
  </si>
  <si>
    <t>військовий збір</t>
  </si>
  <si>
    <t>Ставка ЄСВ</t>
  </si>
  <si>
    <t>Ставка ЄСВ для інвалідів</t>
  </si>
  <si>
    <t>Відрахування</t>
  </si>
  <si>
    <t>Утримання</t>
  </si>
  <si>
    <t>ПДФО</t>
  </si>
  <si>
    <t>Військовий збір</t>
  </si>
  <si>
    <t>ФОП інвалідів</t>
  </si>
  <si>
    <t>ФОП (загальний)</t>
  </si>
  <si>
    <t>Податок на доходи фізичних осіб</t>
  </si>
  <si>
    <t>2147/1</t>
  </si>
  <si>
    <t>1000/1</t>
  </si>
  <si>
    <t>1076/1</t>
  </si>
  <si>
    <t>Комунальне підприємство</t>
  </si>
  <si>
    <t>Україна</t>
  </si>
  <si>
    <t>81.29</t>
  </si>
  <si>
    <t>42.11</t>
  </si>
  <si>
    <t>Інші види діяльності з прибирання</t>
  </si>
  <si>
    <t>Комунальна власність</t>
  </si>
  <si>
    <t>Оганесян А.А.</t>
  </si>
  <si>
    <t>комунальні послуги з благоустрію</t>
  </si>
  <si>
    <t>1000/2</t>
  </si>
  <si>
    <t>інші послуги</t>
  </si>
  <si>
    <t>1000/3</t>
  </si>
  <si>
    <t>1000/4</t>
  </si>
  <si>
    <t>поточний ремонт автошляхів</t>
  </si>
  <si>
    <t>1030/1</t>
  </si>
  <si>
    <t>1120/1</t>
  </si>
  <si>
    <t>Фінансування</t>
  </si>
  <si>
    <t>1150/1</t>
  </si>
  <si>
    <t>1160/1</t>
  </si>
  <si>
    <t>3030/1</t>
  </si>
  <si>
    <t>3030/2</t>
  </si>
  <si>
    <t>коригування суми амортизації</t>
  </si>
  <si>
    <t>коригування суми непокритого збитку</t>
  </si>
  <si>
    <t>3050/1</t>
  </si>
  <si>
    <t>запаси</t>
  </si>
  <si>
    <t>дебіторська заборгованість</t>
  </si>
  <si>
    <t>3050/2</t>
  </si>
  <si>
    <t>витрати майбутніх періодів</t>
  </si>
  <si>
    <t>3050/3</t>
  </si>
  <si>
    <t>інші оборотні активи</t>
  </si>
  <si>
    <t>3050/4</t>
  </si>
  <si>
    <t>3570/1</t>
  </si>
  <si>
    <t>зменшення додаткового капіталу</t>
  </si>
  <si>
    <t>КП "Управління по ремонту та експлуатації автошляхів" Дніпровської міської ради</t>
  </si>
  <si>
    <t>обслуговування адміністративно-управлінського апарату</t>
  </si>
  <si>
    <t>внески органів місцевого самоврядування до статутного капіталу</t>
  </si>
  <si>
    <t>3480/1</t>
  </si>
  <si>
    <t>Придбання основних засобів</t>
  </si>
  <si>
    <r>
      <t>Керівник</t>
    </r>
    <r>
      <rPr>
        <sz val="14"/>
        <rFont val="Times New Roman"/>
        <family val="1"/>
        <charset val="204"/>
      </rPr>
      <t xml:space="preserve"> __________________________________</t>
    </r>
  </si>
  <si>
    <r>
      <t xml:space="preserve">                     Керівник </t>
    </r>
    <r>
      <rPr>
        <sz val="14"/>
        <rFont val="Times New Roman"/>
        <family val="1"/>
        <charset val="204"/>
      </rPr>
      <t xml:space="preserve"> _____________________________________</t>
    </r>
  </si>
  <si>
    <r>
      <t xml:space="preserve">Керівник </t>
    </r>
    <r>
      <rPr>
        <sz val="14"/>
        <rFont val="Times New Roman"/>
        <family val="1"/>
        <charset val="204"/>
      </rPr>
      <t>_______________________________</t>
    </r>
  </si>
  <si>
    <r>
      <t xml:space="preserve">Керівник </t>
    </r>
    <r>
      <rPr>
        <sz val="14"/>
        <rFont val="Times New Roman"/>
        <family val="1"/>
        <charset val="204"/>
      </rPr>
      <t>______________________________</t>
    </r>
  </si>
  <si>
    <r>
      <t xml:space="preserve">Керівник </t>
    </r>
    <r>
      <rPr>
        <sz val="14"/>
        <rFont val="Times New Roman"/>
        <family val="1"/>
        <charset val="204"/>
      </rPr>
      <t>_____________________________________</t>
    </r>
  </si>
  <si>
    <r>
      <t>Керівник</t>
    </r>
    <r>
      <rPr>
        <sz val="14"/>
        <rFont val="Times New Roman"/>
        <family val="1"/>
        <charset val="204"/>
      </rPr>
      <t xml:space="preserve">   _____________________________________</t>
    </r>
  </si>
  <si>
    <t>до Порядку складання, затвердження та контролю виконання фінансових планів підприємств комунальної власності територіальної громади міста Дніпра</t>
  </si>
  <si>
    <t>матеріали</t>
  </si>
  <si>
    <t>ЗП</t>
  </si>
  <si>
    <t>ЄСВ</t>
  </si>
  <si>
    <t>інші</t>
  </si>
  <si>
    <t>сума</t>
  </si>
  <si>
    <t>авто</t>
  </si>
  <si>
    <t>1085/1</t>
  </si>
  <si>
    <t>Наименування структурних підразділів , найменування посад</t>
  </si>
  <si>
    <t>Кількістьштатних  одиниць</t>
  </si>
  <si>
    <t>Діючий посадовий оклад прож.1762грн.</t>
  </si>
  <si>
    <t>Надбавка</t>
  </si>
  <si>
    <t>грн.</t>
  </si>
  <si>
    <t>Місячний фонд заробітної плати,грн.</t>
  </si>
  <si>
    <t>Процент,%</t>
  </si>
  <si>
    <t>Сума,грн</t>
  </si>
  <si>
    <t>1.Начальник управління</t>
  </si>
  <si>
    <t>2.Заступник начальника управління по ремонту та утриманню  автомобільних доріг</t>
  </si>
  <si>
    <t>3.Заступник начальника управління з економічних питань</t>
  </si>
  <si>
    <t>4.Головний інженер</t>
  </si>
  <si>
    <t>5.Головний енергетик</t>
  </si>
  <si>
    <t>6.Провідний фахівець з питань  цивільного захисту</t>
  </si>
  <si>
    <t>7.Інженер із застосування комп′ютерів</t>
  </si>
  <si>
    <t>8.Секретар-друкарка</t>
  </si>
  <si>
    <t>9.Прибиральник службових приміщень</t>
  </si>
  <si>
    <t>ВСЬОГО:</t>
  </si>
  <si>
    <t>ВІДДІЛ КАДРІВ</t>
  </si>
  <si>
    <t>1.Начальник відділу кадрів</t>
  </si>
  <si>
    <t>2 Старший інспектор з кадрів</t>
  </si>
  <si>
    <t>ВІДДІЛ  ПІДГОТОВКИ ВИРОБНИЦТВА</t>
  </si>
  <si>
    <t>1.Начальник відділу</t>
  </si>
  <si>
    <t xml:space="preserve">2.Технік з обліку  </t>
  </si>
  <si>
    <t>3.Конторський службовець(складське господарство)</t>
  </si>
  <si>
    <t>4.Інженер  1 категорії</t>
  </si>
  <si>
    <r>
      <t xml:space="preserve"> </t>
    </r>
    <r>
      <rPr>
        <b/>
        <sz val="12"/>
        <rFont val="Times New Roman"/>
        <family val="1"/>
        <charset val="204"/>
      </rPr>
      <t>ПЛАНОВО-ВИРОБНИЧИЙ   ВІДДІЛ</t>
    </r>
  </si>
  <si>
    <t>Інженер з організації та нормування праці 1 категорії</t>
  </si>
  <si>
    <t>ТЕХНІЧНИЙ ВІДДІЛ</t>
  </si>
  <si>
    <t>2.Інженер  1 категорії</t>
  </si>
  <si>
    <t>3.Інженер 2 категорії</t>
  </si>
  <si>
    <t>4.Інженер з транспорту 2 категорії</t>
  </si>
  <si>
    <t>БУХГАЛТЕРІЯ</t>
  </si>
  <si>
    <t>1.Головний бухгалтер</t>
  </si>
  <si>
    <t>2.Заст. головного бухгалтера</t>
  </si>
  <si>
    <t>3.Бухгалтер 1 категорії (спец.)</t>
  </si>
  <si>
    <t xml:space="preserve">           ВІДДІЛ ОХОРОНИ ПРАЦІ</t>
  </si>
  <si>
    <t>3.Інженер з безпеки руху</t>
  </si>
  <si>
    <t>3.Фельдшер</t>
  </si>
  <si>
    <t>РЕМОНТНО-ДОРОЖНЯ ДІЛЬНИЦЯ</t>
  </si>
  <si>
    <t>1.Виконавець робіт</t>
  </si>
  <si>
    <t>2.Майстер будівельних та монтажних робіт</t>
  </si>
  <si>
    <t>ТРАНСПОРТНА СЛУЖБА</t>
  </si>
  <si>
    <t>1.Начальник служби</t>
  </si>
  <si>
    <t>2.Начальник колони (автомобільної)</t>
  </si>
  <si>
    <t>3.Начальник  майстерні</t>
  </si>
  <si>
    <t>4.Інженер   1 категорії</t>
  </si>
  <si>
    <t>5.Старший майстер</t>
  </si>
  <si>
    <t>6.Майстер майстерні спеціальної техніки  та обладнання</t>
  </si>
  <si>
    <t>7.Старший механік</t>
  </si>
  <si>
    <t>8.Старший диспетчер</t>
  </si>
  <si>
    <t>9.Диспетчер</t>
  </si>
  <si>
    <t>10.Змінний майстер дорожній</t>
  </si>
  <si>
    <t>11.Змінний диспетчер</t>
  </si>
  <si>
    <r>
      <t>12.Змінний механік</t>
    </r>
    <r>
      <rPr>
        <b/>
        <sz val="12"/>
        <rFont val="Times New Roman"/>
        <family val="1"/>
        <charset val="204"/>
      </rPr>
      <t xml:space="preserve"> </t>
    </r>
  </si>
  <si>
    <t>13.Технік з обліку ПММ</t>
  </si>
  <si>
    <t>Всього:</t>
  </si>
  <si>
    <t xml:space="preserve">           ТЕНДЕРНО-ДОГОВІРНИЙ ВІДДІЛ</t>
  </si>
  <si>
    <t>2.Юрисконсульт</t>
  </si>
  <si>
    <t>3.Інженер   1 категорії</t>
  </si>
  <si>
    <t>4.Інженер 2 категорії</t>
  </si>
  <si>
    <t xml:space="preserve">           КОМЕРЦІЙНИЙ ВІДДІЛ</t>
  </si>
  <si>
    <t xml:space="preserve">           КОШТОРИСНИЙ ВІДДІЛ</t>
  </si>
  <si>
    <t>Найменування, підрозділів,
дільниць</t>
  </si>
  <si>
    <t>чисельність</t>
  </si>
  <si>
    <t>часова тариф-
на ставка
прож.1762 грн.</t>
  </si>
  <si>
    <t>місячна та-
рифна ставка,посадовий оклад
с/ год. 166,08</t>
  </si>
  <si>
    <t>% доплати (клас,профмайстерніть.бригадирські, нічні, вечірні,інтенсивніь),
 )</t>
  </si>
  <si>
    <t>сума
доплат</t>
  </si>
  <si>
    <t>% премії</t>
  </si>
  <si>
    <t>сума
премії</t>
  </si>
  <si>
    <t>всього середньо-
місячна зарплата</t>
  </si>
  <si>
    <t>всього за місяць
 (грн.)</t>
  </si>
  <si>
    <t>ДОРОЖНІ-ЕКСПЛУАТАЦІЙНІ ДІЛЬНИЦІ</t>
  </si>
  <si>
    <t>дорожній робітник (-бригадир Кіровської ДЕД)</t>
  </si>
  <si>
    <t>дорожній робітник (Кіровської ДЕД)</t>
  </si>
  <si>
    <t>дорожній робітник (-бригадир Жовтневої ДЕД)</t>
  </si>
  <si>
    <t>дорожній робітник   ( Жовтневої ДЕД)</t>
  </si>
  <si>
    <t>дорожній робітник (бригадир Бабушкінської ДЕД)</t>
  </si>
  <si>
    <t>дорожній робітник( Бабушкінської ДЕД)</t>
  </si>
  <si>
    <t>дорожній робітник( -бригадир Ленінської ДЕД)</t>
  </si>
  <si>
    <t>дорожній робітн.( Ленінської і Красногв. ДЕД)</t>
  </si>
  <si>
    <t>Дорожній робітник  (ручне прибирання)</t>
  </si>
  <si>
    <t xml:space="preserve">Дорожній робітник(бригадир) </t>
  </si>
  <si>
    <t>Асфальтобетонник( бригадир)</t>
  </si>
  <si>
    <t xml:space="preserve">Асфальтобетонник </t>
  </si>
  <si>
    <t xml:space="preserve">Дорожній робітник </t>
  </si>
  <si>
    <t>М-ніст дорожно-тр-них машин(катокДЖИЭСБИ,БОМАГ,КАТЕРПИЛЛЕР СВ36В)</t>
  </si>
  <si>
    <t>М-ніст дорожно-тр-них машин(каток КАТЕРПІЛЛЕР СВ44В)</t>
  </si>
  <si>
    <t xml:space="preserve">АВТОКОЛОНА </t>
  </si>
  <si>
    <t>Водій автотранспортних засобів( РЕТЕЧ)</t>
  </si>
  <si>
    <t>Водій авт-них зас.(спец.груз.цист ФОРД КАРГО1833)</t>
  </si>
  <si>
    <t>Водій авт-них зас. ( спецгруз сам ФОРД КАРГО 3542)</t>
  </si>
  <si>
    <t>Водій авт-них зас. ( КДМ-152)</t>
  </si>
  <si>
    <t>Водій авт-них зас. (КАМАЗ КДМ)</t>
  </si>
  <si>
    <t>Водій  авт-них зас.(КАМАЗ КДМ)</t>
  </si>
  <si>
    <t>Водій  авт-них зас.(ТАТА РЕТЕЧ)</t>
  </si>
  <si>
    <t>Водій авт-них зас.( МАЗ 555-26)</t>
  </si>
  <si>
    <t>Водій  авт-них зас(.підм.приб(.МЕРСЕДЕС)</t>
  </si>
  <si>
    <t>Водій  авт-них зас(.підм.приб.(РЕТЕЧ)</t>
  </si>
  <si>
    <t>Водій  авт-них зас(.підм.приб.(КЕРХЕР)</t>
  </si>
  <si>
    <t>Водій  авт-них зас(.підм.приб.(ФОРД КАРГО)</t>
  </si>
  <si>
    <t>Водій  авт-них зас(підм.приб.(АУСА)</t>
  </si>
  <si>
    <t>Водій авт-них зас.(сміттєвоза( ГАЗ-53)</t>
  </si>
  <si>
    <t>Водій авт-них зас.( сміттєвоза( ЗИЛ 433362)</t>
  </si>
  <si>
    <t>Водій авт-них зас.( асиноз.бочка КО-503)</t>
  </si>
  <si>
    <t>Водій авт-них зас.( самоскида)</t>
  </si>
  <si>
    <t xml:space="preserve">Водій авт-них. зас.( самоскид СКС-14СС) </t>
  </si>
  <si>
    <t xml:space="preserve">Водій авт-них. зас( сам-ди КРАЗ,ФОРД КАРГО) </t>
  </si>
  <si>
    <t xml:space="preserve">Водій авт-них. зас( тягач МАЗ-6430) </t>
  </si>
  <si>
    <t>Водій  авт-них зас(.Вольцваген (борт.)</t>
  </si>
  <si>
    <t>Водій  авт-них зас(.Мерседес (борт.)</t>
  </si>
  <si>
    <t>Водій  авт-них за( гр.платСКС ФС2533 евакуатор)</t>
  </si>
  <si>
    <t>Водій авт-них зас.( бортового ЗИЛ 4316)</t>
  </si>
  <si>
    <t>Водій авт-них зас.( м/автобуса (ГАЗ 32213)</t>
  </si>
  <si>
    <t>Водій авт-них зас.(автобуса АСЧ-03,ФОРД ТРАНЗИТ)</t>
  </si>
  <si>
    <t>Водій  авт-них зас.(ВАЗ-21213,ВАЗ-2105,Рено-логан)</t>
  </si>
  <si>
    <t>Водій авт-них зас. (М-си)</t>
  </si>
  <si>
    <t>Водійавт-них зас. (УАЗ)</t>
  </si>
  <si>
    <t>Водій авт-них зас. (ГАЗ-3110)</t>
  </si>
  <si>
    <t>Водій  авт-них зас.(Пежо)</t>
  </si>
  <si>
    <t>Водій  авт-них зас.(ИСУЗУ)</t>
  </si>
  <si>
    <t>Водій  авт-них зас.(Азия моторс)</t>
  </si>
  <si>
    <t>Водій  авт-них зас(.а/крана МАЗ -5334)</t>
  </si>
  <si>
    <t xml:space="preserve">  </t>
  </si>
  <si>
    <t>Вантажник</t>
  </si>
  <si>
    <t>БАЗА МЕХАНІЗАЦІЇ</t>
  </si>
  <si>
    <t>Оператор вак прис.мех та прил.("Сеньор","Бродвей")</t>
  </si>
  <si>
    <t>М-ніст дорожньо-тр-них машин(трактор ЮМЗ-6)</t>
  </si>
  <si>
    <t>М-ніст дорожньо-тр-них машин(трактор ХТЗ-3512)</t>
  </si>
  <si>
    <t>Машиніст дор тр.маш.( трактора(Т-150)</t>
  </si>
  <si>
    <t>Машиніст дор.тр.маш.( екскаватора ХЮНДАЙ Р-180)</t>
  </si>
  <si>
    <t>Машиніст дор.тр.маш.( автонавантажувача)</t>
  </si>
  <si>
    <t>Машиніст дор.тр.маш.( навантажувачГОНКОНГ956</t>
  </si>
  <si>
    <t>Машиніст дор.тр.маш.( навантажувача ДЖИЭСБИ</t>
  </si>
  <si>
    <t>Машиніст дор.тр.маш.( навантажувача КАТЕРПИЛ</t>
  </si>
  <si>
    <t>Машиніст дор.тр.маш.( навантажувача ВОВКЕТ</t>
  </si>
  <si>
    <t>Машиністдор.тр.маш.( навант ХЮНДАЙ-757,763)</t>
  </si>
  <si>
    <t>Машиніст дор.тр.маш.( навантажувача ЛИВГОНГ</t>
  </si>
  <si>
    <t>Машиніст  дор.тр.маш.(автогрейдера ДЗ-143)</t>
  </si>
  <si>
    <t>Машиніст дор.тр.маш.( автогрейдера ШАНТИ)</t>
  </si>
  <si>
    <t>Машиніст дор.тр.маш.( снігонавантажувача КО-206</t>
  </si>
  <si>
    <t>Машиніст дор.тр.маш. ( дорожної фрези ВІРДЖЕН</t>
  </si>
  <si>
    <t xml:space="preserve">Машиністдор.тр.маш.( асфальтоукладача ОФ 60Р) </t>
  </si>
  <si>
    <t xml:space="preserve">Машиністдор.тр.маш.( асфальтоукладача ВОГЕЛЕ СУПЕР) </t>
  </si>
  <si>
    <t xml:space="preserve">Машиністдор.тр.маш.( асфальтоукладача КАТЕРПІЛЛЕР 255Е) </t>
  </si>
  <si>
    <t>Машиністдор.тр.маш.( компресора ПКСД)</t>
  </si>
  <si>
    <t>Машиніст дор.тр.маш.( бульдозера ШАНДІ СД-23)</t>
  </si>
  <si>
    <t>Машиніст дор.тр.маш.( бульдозера СД-7)</t>
  </si>
  <si>
    <t>Машиніст  дор.тр.маш.(екскаватора-навантажувача ХЮНДАЙ-940)</t>
  </si>
  <si>
    <t>ВІДДІЛ ПІДГОТОВКИ ВИРОБНИЦТВА</t>
  </si>
  <si>
    <t>Токар</t>
  </si>
  <si>
    <t>Електрогазозварник</t>
  </si>
  <si>
    <t>Слюсар-сантехнік</t>
  </si>
  <si>
    <t>Слесарь-ремонтник</t>
  </si>
  <si>
    <t>Слюсар-електрик по ремонту електроустаткування</t>
  </si>
  <si>
    <t>АВТОРЕМОНТНІ МАЙСТЕРНІ</t>
  </si>
  <si>
    <t>Слюсар з ремонту автомобілів</t>
  </si>
  <si>
    <t xml:space="preserve">Слюс.-інструментальник(видача інст-ів) </t>
  </si>
  <si>
    <t>Акумуляторник</t>
  </si>
  <si>
    <t>Вулканіаторник</t>
  </si>
  <si>
    <t>Мідник</t>
  </si>
  <si>
    <t>Маляр</t>
  </si>
  <si>
    <t>ВІДДІЛ ОХОРОНИ</t>
  </si>
  <si>
    <t>Старший охоронник</t>
  </si>
  <si>
    <t>Охоронник( в зміні)</t>
  </si>
  <si>
    <t>Охоронник( АРМ )</t>
  </si>
  <si>
    <t>Роздавальник нафтопродуктів</t>
  </si>
  <si>
    <t>надбавка</t>
  </si>
  <si>
    <t>усього</t>
  </si>
  <si>
    <t>собівартість</t>
  </si>
  <si>
    <t>єсв</t>
  </si>
  <si>
    <t>адмін</t>
  </si>
  <si>
    <t>інвалід с/в</t>
  </si>
  <si>
    <t>інвалід ауп</t>
  </si>
  <si>
    <t>ФОП</t>
  </si>
  <si>
    <t>для таб. 6.1</t>
  </si>
  <si>
    <t>Фонд оплати праці</t>
  </si>
  <si>
    <t>ауп</t>
  </si>
  <si>
    <t>Витрати з оплати праці</t>
  </si>
  <si>
    <t>Середньомісячна ЗП</t>
  </si>
  <si>
    <t>Середньомісячний дохід</t>
  </si>
  <si>
    <t>фоп ауп</t>
  </si>
  <si>
    <t>фоп працівників</t>
  </si>
  <si>
    <t>фоп +єсв</t>
  </si>
  <si>
    <t>фоп+єсв</t>
  </si>
  <si>
    <t>ІНВАЛІДИ</t>
  </si>
  <si>
    <t xml:space="preserve">дорожній робітник </t>
  </si>
  <si>
    <t>технік з обліку</t>
  </si>
  <si>
    <t>наростающим</t>
  </si>
  <si>
    <t>1080/1</t>
  </si>
  <si>
    <t>фінансовий лізінг</t>
  </si>
  <si>
    <t>1120/2</t>
  </si>
  <si>
    <t>1140/1</t>
  </si>
  <si>
    <t>3270/1</t>
  </si>
  <si>
    <t>послуги сторонніх організацій (комунальні послуги субпідряду з благоустрою)</t>
  </si>
  <si>
    <t>1140/2</t>
  </si>
  <si>
    <t>с янв по март</t>
  </si>
  <si>
    <t>с марта по декабрь</t>
  </si>
  <si>
    <t>п 2017</t>
  </si>
  <si>
    <t>9 міс</t>
  </si>
  <si>
    <t>І кв</t>
  </si>
  <si>
    <t>повернення  відсотків за фінансовим лізінгом</t>
  </si>
  <si>
    <t>Інші фінансові доходи (% банка)</t>
  </si>
  <si>
    <t>амортизація безоплатно отриманних ОЗ</t>
  </si>
  <si>
    <t>3030/3</t>
  </si>
  <si>
    <t>незавершені капітальні інвестиції</t>
  </si>
  <si>
    <t>1018/1</t>
  </si>
  <si>
    <t>1018/2</t>
  </si>
  <si>
    <t>Вивезення та утилізація ТПВ</t>
  </si>
  <si>
    <t>земельний податок</t>
  </si>
  <si>
    <t>канцтовари</t>
  </si>
  <si>
    <t>інші адміністративні витрати (розшифрувати)</t>
  </si>
  <si>
    <t>1085/2</t>
  </si>
  <si>
    <t>амортизація безоплатно отриманих ОЗ</t>
  </si>
  <si>
    <t>витрати по кол.договору (профспілкові)</t>
  </si>
  <si>
    <t>інші операційні витрати (розшифрувати)</t>
  </si>
  <si>
    <t>3030/4</t>
  </si>
  <si>
    <t>безоплатно отриманні основні засоби</t>
  </si>
  <si>
    <t>1085/3</t>
  </si>
  <si>
    <t>пеня та інфляція</t>
  </si>
  <si>
    <t>за ЄДРПОУ  03341641</t>
  </si>
  <si>
    <t>ФІНАНСОВИЙ ПЛАН ПІДПРИЄМСТВА НА 2019  рік</t>
  </si>
  <si>
    <t>Прибирання</t>
  </si>
  <si>
    <t>Види діяльності/2017 рік</t>
  </si>
  <si>
    <t>генпідряд</t>
  </si>
  <si>
    <t>Ремонт</t>
  </si>
  <si>
    <t>ПОСЛУГИ ТЕХНІЧНОГО ОБСТЕЖЕННЯ ОПТИМАЛЬНОГО МАРШРУТУ НЕГАБАРИТІВ</t>
  </si>
  <si>
    <t>ПСС</t>
  </si>
  <si>
    <t>ТРАНСПОРТНІ ПОСЛУГИ</t>
  </si>
  <si>
    <t>Компенсація комунальних послуг</t>
  </si>
  <si>
    <t>надання транспортних послуг</t>
  </si>
  <si>
    <t>ПОГОДЖЕНО ___________________М. О. Лисенко   (прізвище та ініціали та підпис заступника міського голови за напрямом діяльності  підприємства)</t>
  </si>
  <si>
    <t>Комунальне підприємство  "Управління по ремонту та експлуатації автошляхів" Дніпровської міської ради</t>
  </si>
  <si>
    <t>м. Дніпро, просп. Праці,3</t>
  </si>
  <si>
    <t>банківські послуги</t>
  </si>
  <si>
    <t>комунальні послуги</t>
  </si>
  <si>
    <t>мийні засоби</t>
  </si>
  <si>
    <t>+38(056)765-47-40</t>
  </si>
  <si>
    <t>1018/3</t>
  </si>
  <si>
    <t>послуги з експертизи</t>
  </si>
  <si>
    <t>інше</t>
  </si>
  <si>
    <t>передача основних фондів</t>
  </si>
  <si>
    <t>виплати до фондів</t>
  </si>
  <si>
    <t>1085/4</t>
  </si>
  <si>
    <t>1085/5</t>
  </si>
  <si>
    <t>1085/6</t>
  </si>
  <si>
    <t>1085/7</t>
  </si>
  <si>
    <t>пакети для вивезення сміття</t>
  </si>
  <si>
    <t>оренда нерухомого майна виробничого призначення</t>
  </si>
  <si>
    <t xml:space="preserve">Послуги з утримання автошляхів міста, у тому числі мостів та шляхопроводів субпідрядниками </t>
  </si>
  <si>
    <t>відрядження</t>
  </si>
  <si>
    <t>сануючий засіб</t>
  </si>
  <si>
    <t>МОСТ</t>
  </si>
  <si>
    <t xml:space="preserve">оренда техніки </t>
  </si>
  <si>
    <t>шкода</t>
  </si>
  <si>
    <t>бухг</t>
  </si>
  <si>
    <t>отдел кадров</t>
  </si>
  <si>
    <t>охр труда</t>
  </si>
  <si>
    <t>приемная</t>
  </si>
  <si>
    <t>тенд-дог</t>
  </si>
  <si>
    <t>управ</t>
  </si>
  <si>
    <t>зам по екон</t>
  </si>
  <si>
    <t>рено 3678</t>
  </si>
  <si>
    <t>рено 3879</t>
  </si>
  <si>
    <t>відпрацьовано</t>
  </si>
  <si>
    <t>ЮРДНЕПР</t>
  </si>
  <si>
    <t>Жилком</t>
  </si>
  <si>
    <t>АБ ЦЕНТР</t>
  </si>
  <si>
    <t>Юрпослуги</t>
  </si>
  <si>
    <t>Ліга закон</t>
  </si>
  <si>
    <t>Подписка</t>
  </si>
  <si>
    <t>ПРОМЮА</t>
  </si>
  <si>
    <t xml:space="preserve">2019 рік </t>
  </si>
  <si>
    <t>охрана труда</t>
  </si>
  <si>
    <t xml:space="preserve">кошторисний </t>
  </si>
  <si>
    <t>2019 рік</t>
  </si>
  <si>
    <t>Кошторисний</t>
  </si>
  <si>
    <t xml:space="preserve">послуги виробничі (розрахунки витрат) </t>
  </si>
  <si>
    <t xml:space="preserve"> Запроваджено  з  01 січня   2019 року</t>
  </si>
  <si>
    <t>ФОП инвалідів</t>
  </si>
  <si>
    <t>ФОП інших</t>
  </si>
  <si>
    <t>ЕСВ</t>
  </si>
  <si>
    <t>код професії</t>
  </si>
  <si>
    <t>К-во  одиниць тр-та</t>
  </si>
  <si>
    <t>навантаженність</t>
  </si>
  <si>
    <t>розряд,класність</t>
  </si>
  <si>
    <t>часова тариф-
на ставка
прож1921 грн.</t>
  </si>
  <si>
    <t>на квартал 1</t>
  </si>
  <si>
    <t>июль- листопад грн/мыс</t>
  </si>
  <si>
    <t>на квартал 4 - 2 мысяцы</t>
  </si>
  <si>
    <t>грудень</t>
  </si>
  <si>
    <t>4 квартал</t>
  </si>
  <si>
    <t>КІЛЬКІСТЬ ІНВАЛІДІВ</t>
  </si>
  <si>
    <t>1 кв</t>
  </si>
  <si>
    <t>2 кв</t>
  </si>
  <si>
    <t>3 кв</t>
  </si>
  <si>
    <t>4 кв</t>
  </si>
  <si>
    <t>дорожній робітник  (бригадир)</t>
  </si>
  <si>
    <t>прямі</t>
  </si>
  <si>
    <t>робочі</t>
  </si>
  <si>
    <t>дорожній робітник (бригадир)</t>
  </si>
  <si>
    <t>дорожній робітник  (бригадир )</t>
  </si>
  <si>
    <t>дорожній робітник(  бригадир )</t>
  </si>
  <si>
    <t>5-7 т</t>
  </si>
  <si>
    <t>9т</t>
  </si>
  <si>
    <t>21,5-24,087т</t>
  </si>
  <si>
    <t>24176т</t>
  </si>
  <si>
    <t>10т</t>
  </si>
  <si>
    <t>14т</t>
  </si>
  <si>
    <t>16т</t>
  </si>
  <si>
    <t>7-10 т</t>
  </si>
  <si>
    <t>7,4-9,5т</t>
  </si>
  <si>
    <t>8,5т</t>
  </si>
  <si>
    <t>0,5т</t>
  </si>
  <si>
    <t>18580т</t>
  </si>
  <si>
    <t>1,5т</t>
  </si>
  <si>
    <t>4,5т</t>
  </si>
  <si>
    <t>6,290т</t>
  </si>
  <si>
    <t>3,785т</t>
  </si>
  <si>
    <t>10-20 т</t>
  </si>
  <si>
    <t>3,5т</t>
  </si>
  <si>
    <t>17,153т</t>
  </si>
  <si>
    <t>до 5м</t>
  </si>
  <si>
    <t>6,5-7,5 м</t>
  </si>
  <si>
    <t>Водій  авт-них зас.(ВАЗ-21213,ВАЗ-2105)</t>
  </si>
  <si>
    <t>до 1,8 л</t>
  </si>
  <si>
    <t>Водій  авт-них зас.(Рено-логан)</t>
  </si>
  <si>
    <t>АУП</t>
  </si>
  <si>
    <t>з/в</t>
  </si>
  <si>
    <t>Водій авт-них зас. (Шкода -супер)</t>
  </si>
  <si>
    <t>2,477л</t>
  </si>
  <si>
    <t>2,890л</t>
  </si>
  <si>
    <t>2,445л</t>
  </si>
  <si>
    <t>2,000л</t>
  </si>
  <si>
    <t>2,600л</t>
  </si>
  <si>
    <t>1,8л</t>
  </si>
  <si>
    <t>25т</t>
  </si>
  <si>
    <t>Водій авт-них зас.( сміттєвоза(ФОРД КАРГО  2533,3542,1833)</t>
  </si>
  <si>
    <t>15 т</t>
  </si>
  <si>
    <t>5т</t>
  </si>
  <si>
    <t xml:space="preserve">1.Начальник управління </t>
  </si>
  <si>
    <t>керів</t>
  </si>
  <si>
    <t>1210.1</t>
  </si>
  <si>
    <t>2.Заступник начальника управління по ремонту і утриманню  мостів</t>
  </si>
  <si>
    <t>1226.1</t>
  </si>
  <si>
    <t>1222.1</t>
  </si>
  <si>
    <t>фах</t>
  </si>
  <si>
    <t>2149.2</t>
  </si>
  <si>
    <t>2139.2</t>
  </si>
  <si>
    <t>служб</t>
  </si>
  <si>
    <t>ВК</t>
  </si>
  <si>
    <t>1229.7</t>
  </si>
  <si>
    <t>Відділ підготовки виробництва</t>
  </si>
  <si>
    <t>технік</t>
  </si>
  <si>
    <t>спец</t>
  </si>
  <si>
    <t>ПЕВ</t>
  </si>
  <si>
    <t xml:space="preserve"> 2.Інженер з організації та нормування праці 1 категорії</t>
  </si>
  <si>
    <t>2412.2</t>
  </si>
  <si>
    <t>1237.2</t>
  </si>
  <si>
    <t>5.Інженер з транспорту 2 категорії</t>
  </si>
  <si>
    <t>2411.2</t>
  </si>
  <si>
    <t>2.Інженер з безпеки руху</t>
  </si>
  <si>
    <t xml:space="preserve">3.Фельдшер </t>
  </si>
  <si>
    <t>1223.2</t>
  </si>
  <si>
    <t xml:space="preserve">2.Майстер будівельних та монтажних робіт </t>
  </si>
  <si>
    <t xml:space="preserve">           ВІДДІЛ ЕКСПЛУАТАЦІЇ АВТОДОРІГ</t>
  </si>
  <si>
    <t>2.Старший майстер</t>
  </si>
  <si>
    <t>3.Змінний майстер дорожній</t>
  </si>
  <si>
    <t>1226.2</t>
  </si>
  <si>
    <t>2.Начальник автоколони</t>
  </si>
  <si>
    <t xml:space="preserve">3.Начальник  майстерні </t>
  </si>
  <si>
    <t xml:space="preserve">4.Інженер   1 категорії </t>
  </si>
  <si>
    <t>5.Майстер майстерні спеціальної техніки  та обладнання</t>
  </si>
  <si>
    <t xml:space="preserve">6.Старший механік </t>
  </si>
  <si>
    <t xml:space="preserve">7.Старший диспетчер </t>
  </si>
  <si>
    <t xml:space="preserve">8.Диспетчер </t>
  </si>
  <si>
    <t>9.Змінний диспетчер</t>
  </si>
  <si>
    <r>
      <t>10.Змінний механік</t>
    </r>
    <r>
      <rPr>
        <b/>
        <sz val="12"/>
        <color theme="1"/>
        <rFont val="Times New Roman"/>
        <family val="1"/>
        <charset val="204"/>
      </rPr>
      <t xml:space="preserve"> </t>
    </r>
  </si>
  <si>
    <t>11.Технік з обліку ПММ</t>
  </si>
  <si>
    <t>2.Заст.начальника відділу</t>
  </si>
  <si>
    <t>1229.8</t>
  </si>
  <si>
    <t>3.Юрисконсульт</t>
  </si>
  <si>
    <t xml:space="preserve">4.Інженер 2 категорії </t>
  </si>
  <si>
    <t xml:space="preserve">3.Інженер 2 категорії </t>
  </si>
  <si>
    <t>3.Інженер  1 категорії</t>
  </si>
  <si>
    <t>начальник служби</t>
  </si>
  <si>
    <t>виробнича служба з утримання мостів</t>
  </si>
  <si>
    <t>майстер мостовий</t>
  </si>
  <si>
    <t>інженер 1 категорії</t>
  </si>
  <si>
    <t>ЗАГАЛОМ</t>
  </si>
  <si>
    <t>Директор</t>
  </si>
  <si>
    <t>Розрахунок потреби у матеріалах  - пісок та сіль на 2019 рік</t>
  </si>
  <si>
    <t>ІНФОРМАЦІЯ ЩОДО ФАКТИЧНИХ ОБСЯГІВ ВИКОРИСТАННЯ ПІСОК / СІЛЬ У 2017/2018 рр (зимовий період)</t>
  </si>
  <si>
    <t xml:space="preserve">Показник </t>
  </si>
  <si>
    <t>Показник</t>
  </si>
  <si>
    <t>Витрати солі</t>
  </si>
  <si>
    <t>Витрати піска</t>
  </si>
  <si>
    <t>СІЛЬ, тн.</t>
  </si>
  <si>
    <t>ПІСОК, тн</t>
  </si>
  <si>
    <t xml:space="preserve">ГРАНОТСЕВ </t>
  </si>
  <si>
    <t>СІЛЬ</t>
  </si>
  <si>
    <t>ВИТРАЧЕНО ПСС  Згідно Актів за формов КБ-2 2017/2018</t>
  </si>
  <si>
    <t>Продано сіль</t>
  </si>
  <si>
    <t>Продано ПСС</t>
  </si>
  <si>
    <t>Продано пісок</t>
  </si>
  <si>
    <t>примітка</t>
  </si>
  <si>
    <t>1:2</t>
  </si>
  <si>
    <t>1:3</t>
  </si>
  <si>
    <t>1:4</t>
  </si>
  <si>
    <t>1:9</t>
  </si>
  <si>
    <t>Сіль</t>
  </si>
  <si>
    <t>Примітка</t>
  </si>
  <si>
    <t>Загалом</t>
  </si>
  <si>
    <t>МАТЕРІАЛІ</t>
  </si>
  <si>
    <t>Загалом, у т.ч.</t>
  </si>
  <si>
    <t>сіль</t>
  </si>
  <si>
    <t>Пісок</t>
  </si>
  <si>
    <t>ОБСЯГ ПСС</t>
  </si>
  <si>
    <t>пісок</t>
  </si>
  <si>
    <t>підтв.документ</t>
  </si>
  <si>
    <t>усього з вхідним залишком</t>
  </si>
  <si>
    <t xml:space="preserve">ОБСЯГ для посипки </t>
  </si>
  <si>
    <t>Вхідний залишок</t>
  </si>
  <si>
    <t>ВИТРАТИ МАТЕРІАЛІВ</t>
  </si>
  <si>
    <t>Використаний залишок</t>
  </si>
  <si>
    <t>залишок</t>
  </si>
  <si>
    <t>160 тн. передбачено у ПСС 1:9</t>
  </si>
  <si>
    <t>Очікувана ціна закупівлі  за 1 тн.</t>
  </si>
  <si>
    <t>придбання</t>
  </si>
  <si>
    <t>вхідні залишки</t>
  </si>
  <si>
    <t>Очікуванний індекс інфляції</t>
  </si>
  <si>
    <t>Очікувана ціна у 2019 році  за 1 тн., З ПДВ</t>
  </si>
  <si>
    <t>ОЧІКУВАНА ВАРТІСТЬ ЗАКУПІВЛІ</t>
  </si>
  <si>
    <t>ОЧІКУВАНИЙ ОБСЯГ ЗАКУПІВЛІ, тн</t>
  </si>
  <si>
    <t>Вартість закупівлі, грн. з ПДВ</t>
  </si>
  <si>
    <t>ПІСОК</t>
  </si>
  <si>
    <t>Залишки, тн</t>
  </si>
  <si>
    <t xml:space="preserve">гранвідсів </t>
  </si>
  <si>
    <t>КП "ЭКО Днепр"</t>
  </si>
  <si>
    <t>ООО"Строительные отходы"</t>
  </si>
  <si>
    <t>ОРЕНДА НА БЕРДЯНСЬКІЙ</t>
  </si>
  <si>
    <t>Оренда складу на бердянській</t>
  </si>
  <si>
    <t>????????????????????????????? ЛІВИЙ БЕРЕГ</t>
  </si>
  <si>
    <t>підземні переходи  (ДНЕПРОАВТОМОСТ)</t>
  </si>
  <si>
    <t>Єл. Енергія ПРАЦЯ,3 (розподіл показань: АУП - 45%, з/В - 55 %)</t>
  </si>
  <si>
    <t>Шинна</t>
  </si>
  <si>
    <t>Івана Акінфеева</t>
  </si>
  <si>
    <t xml:space="preserve">Набережна перемоги </t>
  </si>
  <si>
    <t xml:space="preserve">Водопостачання та водовідведення </t>
  </si>
  <si>
    <t>Єлектроенергія:</t>
  </si>
  <si>
    <t>Опалення:</t>
  </si>
  <si>
    <t>Опалення Акінфеева</t>
  </si>
  <si>
    <t>Опалення Серова</t>
  </si>
  <si>
    <t>Дрова (АУП - 40 %, з/в - 60</t>
  </si>
  <si>
    <t>Єлектроенергія (праця,3)</t>
  </si>
  <si>
    <t>Водопостачання (праця 3) 45 %</t>
  </si>
  <si>
    <t>Опалення (праця 3) - дрова</t>
  </si>
  <si>
    <t>навчання з охорони праці</t>
  </si>
  <si>
    <t>медичний огляд</t>
  </si>
  <si>
    <t>Лабораторні дослідження</t>
  </si>
  <si>
    <t>Атестація робочих місць</t>
  </si>
  <si>
    <t>Заходи з охрони праці</t>
  </si>
  <si>
    <t>Придбання нормативної літератури та печатної продукції</t>
  </si>
  <si>
    <t>Державний технічний огляд (ДТО)</t>
  </si>
  <si>
    <t xml:space="preserve">Державний технічний контроль </t>
  </si>
  <si>
    <t xml:space="preserve">послуги зі страхування автотранспортних засобів </t>
  </si>
  <si>
    <t>реактивна електроенергія</t>
  </si>
  <si>
    <t>Єлектроенергія (праця,3)реактив</t>
  </si>
  <si>
    <t>памятник ЧЕРНОБІЛЬЦАМ</t>
  </si>
  <si>
    <t>отримання дозволу на викиди в атмосферне повітря</t>
  </si>
  <si>
    <t>мастильні та інші матеріали</t>
  </si>
  <si>
    <t xml:space="preserve">електроди </t>
  </si>
  <si>
    <t xml:space="preserve">метизи </t>
  </si>
  <si>
    <t>дератизація (придбання засобів)</t>
  </si>
  <si>
    <t>послуги з утримання нежитлових приміщень</t>
  </si>
  <si>
    <t>рукавиці</t>
  </si>
  <si>
    <t>РКО</t>
  </si>
  <si>
    <t>судовий збір</t>
  </si>
  <si>
    <t xml:space="preserve">податки, збори, рентна плата, екологічний податок   </t>
  </si>
  <si>
    <t>Водій  авт-них зас (бортовий ІВЕКО)</t>
  </si>
  <si>
    <t>10,580 тн</t>
  </si>
  <si>
    <t>Водій  авт-них зас (сам-ди КРАЗ)</t>
  </si>
  <si>
    <t>9,2 т</t>
  </si>
  <si>
    <t>Водій  авт-них зас (спеціалізована платформа ГАЗ)</t>
  </si>
  <si>
    <t>1,85 т</t>
  </si>
  <si>
    <t>Водій  авт-них зас (бортовий  ГАЗ)</t>
  </si>
  <si>
    <t>Водій  авт-них зас (спецпідємник ФОРД ТРАНЗИТ)</t>
  </si>
  <si>
    <t>3,36 т</t>
  </si>
  <si>
    <t>3/в</t>
  </si>
  <si>
    <t>1,461 л</t>
  </si>
  <si>
    <t>Водій  авт-них зас.(ГАЗ Легковий)</t>
  </si>
  <si>
    <t>4,25 л</t>
  </si>
  <si>
    <t>Водій  авт-них зас.(ВАЗ-21093, ВАЗ-21061, ВАЗ -21053))</t>
  </si>
  <si>
    <t>1,8 л</t>
  </si>
  <si>
    <t>Водій  авт-них зас.(ИЖ-2715)</t>
  </si>
  <si>
    <t>1,5 л.</t>
  </si>
  <si>
    <t>Водій  авт-них зас.(ГАЗ 3110)</t>
  </si>
  <si>
    <t>2,445 л</t>
  </si>
  <si>
    <t>Водій  авт-них зас (спеціалізована платформа, фургон  ГАЗ)</t>
  </si>
  <si>
    <t>2,52 т</t>
  </si>
  <si>
    <t>ФОП РІК</t>
  </si>
  <si>
    <t xml:space="preserve">середня з/ плата </t>
  </si>
  <si>
    <t>ОКЛАДИ</t>
  </si>
  <si>
    <t>доплати</t>
  </si>
  <si>
    <t>премії</t>
  </si>
  <si>
    <t>ЗАРОБІТНА  пЛАТА В СОБІВАРТОСТІ</t>
  </si>
  <si>
    <t>ЗАРОБІТНА  пЛАТА В АУП</t>
  </si>
  <si>
    <t>ЕСВ АУП</t>
  </si>
  <si>
    <t>ЕСВ В СОБІВАРТОСТІ</t>
  </si>
  <si>
    <t>ЕСВ В  АУП</t>
  </si>
  <si>
    <t xml:space="preserve">запчастини, послуги з технічного обслуговування транспортних засобів, фильтри </t>
  </si>
  <si>
    <t>субсчет 1522</t>
  </si>
  <si>
    <t>кіслород, зварювальні суміші</t>
  </si>
  <si>
    <t xml:space="preserve">інше поліпшення та утримання </t>
  </si>
  <si>
    <t>субсчет 1532</t>
  </si>
  <si>
    <t>ремонти ком техніки, віузлів обліку</t>
  </si>
  <si>
    <t>Програма по ЗП</t>
  </si>
  <si>
    <t>шини</t>
  </si>
  <si>
    <t>сечовина</t>
  </si>
  <si>
    <t>стрічка для щіток для ПУМ</t>
  </si>
  <si>
    <t>Аптечки, відра, віники, вогнегасниеи, граблі, лопати, знаки дорожні, льодоруби, стропи</t>
  </si>
  <si>
    <t>Робочий одяг</t>
  </si>
  <si>
    <t>субрахунок 22</t>
  </si>
  <si>
    <t>ремонт адмінбудівлі</t>
  </si>
  <si>
    <t xml:space="preserve">витрати на утримання </t>
  </si>
  <si>
    <t>МШП</t>
  </si>
  <si>
    <t>утримання орг.технівки</t>
  </si>
  <si>
    <t>1080/2</t>
  </si>
  <si>
    <t xml:space="preserve">інші виплати працівникам (лікарняні) </t>
  </si>
  <si>
    <t>уляна Манько</t>
  </si>
  <si>
    <t>1011/1</t>
  </si>
  <si>
    <t>1011/2</t>
  </si>
  <si>
    <t>1011/3</t>
  </si>
  <si>
    <t>1011/4</t>
  </si>
  <si>
    <t>1011/5</t>
  </si>
  <si>
    <t>1013/1</t>
  </si>
  <si>
    <t>1013/2</t>
  </si>
  <si>
    <t>1016/1</t>
  </si>
  <si>
    <t>1016/2</t>
  </si>
  <si>
    <t>1016/3</t>
  </si>
  <si>
    <t>1016/4</t>
  </si>
  <si>
    <t>1016/5</t>
  </si>
  <si>
    <t>1016/6</t>
  </si>
  <si>
    <t>1016/7</t>
  </si>
  <si>
    <t>1016/8</t>
  </si>
  <si>
    <t>1018/3/1</t>
  </si>
  <si>
    <t>1018/3/2</t>
  </si>
  <si>
    <t>1018/3/3</t>
  </si>
  <si>
    <t>1018/3/4</t>
  </si>
  <si>
    <t>1018/3/5</t>
  </si>
  <si>
    <t>1018/3/6</t>
  </si>
  <si>
    <t>1018/3/7</t>
  </si>
  <si>
    <t>1018/3/8</t>
  </si>
  <si>
    <t>1018/3/9</t>
  </si>
  <si>
    <t>1018/3/10</t>
  </si>
  <si>
    <t>1018/3/11</t>
  </si>
  <si>
    <t>1018/3/12</t>
  </si>
  <si>
    <t>1018/3/13</t>
  </si>
  <si>
    <t>1018/3/14</t>
  </si>
  <si>
    <t>негабарити, утримання монументів</t>
  </si>
  <si>
    <t>виконання програми доручень виборців</t>
  </si>
  <si>
    <t>5300+5300+5300</t>
  </si>
  <si>
    <t xml:space="preserve">заробітна плата </t>
  </si>
  <si>
    <t>Військовий збір *1,5%</t>
  </si>
  <si>
    <t xml:space="preserve">повернення траншів по кредиту </t>
  </si>
  <si>
    <t>Фактичний показник за 2017 рік</t>
  </si>
  <si>
    <t>Плановий 2019рік</t>
  </si>
  <si>
    <t>Фактичний показник поточного року за останній звітний період 2018 року</t>
  </si>
  <si>
    <t>повернення товару</t>
  </si>
  <si>
    <t>Плановий показник поточного 2018 року</t>
  </si>
  <si>
    <t>Шкода</t>
  </si>
  <si>
    <t xml:space="preserve">Середньооблікова кількість штатних працівників  </t>
  </si>
  <si>
    <t xml:space="preserve">страхування майна, придбаного на умовах фінансового лізінгу </t>
  </si>
  <si>
    <r>
      <t xml:space="preserve">Факт минулого року </t>
    </r>
    <r>
      <rPr>
        <sz val="14"/>
        <color theme="0"/>
        <rFont val="Times New Roman"/>
        <family val="1"/>
        <charset val="204"/>
      </rPr>
      <t>2017</t>
    </r>
  </si>
  <si>
    <r>
      <t xml:space="preserve">Фінансовий план поточного року </t>
    </r>
    <r>
      <rPr>
        <sz val="13"/>
        <color theme="0"/>
        <rFont val="Times New Roman"/>
        <family val="1"/>
        <charset val="204"/>
      </rPr>
      <t>2018</t>
    </r>
  </si>
  <si>
    <r>
      <t>Прогноз на поточний рік</t>
    </r>
    <r>
      <rPr>
        <sz val="14"/>
        <color theme="0"/>
        <rFont val="Times New Roman"/>
        <family val="1"/>
        <charset val="204"/>
      </rPr>
      <t xml:space="preserve"> 2018</t>
    </r>
  </si>
  <si>
    <r>
      <t xml:space="preserve">План </t>
    </r>
    <r>
      <rPr>
        <sz val="14"/>
        <color theme="0"/>
        <rFont val="Times New Roman"/>
        <family val="1"/>
        <charset val="204"/>
      </rPr>
      <t>2019</t>
    </r>
  </si>
  <si>
    <t>3570/2</t>
  </si>
  <si>
    <t>комунальні послуги з благоустрію  (млн.кв.м., грн./1000 кв.м)</t>
  </si>
  <si>
    <t>надання автотранспортних послуг (маш.год., грн./маш.год.)</t>
  </si>
  <si>
    <t>інші послуги, реалізація ТМЦ</t>
  </si>
  <si>
    <t>поточний ремонт автошляхів                                (тис. кв.м. / грн./кв.м)</t>
  </si>
  <si>
    <t>комун.послуги</t>
  </si>
  <si>
    <t>1041/1</t>
  </si>
  <si>
    <t>1041/2</t>
  </si>
  <si>
    <t xml:space="preserve">матеріальні витрати </t>
  </si>
  <si>
    <t>заробітна плата</t>
  </si>
  <si>
    <t>відрахування на соц.заходи</t>
  </si>
  <si>
    <t xml:space="preserve">інші витрати </t>
  </si>
  <si>
    <t>1060/1</t>
  </si>
  <si>
    <t>1061/2</t>
  </si>
  <si>
    <t>Придбання спецтехніки та механізмів</t>
  </si>
  <si>
    <t>аванси від покупців</t>
  </si>
  <si>
    <t>3480/2</t>
  </si>
  <si>
    <t>відсотки від залишків коштів на поточних рахунках</t>
  </si>
  <si>
    <t>3480/3</t>
  </si>
  <si>
    <t>БУЛО</t>
  </si>
  <si>
    <t>Ціна за 1 тн.солі з ПДВ</t>
  </si>
  <si>
    <t>ПРОДАЖ з навантаженнямта загот-склад</t>
  </si>
  <si>
    <t>СІЛЬ З ПДВ)</t>
  </si>
  <si>
    <t>ПІСОК з ПДВ</t>
  </si>
  <si>
    <t>ЦІНА за 1 тн з ПДВ</t>
  </si>
  <si>
    <t>500 тн</t>
  </si>
  <si>
    <t>ПСС 1 ТН</t>
  </si>
  <si>
    <t xml:space="preserve">продаж З  НАВАНТАЖЕННЯМ  ТА ПЕРЕМІШУВАННЯМ З пдв </t>
  </si>
  <si>
    <t>було</t>
  </si>
  <si>
    <t>дохід від передачі ОФ</t>
  </si>
  <si>
    <t>1030/2</t>
  </si>
  <si>
    <t>ПДВ</t>
  </si>
  <si>
    <t xml:space="preserve">Лізінг </t>
  </si>
  <si>
    <t xml:space="preserve">профспілкові </t>
  </si>
  <si>
    <t>1062/7</t>
  </si>
  <si>
    <t>1120/3</t>
  </si>
  <si>
    <t>????????????????</t>
  </si>
  <si>
    <t>1000/5</t>
  </si>
  <si>
    <t>2146/1</t>
  </si>
  <si>
    <t>надбавки</t>
  </si>
  <si>
    <t>МБП:</t>
  </si>
  <si>
    <t>1041/3</t>
  </si>
  <si>
    <t>1041/4</t>
  </si>
  <si>
    <t>1041/5</t>
  </si>
  <si>
    <t>1060/2</t>
  </si>
  <si>
    <t>інші витрати, у т.ч :</t>
  </si>
  <si>
    <t>Генпідрядні</t>
  </si>
  <si>
    <t>1018/4</t>
  </si>
  <si>
    <t>1018/4/1</t>
  </si>
  <si>
    <t>1018/4/2</t>
  </si>
  <si>
    <t>1018/4/3</t>
  </si>
  <si>
    <t>1018/5</t>
  </si>
  <si>
    <t>1018/6</t>
  </si>
  <si>
    <t>1018/7</t>
  </si>
  <si>
    <t>1018/8</t>
  </si>
  <si>
    <t>1018/9</t>
  </si>
  <si>
    <t>інші витрати  у т.ч.:</t>
  </si>
  <si>
    <t>1018/9/1</t>
  </si>
  <si>
    <t>1018/9/2</t>
  </si>
  <si>
    <t>1018/9/3</t>
  </si>
  <si>
    <t>1018/9/4</t>
  </si>
  <si>
    <t>1018/9/5</t>
  </si>
  <si>
    <t>1018/9/6</t>
  </si>
  <si>
    <t>1061/1</t>
  </si>
  <si>
    <t>1061/3</t>
  </si>
  <si>
    <t>1061/4</t>
  </si>
  <si>
    <t>без врахування авто</t>
  </si>
  <si>
    <t>ОСНОВНА з/плата</t>
  </si>
  <si>
    <t>додаткова</t>
  </si>
  <si>
    <t>Собівартість</t>
  </si>
  <si>
    <t>ФОП ЗАГАЛЬНИЙ</t>
  </si>
  <si>
    <t>ЕСВ загальний</t>
  </si>
  <si>
    <t xml:space="preserve">ЕСВ СОБІВАРТІСТЬ </t>
  </si>
  <si>
    <t>ІНШі заходи з виконання комплексних заходів: молоко, мило, миючи засоби, випробування вантажопідємних механізмів, дотримання сан.побутових вимог, освітлення, захист працюючих від ураження електричним струмом, обладнання для безпечного виконання заходівна висоті</t>
  </si>
  <si>
    <t xml:space="preserve">банківські відсотки </t>
  </si>
  <si>
    <t>будівельні матеріали</t>
  </si>
  <si>
    <t>Інші операційні доходи, у тому числі:</t>
  </si>
  <si>
    <t>Основна з/плата</t>
  </si>
  <si>
    <t xml:space="preserve">додаткова </t>
  </si>
  <si>
    <t>всього за місяць на всіх
 (грн.)</t>
  </si>
  <si>
    <t>всього
місячна зарплата</t>
  </si>
  <si>
    <t>коєф. Співвідношення прожиткового мінімуму</t>
  </si>
  <si>
    <t>Основна з/плата у кварталі</t>
  </si>
  <si>
    <t>додаткова у кварталі</t>
  </si>
  <si>
    <t xml:space="preserve">1 квартал, у т.ч. </t>
  </si>
  <si>
    <t xml:space="preserve">2 квартал, у т.ч. </t>
  </si>
  <si>
    <t xml:space="preserve">3 квартал, у т.ч. </t>
  </si>
  <si>
    <t>ФОП ОСНОВНА</t>
  </si>
  <si>
    <t>ФОП ДОДАТКОВА</t>
  </si>
  <si>
    <t>1 квартал</t>
  </si>
  <si>
    <t>основна</t>
  </si>
  <si>
    <t>9- ть місяців</t>
  </si>
  <si>
    <t>ЗАГАЛОМ АУП</t>
  </si>
  <si>
    <t>ЗАГАЛЬНИЙ ФОП</t>
  </si>
  <si>
    <t>1061/5</t>
  </si>
  <si>
    <t>1061/6</t>
  </si>
  <si>
    <t>1061/7</t>
  </si>
  <si>
    <t>1061/8</t>
  </si>
  <si>
    <t>1061/8/1</t>
  </si>
  <si>
    <t>1061/8/2</t>
  </si>
  <si>
    <t>1061/8/3</t>
  </si>
  <si>
    <t>1061/8/4</t>
  </si>
  <si>
    <t>Інше</t>
  </si>
  <si>
    <t>фоп інвалідів</t>
  </si>
  <si>
    <t>фоп</t>
  </si>
  <si>
    <t>земельний податок, екологічний податок</t>
  </si>
  <si>
    <t>не в валовых расходах?</t>
  </si>
  <si>
    <t>оклад директора подписан?</t>
  </si>
  <si>
    <t>програма виконання доручень</t>
  </si>
  <si>
    <t xml:space="preserve">погашення кредиторської заборгованості </t>
  </si>
  <si>
    <t>3060/1</t>
  </si>
  <si>
    <t>коригування поточних зобовязань</t>
  </si>
  <si>
    <t>3060/2</t>
  </si>
  <si>
    <t>розрахунки за договором фінансового лізінгу за лізінгові платежі</t>
  </si>
  <si>
    <t>А. А. Оганесян</t>
  </si>
  <si>
    <t>А. А.  Оганесян</t>
  </si>
  <si>
    <t xml:space="preserve">А. А. Оганесян </t>
  </si>
  <si>
    <t xml:space="preserve"> А. А. Оганесян </t>
  </si>
  <si>
    <t xml:space="preserve">ДЛЯ БИЗНЕС ПЛАНУ </t>
  </si>
  <si>
    <t xml:space="preserve"> </t>
  </si>
  <si>
    <t>до фінансового плану на 2019 рік</t>
  </si>
  <si>
    <t xml:space="preserve">Renault Logan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</si>
</sst>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_-* #,##0.00_₴_-;\-* #,##0.00_₴_-;_-* &quot;-&quot;??_₴_-;_-@_-"/>
    <numFmt numFmtId="165" formatCode="#,##0&quot;р.&quot;;[Red]\-#,##0&quot;р.&quot;"/>
    <numFmt numFmtId="166" formatCode="#,##0.00&quot;р.&quot;;\-#,##0.00&quot;р.&quot;"/>
    <numFmt numFmtId="167" formatCode="_-* #,##0.00_р_._-;\-* #,##0.00_р_._-;_-* &quot;-&quot;??_р_._-;_-@_-"/>
    <numFmt numFmtId="168" formatCode="_-* #,##0.00\ _г_р_н_._-;\-* #,##0.00\ _г_р_н_._-;_-* &quot;-&quot;??\ _г_р_н_._-;_-@_-"/>
    <numFmt numFmtId="169" formatCode="0.0"/>
    <numFmt numFmtId="170" formatCode="#,##0.0"/>
    <numFmt numFmtId="171" formatCode="###\ ##0.000"/>
    <numFmt numFmtId="172" formatCode="_(&quot;$&quot;* #,##0.00_);_(&quot;$&quot;* \(#,##0.00\);_(&quot;$&quot;* &quot;-&quot;??_);_(@_)"/>
    <numFmt numFmtId="173" formatCode="_(* #,##0_);_(* \(#,##0\);_(* &quot;-&quot;_);_(@_)"/>
    <numFmt numFmtId="174" formatCode="_(* #,##0.00_);_(* \(#,##0.00\);_(* &quot;-&quot;??_);_(@_)"/>
    <numFmt numFmtId="175" formatCode="#,##0.0_ ;[Red]\-#,##0.0\ "/>
    <numFmt numFmtId="176" formatCode="0.0;\(0.0\);\ ;\-"/>
    <numFmt numFmtId="177" formatCode="dd\.mm\.yyyy;@"/>
    <numFmt numFmtId="178" formatCode="_(* #,##0_);_(* \(#,##0\);_(* &quot;-&quot;??_);_(@_)"/>
    <numFmt numFmtId="179" formatCode="_-* #,##0_₴_-;\-* #,##0_₴_-;_-* &quot;-&quot;??_₴_-;_-@_-"/>
    <numFmt numFmtId="180" formatCode="#,##0.00_р_."/>
    <numFmt numFmtId="181" formatCode="0.000"/>
    <numFmt numFmtId="182" formatCode="#,##0.0000"/>
    <numFmt numFmtId="183" formatCode="0.0%"/>
    <numFmt numFmtId="184" formatCode="0.000%"/>
    <numFmt numFmtId="185" formatCode="_(* #,##0.000_);_(* \(#,##0.000\);_(* &quot;-&quot;??_);_(@_)"/>
  </numFmts>
  <fonts count="14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4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9"/>
      <color indexed="81"/>
      <name val="Tahoma"/>
      <family val="2"/>
      <charset val="204"/>
    </font>
    <font>
      <b/>
      <sz val="22"/>
      <color indexed="81"/>
      <name val="Tahoma"/>
      <family val="2"/>
      <charset val="204"/>
    </font>
    <font>
      <sz val="11"/>
      <name val="Calibri"/>
      <family val="2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</font>
    <font>
      <b/>
      <i/>
      <sz val="10"/>
      <name val="Times New Roman"/>
      <family val="1"/>
    </font>
    <font>
      <sz val="14"/>
      <color indexed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4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name val="Book Antiqua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4"/>
      <color theme="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0"/>
      <name val="Calibri"/>
      <family val="2"/>
      <scheme val="minor"/>
    </font>
    <font>
      <b/>
      <i/>
      <sz val="14"/>
      <color indexed="8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3"/>
      <color theme="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21"/>
      <name val="Arial"/>
      <family val="2"/>
    </font>
    <font>
      <sz val="13"/>
      <color theme="1"/>
      <name val="Times New Roman"/>
      <family val="1"/>
      <charset val="204"/>
    </font>
    <font>
      <b/>
      <sz val="14"/>
      <color theme="6" tint="-0.499984740745262"/>
      <name val="Times New Roman"/>
      <family val="1"/>
      <charset val="204"/>
    </font>
    <font>
      <sz val="12"/>
      <color theme="6" tint="-0.499984740745262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0"/>
      <color theme="6" tint="-0.499984740745262"/>
      <name val="Arial Cyr"/>
      <charset val="204"/>
    </font>
    <font>
      <b/>
      <sz val="12"/>
      <color theme="6" tint="-0.499984740745262"/>
      <name val="Calibri"/>
      <family val="2"/>
      <charset val="204"/>
      <scheme val="minor"/>
    </font>
    <font>
      <b/>
      <sz val="11"/>
      <color theme="6" tint="-0.499984740745262"/>
      <name val="Calibri"/>
      <family val="2"/>
      <charset val="204"/>
      <scheme val="minor"/>
    </font>
    <font>
      <b/>
      <sz val="10"/>
      <color theme="6" tint="-0.499984740745262"/>
      <name val="Arial Cyr"/>
      <charset val="204"/>
    </font>
    <font>
      <sz val="12"/>
      <color theme="6" tint="-0.499984740745262"/>
      <name val="Times New Roman"/>
      <family val="1"/>
      <charset val="204"/>
    </font>
    <font>
      <sz val="11"/>
      <color theme="6" tint="-0.499984740745262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1"/>
      <color theme="6" tint="-0.499984740745262"/>
      <name val="Times New Roman"/>
      <family val="1"/>
      <charset val="204"/>
    </font>
    <font>
      <b/>
      <sz val="12"/>
      <color theme="6" tint="-0.499984740745262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61">
    <xf numFmtId="0" fontId="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36" fillId="2" borderId="0" applyNumberFormat="0" applyBorder="0" applyAlignment="0" applyProtection="0"/>
    <xf numFmtId="0" fontId="4" fillId="2" borderId="0" applyNumberFormat="0" applyBorder="0" applyAlignment="0" applyProtection="0"/>
    <xf numFmtId="0" fontId="36" fillId="3" borderId="0" applyNumberFormat="0" applyBorder="0" applyAlignment="0" applyProtection="0"/>
    <xf numFmtId="0" fontId="4" fillId="3" borderId="0" applyNumberFormat="0" applyBorder="0" applyAlignment="0" applyProtection="0"/>
    <xf numFmtId="0" fontId="36" fillId="4" borderId="0" applyNumberFormat="0" applyBorder="0" applyAlignment="0" applyProtection="0"/>
    <xf numFmtId="0" fontId="4" fillId="4" borderId="0" applyNumberFormat="0" applyBorder="0" applyAlignment="0" applyProtection="0"/>
    <xf numFmtId="0" fontId="36" fillId="5" borderId="0" applyNumberFormat="0" applyBorder="0" applyAlignment="0" applyProtection="0"/>
    <xf numFmtId="0" fontId="4" fillId="5" borderId="0" applyNumberFormat="0" applyBorder="0" applyAlignment="0" applyProtection="0"/>
    <xf numFmtId="0" fontId="36" fillId="6" borderId="0" applyNumberFormat="0" applyBorder="0" applyAlignment="0" applyProtection="0"/>
    <xf numFmtId="0" fontId="4" fillId="6" borderId="0" applyNumberFormat="0" applyBorder="0" applyAlignment="0" applyProtection="0"/>
    <xf numFmtId="0" fontId="36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36" fillId="8" borderId="0" applyNumberFormat="0" applyBorder="0" applyAlignment="0" applyProtection="0"/>
    <xf numFmtId="0" fontId="4" fillId="8" borderId="0" applyNumberFormat="0" applyBorder="0" applyAlignment="0" applyProtection="0"/>
    <xf numFmtId="0" fontId="36" fillId="9" borderId="0" applyNumberFormat="0" applyBorder="0" applyAlignment="0" applyProtection="0"/>
    <xf numFmtId="0" fontId="4" fillId="9" borderId="0" applyNumberFormat="0" applyBorder="0" applyAlignment="0" applyProtection="0"/>
    <xf numFmtId="0" fontId="36" fillId="10" borderId="0" applyNumberFormat="0" applyBorder="0" applyAlignment="0" applyProtection="0"/>
    <xf numFmtId="0" fontId="4" fillId="10" borderId="0" applyNumberFormat="0" applyBorder="0" applyAlignment="0" applyProtection="0"/>
    <xf numFmtId="0" fontId="36" fillId="5" borderId="0" applyNumberFormat="0" applyBorder="0" applyAlignment="0" applyProtection="0"/>
    <xf numFmtId="0" fontId="4" fillId="5" borderId="0" applyNumberFormat="0" applyBorder="0" applyAlignment="0" applyProtection="0"/>
    <xf numFmtId="0" fontId="36" fillId="8" borderId="0" applyNumberFormat="0" applyBorder="0" applyAlignment="0" applyProtection="0"/>
    <xf numFmtId="0" fontId="4" fillId="8" borderId="0" applyNumberFormat="0" applyBorder="0" applyAlignment="0" applyProtection="0"/>
    <xf numFmtId="0" fontId="36" fillId="11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37" fillId="12" borderId="0" applyNumberFormat="0" applyBorder="0" applyAlignment="0" applyProtection="0"/>
    <xf numFmtId="0" fontId="19" fillId="12" borderId="0" applyNumberFormat="0" applyBorder="0" applyAlignment="0" applyProtection="0"/>
    <xf numFmtId="0" fontId="37" fillId="9" borderId="0" applyNumberFormat="0" applyBorder="0" applyAlignment="0" applyProtection="0"/>
    <xf numFmtId="0" fontId="19" fillId="9" borderId="0" applyNumberFormat="0" applyBorder="0" applyAlignment="0" applyProtection="0"/>
    <xf numFmtId="0" fontId="37" fillId="10" borderId="0" applyNumberFormat="0" applyBorder="0" applyAlignment="0" applyProtection="0"/>
    <xf numFmtId="0" fontId="19" fillId="10" borderId="0" applyNumberFormat="0" applyBorder="0" applyAlignment="0" applyProtection="0"/>
    <xf numFmtId="0" fontId="37" fillId="13" borderId="0" applyNumberFormat="0" applyBorder="0" applyAlignment="0" applyProtection="0"/>
    <xf numFmtId="0" fontId="19" fillId="13" borderId="0" applyNumberFormat="0" applyBorder="0" applyAlignment="0" applyProtection="0"/>
    <xf numFmtId="0" fontId="37" fillId="14" borderId="0" applyNumberFormat="0" applyBorder="0" applyAlignment="0" applyProtection="0"/>
    <xf numFmtId="0" fontId="19" fillId="14" borderId="0" applyNumberFormat="0" applyBorder="0" applyAlignment="0" applyProtection="0"/>
    <xf numFmtId="0" fontId="37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30" fillId="3" borderId="0" applyNumberFormat="0" applyBorder="0" applyAlignment="0" applyProtection="0"/>
    <xf numFmtId="0" fontId="22" fillId="20" borderId="1" applyNumberFormat="0" applyAlignment="0" applyProtection="0"/>
    <xf numFmtId="0" fontId="27" fillId="21" borderId="2" applyNumberFormat="0" applyAlignment="0" applyProtection="0"/>
    <xf numFmtId="49" fontId="38" fillId="0" borderId="3">
      <alignment horizontal="center" vertical="center"/>
      <protection locked="0"/>
    </xf>
    <xf numFmtId="49" fontId="38" fillId="0" borderId="3">
      <alignment horizontal="center" vertical="center"/>
      <protection locked="0"/>
    </xf>
    <xf numFmtId="49" fontId="38" fillId="0" borderId="3">
      <alignment horizontal="center" vertical="center"/>
      <protection locked="0"/>
    </xf>
    <xf numFmtId="49" fontId="38" fillId="0" borderId="3">
      <alignment horizontal="center" vertical="center"/>
      <protection locked="0"/>
    </xf>
    <xf numFmtId="49" fontId="38" fillId="0" borderId="3">
      <alignment horizontal="center" vertical="center"/>
      <protection locked="0"/>
    </xf>
    <xf numFmtId="49" fontId="38" fillId="0" borderId="3">
      <alignment horizontal="center" vertical="center"/>
      <protection locked="0"/>
    </xf>
    <xf numFmtId="49" fontId="38" fillId="0" borderId="3">
      <alignment horizontal="center" vertical="center"/>
      <protection locked="0"/>
    </xf>
    <xf numFmtId="49" fontId="38" fillId="0" borderId="3">
      <alignment horizontal="center" vertical="center"/>
      <protection locked="0"/>
    </xf>
    <xf numFmtId="49" fontId="38" fillId="0" borderId="3">
      <alignment horizontal="center" vertical="center"/>
      <protection locked="0"/>
    </xf>
    <xf numFmtId="49" fontId="38" fillId="0" borderId="3">
      <alignment horizontal="center" vertical="center"/>
      <protection locked="0"/>
    </xf>
    <xf numFmtId="49" fontId="38" fillId="0" borderId="3">
      <alignment horizontal="center" vertical="center"/>
      <protection locked="0"/>
    </xf>
    <xf numFmtId="49" fontId="38" fillId="0" borderId="3">
      <alignment horizontal="center" vertical="center"/>
      <protection locked="0"/>
    </xf>
    <xf numFmtId="49" fontId="38" fillId="0" borderId="3">
      <alignment horizontal="center" vertical="center"/>
      <protection locked="0"/>
    </xf>
    <xf numFmtId="168" fontId="16" fillId="0" borderId="0" applyFont="0" applyFill="0" applyBorder="0" applyAlignment="0" applyProtection="0"/>
    <xf numFmtId="49" fontId="16" fillId="0" borderId="3">
      <alignment horizontal="left" vertical="center"/>
      <protection locked="0"/>
    </xf>
    <xf numFmtId="49" fontId="16" fillId="0" borderId="3">
      <alignment horizontal="left" vertical="center"/>
      <protection locked="0"/>
    </xf>
    <xf numFmtId="49" fontId="16" fillId="0" borderId="3">
      <alignment horizontal="left" vertical="center"/>
      <protection locked="0"/>
    </xf>
    <xf numFmtId="49" fontId="16" fillId="0" borderId="3">
      <alignment horizontal="left" vertical="center"/>
      <protection locked="0"/>
    </xf>
    <xf numFmtId="49" fontId="16" fillId="0" borderId="3">
      <alignment horizontal="left" vertical="center"/>
      <protection locked="0"/>
    </xf>
    <xf numFmtId="49" fontId="16" fillId="0" borderId="3">
      <alignment horizontal="left" vertical="center"/>
      <protection locked="0"/>
    </xf>
    <xf numFmtId="49" fontId="16" fillId="0" borderId="3">
      <alignment horizontal="left" vertical="center"/>
      <protection locked="0"/>
    </xf>
    <xf numFmtId="49" fontId="16" fillId="0" borderId="3">
      <alignment horizontal="left" vertical="center"/>
      <protection locked="0"/>
    </xf>
    <xf numFmtId="49" fontId="16" fillId="0" borderId="3">
      <alignment horizontal="left" vertical="center"/>
      <protection locked="0"/>
    </xf>
    <xf numFmtId="49" fontId="16" fillId="0" borderId="3">
      <alignment horizontal="left" vertical="center"/>
      <protection locked="0"/>
    </xf>
    <xf numFmtId="49" fontId="16" fillId="0" borderId="3">
      <alignment horizontal="left" vertical="center"/>
      <protection locked="0"/>
    </xf>
    <xf numFmtId="49" fontId="16" fillId="0" borderId="3">
      <alignment horizontal="left" vertical="center"/>
      <protection locked="0"/>
    </xf>
    <xf numFmtId="49" fontId="16" fillId="0" borderId="3">
      <alignment horizontal="left" vertical="center"/>
      <protection locked="0"/>
    </xf>
    <xf numFmtId="49" fontId="16" fillId="0" borderId="3">
      <alignment horizontal="left" vertical="center"/>
      <protection locked="0"/>
    </xf>
    <xf numFmtId="49" fontId="16" fillId="0" borderId="3">
      <alignment horizontal="left" vertical="center"/>
      <protection locked="0"/>
    </xf>
    <xf numFmtId="49" fontId="16" fillId="0" borderId="3">
      <alignment horizontal="left" vertical="center"/>
      <protection locked="0"/>
    </xf>
    <xf numFmtId="49" fontId="16" fillId="0" borderId="3">
      <alignment horizontal="left" vertical="center"/>
      <protection locked="0"/>
    </xf>
    <xf numFmtId="0" fontId="31" fillId="0" borderId="0" applyNumberFormat="0" applyFill="0" applyBorder="0" applyAlignment="0" applyProtection="0"/>
    <xf numFmtId="171" fontId="39" fillId="0" borderId="0" applyAlignment="0">
      <alignment wrapText="1"/>
    </xf>
    <xf numFmtId="0" fontId="34" fillId="4" borderId="0" applyNumberFormat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20" fillId="7" borderId="1" applyNumberFormat="0" applyAlignment="0" applyProtection="0"/>
    <xf numFmtId="49" fontId="16" fillId="0" borderId="0" applyNumberFormat="0" applyFont="0" applyAlignment="0">
      <alignment vertical="top" wrapText="1"/>
      <protection locked="0"/>
    </xf>
    <xf numFmtId="49" fontId="16" fillId="0" borderId="0" applyNumberFormat="0" applyFont="0" applyAlignment="0">
      <alignment vertical="top" wrapText="1"/>
    </xf>
    <xf numFmtId="49" fontId="16" fillId="0" borderId="0" applyNumberFormat="0" applyFont="0" applyAlignment="0">
      <alignment vertical="top" wrapText="1"/>
    </xf>
    <xf numFmtId="49" fontId="16" fillId="0" borderId="0" applyNumberFormat="0" applyFont="0" applyAlignment="0">
      <alignment vertical="top" wrapText="1"/>
      <protection locked="0"/>
    </xf>
    <xf numFmtId="49" fontId="16" fillId="0" borderId="0" applyNumberFormat="0" applyFont="0" applyAlignment="0">
      <alignment vertical="top" wrapText="1"/>
    </xf>
    <xf numFmtId="49" fontId="16" fillId="0" borderId="0" applyNumberFormat="0" applyFont="0" applyAlignment="0">
      <alignment vertical="top" wrapText="1"/>
      <protection locked="0"/>
    </xf>
    <xf numFmtId="49" fontId="16" fillId="0" borderId="0" applyNumberFormat="0" applyFont="0" applyAlignment="0">
      <alignment vertical="top" wrapText="1"/>
    </xf>
    <xf numFmtId="49" fontId="16" fillId="0" borderId="0" applyNumberFormat="0" applyFont="0" applyAlignment="0">
      <alignment vertical="top" wrapText="1"/>
      <protection locked="0"/>
    </xf>
    <xf numFmtId="49" fontId="16" fillId="0" borderId="0" applyNumberFormat="0" applyFont="0" applyAlignment="0">
      <alignment vertical="top" wrapText="1"/>
      <protection locked="0"/>
    </xf>
    <xf numFmtId="49" fontId="16" fillId="0" borderId="0" applyNumberFormat="0" applyFont="0" applyAlignment="0">
      <alignment vertical="top" wrapText="1"/>
      <protection locked="0"/>
    </xf>
    <xf numFmtId="49" fontId="16" fillId="0" borderId="0" applyNumberFormat="0" applyFont="0" applyAlignment="0">
      <alignment vertical="top" wrapText="1"/>
      <protection locked="0"/>
    </xf>
    <xf numFmtId="49" fontId="16" fillId="0" borderId="0" applyNumberFormat="0" applyFont="0" applyAlignment="0">
      <alignment vertical="top" wrapText="1"/>
      <protection locked="0"/>
    </xf>
    <xf numFmtId="49" fontId="16" fillId="0" borderId="0" applyNumberFormat="0" applyFont="0" applyAlignment="0">
      <alignment vertical="top" wrapText="1"/>
      <protection locked="0"/>
    </xf>
    <xf numFmtId="49" fontId="16" fillId="0" borderId="0" applyNumberFormat="0" applyFont="0" applyAlignment="0">
      <alignment vertical="top" wrapText="1"/>
      <protection locked="0"/>
    </xf>
    <xf numFmtId="49" fontId="16" fillId="0" borderId="0" applyNumberFormat="0" applyFont="0" applyAlignment="0">
      <alignment vertical="top" wrapText="1"/>
      <protection locked="0"/>
    </xf>
    <xf numFmtId="49" fontId="16" fillId="0" borderId="0" applyNumberFormat="0" applyFont="0" applyAlignment="0">
      <alignment vertical="top" wrapText="1"/>
      <protection locked="0"/>
    </xf>
    <xf numFmtId="49" fontId="16" fillId="0" borderId="0" applyNumberFormat="0" applyFont="0" applyAlignment="0">
      <alignment vertical="top" wrapText="1"/>
      <protection locked="0"/>
    </xf>
    <xf numFmtId="49" fontId="16" fillId="0" borderId="0" applyNumberFormat="0" applyFont="0" applyAlignment="0">
      <alignment vertical="top" wrapText="1"/>
      <protection locked="0"/>
    </xf>
    <xf numFmtId="49" fontId="16" fillId="0" borderId="0" applyNumberFormat="0" applyFont="0" applyAlignment="0">
      <alignment vertical="top" wrapText="1"/>
      <protection locked="0"/>
    </xf>
    <xf numFmtId="49" fontId="16" fillId="0" borderId="0" applyNumberFormat="0" applyFont="0" applyAlignment="0">
      <alignment vertical="top" wrapText="1"/>
      <protection locked="0"/>
    </xf>
    <xf numFmtId="49" fontId="41" fillId="22" borderId="7">
      <alignment horizontal="left" vertical="center"/>
      <protection locked="0"/>
    </xf>
    <xf numFmtId="49" fontId="41" fillId="22" borderId="7">
      <alignment horizontal="left" vertical="center"/>
    </xf>
    <xf numFmtId="4" fontId="41" fillId="22" borderId="7">
      <alignment horizontal="right" vertical="center"/>
      <protection locked="0"/>
    </xf>
    <xf numFmtId="4" fontId="41" fillId="22" borderId="7">
      <alignment horizontal="right" vertical="center"/>
    </xf>
    <xf numFmtId="4" fontId="42" fillId="22" borderId="7">
      <alignment horizontal="right" vertical="center"/>
      <protection locked="0"/>
    </xf>
    <xf numFmtId="49" fontId="43" fillId="22" borderId="3">
      <alignment horizontal="left" vertical="center"/>
      <protection locked="0"/>
    </xf>
    <xf numFmtId="49" fontId="43" fillId="22" borderId="3">
      <alignment horizontal="left" vertical="center"/>
    </xf>
    <xf numFmtId="49" fontId="44" fillId="22" borderId="3">
      <alignment horizontal="left" vertical="center"/>
      <protection locked="0"/>
    </xf>
    <xf numFmtId="49" fontId="44" fillId="22" borderId="3">
      <alignment horizontal="left" vertical="center"/>
    </xf>
    <xf numFmtId="4" fontId="43" fillId="22" borderId="3">
      <alignment horizontal="right" vertical="center"/>
      <protection locked="0"/>
    </xf>
    <xf numFmtId="4" fontId="43" fillId="22" borderId="3">
      <alignment horizontal="right" vertical="center"/>
    </xf>
    <xf numFmtId="4" fontId="45" fillId="22" borderId="3">
      <alignment horizontal="right" vertical="center"/>
      <protection locked="0"/>
    </xf>
    <xf numFmtId="49" fontId="38" fillId="22" borderId="3">
      <alignment horizontal="left" vertical="center"/>
      <protection locked="0"/>
    </xf>
    <xf numFmtId="49" fontId="38" fillId="22" borderId="3">
      <alignment horizontal="left" vertical="center"/>
      <protection locked="0"/>
    </xf>
    <xf numFmtId="49" fontId="38" fillId="22" borderId="3">
      <alignment horizontal="left" vertical="center"/>
    </xf>
    <xf numFmtId="49" fontId="38" fillId="22" borderId="3">
      <alignment horizontal="left" vertical="center"/>
    </xf>
    <xf numFmtId="49" fontId="42" fillId="22" borderId="3">
      <alignment horizontal="left" vertical="center"/>
      <protection locked="0"/>
    </xf>
    <xf numFmtId="49" fontId="42" fillId="22" borderId="3">
      <alignment horizontal="left" vertical="center"/>
    </xf>
    <xf numFmtId="4" fontId="38" fillId="22" borderId="3">
      <alignment horizontal="right" vertical="center"/>
      <protection locked="0"/>
    </xf>
    <xf numFmtId="4" fontId="38" fillId="22" borderId="3">
      <alignment horizontal="right" vertical="center"/>
      <protection locked="0"/>
    </xf>
    <xf numFmtId="4" fontId="38" fillId="22" borderId="3">
      <alignment horizontal="right" vertical="center"/>
    </xf>
    <xf numFmtId="4" fontId="38" fillId="22" borderId="3">
      <alignment horizontal="right" vertical="center"/>
    </xf>
    <xf numFmtId="4" fontId="42" fillId="22" borderId="3">
      <alignment horizontal="right" vertical="center"/>
      <protection locked="0"/>
    </xf>
    <xf numFmtId="49" fontId="46" fillId="22" borderId="3">
      <alignment horizontal="left" vertical="center"/>
      <protection locked="0"/>
    </xf>
    <xf numFmtId="49" fontId="46" fillId="22" borderId="3">
      <alignment horizontal="left" vertical="center"/>
    </xf>
    <xf numFmtId="49" fontId="47" fillId="22" borderId="3">
      <alignment horizontal="left" vertical="center"/>
      <protection locked="0"/>
    </xf>
    <xf numFmtId="49" fontId="47" fillId="22" borderId="3">
      <alignment horizontal="left" vertical="center"/>
    </xf>
    <xf numFmtId="4" fontId="46" fillId="22" borderId="3">
      <alignment horizontal="right" vertical="center"/>
      <protection locked="0"/>
    </xf>
    <xf numFmtId="4" fontId="46" fillId="22" borderId="3">
      <alignment horizontal="right" vertical="center"/>
    </xf>
    <xf numFmtId="4" fontId="48" fillId="22" borderId="3">
      <alignment horizontal="right" vertical="center"/>
      <protection locked="0"/>
    </xf>
    <xf numFmtId="49" fontId="49" fillId="0" borderId="3">
      <alignment horizontal="left" vertical="center"/>
      <protection locked="0"/>
    </xf>
    <xf numFmtId="49" fontId="49" fillId="0" borderId="3">
      <alignment horizontal="left" vertical="center"/>
    </xf>
    <xf numFmtId="49" fontId="50" fillId="0" borderId="3">
      <alignment horizontal="left" vertical="center"/>
      <protection locked="0"/>
    </xf>
    <xf numFmtId="49" fontId="50" fillId="0" borderId="3">
      <alignment horizontal="left" vertical="center"/>
    </xf>
    <xf numFmtId="4" fontId="49" fillId="0" borderId="3">
      <alignment horizontal="right" vertical="center"/>
      <protection locked="0"/>
    </xf>
    <xf numFmtId="4" fontId="49" fillId="0" borderId="3">
      <alignment horizontal="right" vertical="center"/>
    </xf>
    <xf numFmtId="4" fontId="50" fillId="0" borderId="3">
      <alignment horizontal="right" vertical="center"/>
      <protection locked="0"/>
    </xf>
    <xf numFmtId="49" fontId="51" fillId="0" borderId="3">
      <alignment horizontal="left" vertical="center"/>
      <protection locked="0"/>
    </xf>
    <xf numFmtId="49" fontId="51" fillId="0" borderId="3">
      <alignment horizontal="left" vertical="center"/>
    </xf>
    <xf numFmtId="49" fontId="52" fillId="0" borderId="3">
      <alignment horizontal="left" vertical="center"/>
      <protection locked="0"/>
    </xf>
    <xf numFmtId="49" fontId="52" fillId="0" borderId="3">
      <alignment horizontal="left" vertical="center"/>
    </xf>
    <xf numFmtId="4" fontId="51" fillId="0" borderId="3">
      <alignment horizontal="right" vertical="center"/>
      <protection locked="0"/>
    </xf>
    <xf numFmtId="4" fontId="51" fillId="0" borderId="3">
      <alignment horizontal="right" vertical="center"/>
    </xf>
    <xf numFmtId="49" fontId="49" fillId="0" borderId="3">
      <alignment horizontal="left" vertical="center"/>
      <protection locked="0"/>
    </xf>
    <xf numFmtId="49" fontId="50" fillId="0" borderId="3">
      <alignment horizontal="left" vertical="center"/>
      <protection locked="0"/>
    </xf>
    <xf numFmtId="4" fontId="49" fillId="0" borderId="3">
      <alignment horizontal="right" vertical="center"/>
      <protection locked="0"/>
    </xf>
    <xf numFmtId="0" fontId="32" fillId="0" borderId="8" applyNumberFormat="0" applyFill="0" applyAlignment="0" applyProtection="0"/>
    <xf numFmtId="0" fontId="29" fillId="23" borderId="0" applyNumberFormat="0" applyBorder="0" applyAlignment="0" applyProtection="0"/>
    <xf numFmtId="0" fontId="16" fillId="0" borderId="0"/>
    <xf numFmtId="0" fontId="16" fillId="0" borderId="0"/>
    <xf numFmtId="0" fontId="16" fillId="24" borderId="0" applyNumberFormat="0" applyFill="0" applyAlignment="0">
      <alignment horizontal="center"/>
      <protection locked="0"/>
    </xf>
    <xf numFmtId="0" fontId="5" fillId="25" borderId="9" applyNumberFormat="0" applyFont="0" applyAlignment="0" applyProtection="0"/>
    <xf numFmtId="4" fontId="53" fillId="26" borderId="3">
      <alignment horizontal="right" vertical="center"/>
      <protection locked="0"/>
    </xf>
    <xf numFmtId="4" fontId="53" fillId="27" borderId="3">
      <alignment horizontal="right" vertical="center"/>
      <protection locked="0"/>
    </xf>
    <xf numFmtId="4" fontId="53" fillId="28" borderId="3">
      <alignment horizontal="right" vertical="center"/>
      <protection locked="0"/>
    </xf>
    <xf numFmtId="0" fontId="21" fillId="20" borderId="10" applyNumberFormat="0" applyAlignment="0" applyProtection="0"/>
    <xf numFmtId="49" fontId="38" fillId="0" borderId="3">
      <alignment horizontal="left" vertical="center" wrapText="1"/>
      <protection locked="0"/>
    </xf>
    <xf numFmtId="49" fontId="38" fillId="0" borderId="3">
      <alignment horizontal="left" vertical="center" wrapText="1"/>
      <protection locked="0"/>
    </xf>
    <xf numFmtId="0" fontId="28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33" fillId="0" borderId="0" applyNumberFormat="0" applyFill="0" applyBorder="0" applyAlignment="0" applyProtection="0"/>
    <xf numFmtId="0" fontId="37" fillId="16" borderId="0" applyNumberFormat="0" applyBorder="0" applyAlignment="0" applyProtection="0"/>
    <xf numFmtId="0" fontId="19" fillId="16" borderId="0" applyNumberFormat="0" applyBorder="0" applyAlignment="0" applyProtection="0"/>
    <xf numFmtId="0" fontId="37" fillId="17" borderId="0" applyNumberFormat="0" applyBorder="0" applyAlignment="0" applyProtection="0"/>
    <xf numFmtId="0" fontId="19" fillId="17" borderId="0" applyNumberFormat="0" applyBorder="0" applyAlignment="0" applyProtection="0"/>
    <xf numFmtId="0" fontId="37" fillId="18" borderId="0" applyNumberFormat="0" applyBorder="0" applyAlignment="0" applyProtection="0"/>
    <xf numFmtId="0" fontId="19" fillId="18" borderId="0" applyNumberFormat="0" applyBorder="0" applyAlignment="0" applyProtection="0"/>
    <xf numFmtId="0" fontId="37" fillId="13" borderId="0" applyNumberFormat="0" applyBorder="0" applyAlignment="0" applyProtection="0"/>
    <xf numFmtId="0" fontId="19" fillId="13" borderId="0" applyNumberFormat="0" applyBorder="0" applyAlignment="0" applyProtection="0"/>
    <xf numFmtId="0" fontId="37" fillId="14" borderId="0" applyNumberFormat="0" applyBorder="0" applyAlignment="0" applyProtection="0"/>
    <xf numFmtId="0" fontId="19" fillId="14" borderId="0" applyNumberFormat="0" applyBorder="0" applyAlignment="0" applyProtection="0"/>
    <xf numFmtId="0" fontId="37" fillId="19" borderId="0" applyNumberFormat="0" applyBorder="0" applyAlignment="0" applyProtection="0"/>
    <xf numFmtId="0" fontId="19" fillId="19" borderId="0" applyNumberFormat="0" applyBorder="0" applyAlignment="0" applyProtection="0"/>
    <xf numFmtId="0" fontId="54" fillId="7" borderId="1" applyNumberFormat="0" applyAlignment="0" applyProtection="0"/>
    <xf numFmtId="0" fontId="20" fillId="7" borderId="1" applyNumberFormat="0" applyAlignment="0" applyProtection="0"/>
    <xf numFmtId="0" fontId="55" fillId="20" borderId="10" applyNumberFormat="0" applyAlignment="0" applyProtection="0"/>
    <xf numFmtId="0" fontId="21" fillId="20" borderId="10" applyNumberFormat="0" applyAlignment="0" applyProtection="0"/>
    <xf numFmtId="0" fontId="56" fillId="20" borderId="1" applyNumberFormat="0" applyAlignment="0" applyProtection="0"/>
    <xf numFmtId="0" fontId="22" fillId="20" borderId="1" applyNumberFormat="0" applyAlignment="0" applyProtection="0"/>
    <xf numFmtId="172" fontId="16" fillId="0" borderId="0" applyFont="0" applyFill="0" applyBorder="0" applyAlignment="0" applyProtection="0"/>
    <xf numFmtId="0" fontId="57" fillId="0" borderId="4" applyNumberFormat="0" applyFill="0" applyAlignment="0" applyProtection="0"/>
    <xf numFmtId="0" fontId="23" fillId="0" borderId="4" applyNumberFormat="0" applyFill="0" applyAlignment="0" applyProtection="0"/>
    <xf numFmtId="0" fontId="58" fillId="0" borderId="5" applyNumberFormat="0" applyFill="0" applyAlignment="0" applyProtection="0"/>
    <xf numFmtId="0" fontId="24" fillId="0" borderId="5" applyNumberFormat="0" applyFill="0" applyAlignment="0" applyProtection="0"/>
    <xf numFmtId="0" fontId="59" fillId="0" borderId="6" applyNumberFormat="0" applyFill="0" applyAlignment="0" applyProtection="0"/>
    <xf numFmtId="0" fontId="25" fillId="0" borderId="6" applyNumberFormat="0" applyFill="0" applyAlignment="0" applyProtection="0"/>
    <xf numFmtId="0" fontId="5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0" fillId="0" borderId="11" applyNumberFormat="0" applyFill="0" applyAlignment="0" applyProtection="0"/>
    <xf numFmtId="0" fontId="26" fillId="0" borderId="11" applyNumberFormat="0" applyFill="0" applyAlignment="0" applyProtection="0"/>
    <xf numFmtId="0" fontId="61" fillId="21" borderId="2" applyNumberFormat="0" applyAlignment="0" applyProtection="0"/>
    <xf numFmtId="0" fontId="27" fillId="21" borderId="2" applyNumberFormat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2" fillId="23" borderId="0" applyNumberFormat="0" applyBorder="0" applyAlignment="0" applyProtection="0"/>
    <xf numFmtId="0" fontId="29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8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" fillId="0" borderId="0"/>
    <xf numFmtId="0" fontId="88" fillId="0" borderId="0"/>
    <xf numFmtId="0" fontId="16" fillId="0" borderId="0"/>
    <xf numFmtId="0" fontId="5" fillId="0" borderId="0"/>
    <xf numFmtId="0" fontId="16" fillId="0" borderId="0"/>
    <xf numFmtId="0" fontId="16" fillId="0" borderId="0" applyNumberFormat="0" applyFont="0" applyFill="0" applyBorder="0" applyAlignment="0" applyProtection="0">
      <alignment vertical="top"/>
    </xf>
    <xf numFmtId="0" fontId="16" fillId="0" borderId="0" applyNumberFormat="0" applyFont="0" applyFill="0" applyBorder="0" applyAlignment="0" applyProtection="0">
      <alignment vertical="top"/>
    </xf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63" fillId="3" borderId="0" applyNumberFormat="0" applyBorder="0" applyAlignment="0" applyProtection="0"/>
    <xf numFmtId="0" fontId="30" fillId="3" borderId="0" applyNumberFormat="0" applyBorder="0" applyAlignment="0" applyProtection="0"/>
    <xf numFmtId="0" fontId="64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5" fillId="25" borderId="9" applyNumberFormat="0" applyFont="0" applyAlignment="0" applyProtection="0"/>
    <xf numFmtId="0" fontId="16" fillId="25" borderId="9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6" fillId="0" borderId="8" applyNumberFormat="0" applyFill="0" applyAlignment="0" applyProtection="0"/>
    <xf numFmtId="0" fontId="32" fillId="0" borderId="8" applyNumberFormat="0" applyFill="0" applyAlignment="0" applyProtection="0"/>
    <xf numFmtId="0" fontId="3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3" fontId="69" fillId="0" borderId="0" applyFont="0" applyFill="0" applyBorder="0" applyAlignment="0" applyProtection="0"/>
    <xf numFmtId="174" fontId="69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70" fillId="4" borderId="0" applyNumberFormat="0" applyBorder="0" applyAlignment="0" applyProtection="0"/>
    <xf numFmtId="0" fontId="34" fillId="4" borderId="0" applyNumberFormat="0" applyBorder="0" applyAlignment="0" applyProtection="0"/>
    <xf numFmtId="176" fontId="71" fillId="22" borderId="12" applyFill="0" applyBorder="0">
      <alignment horizontal="center" vertical="center" wrapText="1"/>
      <protection locked="0"/>
    </xf>
    <xf numFmtId="171" fontId="72" fillId="0" borderId="0">
      <alignment wrapText="1"/>
    </xf>
    <xf numFmtId="171" fontId="39" fillId="0" borderId="0">
      <alignment wrapText="1"/>
    </xf>
    <xf numFmtId="0" fontId="3" fillId="0" borderId="0"/>
    <xf numFmtId="9" fontId="3" fillId="0" borderId="0" applyFont="0" applyFill="0" applyBorder="0" applyAlignment="0" applyProtection="0"/>
    <xf numFmtId="0" fontId="4" fillId="0" borderId="0"/>
    <xf numFmtId="0" fontId="5" fillId="0" borderId="0"/>
    <xf numFmtId="0" fontId="103" fillId="0" borderId="0"/>
    <xf numFmtId="9" fontId="5" fillId="0" borderId="0" applyFont="0" applyFill="0" applyBorder="0" applyAlignment="0" applyProtection="0"/>
    <xf numFmtId="0" fontId="14" fillId="0" borderId="0"/>
  </cellStyleXfs>
  <cellXfs count="1127">
    <xf numFmtId="0" fontId="0" fillId="0" borderId="0" xfId="0"/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 shrinkToFit="1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169" fontId="7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1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left" vertical="center" wrapText="1" shrinkToFit="1"/>
    </xf>
    <xf numFmtId="0" fontId="8" fillId="0" borderId="0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170" fontId="8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right" vertical="center"/>
    </xf>
    <xf numFmtId="170" fontId="8" fillId="0" borderId="0" xfId="0" applyNumberFormat="1" applyFont="1" applyFill="1" applyAlignment="1">
      <alignment vertical="center"/>
    </xf>
    <xf numFmtId="0" fontId="15" fillId="0" borderId="0" xfId="0" applyFont="1" applyFill="1"/>
    <xf numFmtId="170" fontId="8" fillId="0" borderId="0" xfId="0" applyNumberFormat="1" applyFont="1" applyFill="1" applyBorder="1" applyAlignment="1">
      <alignment horizontal="center" vertical="center" wrapText="1"/>
    </xf>
    <xf numFmtId="169" fontId="7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Alignment="1"/>
    <xf numFmtId="0" fontId="8" fillId="0" borderId="0" xfId="0" applyFont="1" applyFill="1" applyAlignment="1">
      <alignment vertical="center" wrapText="1" shrinkToFit="1"/>
    </xf>
    <xf numFmtId="0" fontId="7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8" fillId="0" borderId="1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8" fillId="0" borderId="3" xfId="237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7" fillId="0" borderId="0" xfId="245" applyFont="1" applyFill="1" applyBorder="1" applyAlignment="1">
      <alignment horizontal="center" vertical="center" wrapText="1"/>
    </xf>
    <xf numFmtId="0" fontId="8" fillId="0" borderId="0" xfId="245" applyFont="1" applyFill="1" applyBorder="1" applyAlignment="1">
      <alignment vertical="center"/>
    </xf>
    <xf numFmtId="0" fontId="8" fillId="0" borderId="3" xfId="245" applyFont="1" applyFill="1" applyBorder="1" applyAlignment="1">
      <alignment horizontal="left" vertical="center" wrapText="1"/>
    </xf>
    <xf numFmtId="0" fontId="7" fillId="0" borderId="0" xfId="245" applyFont="1" applyFill="1" applyBorder="1" applyAlignment="1">
      <alignment vertical="center"/>
    </xf>
    <xf numFmtId="0" fontId="8" fillId="0" borderId="0" xfId="245" applyFont="1" applyFill="1" applyBorder="1" applyAlignment="1">
      <alignment horizontal="center" vertical="center"/>
    </xf>
    <xf numFmtId="0" fontId="7" fillId="0" borderId="0" xfId="245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8" fillId="0" borderId="3" xfId="245" applyFont="1" applyFill="1" applyBorder="1" applyAlignment="1">
      <alignment horizontal="center" vertical="center"/>
    </xf>
    <xf numFmtId="0" fontId="8" fillId="0" borderId="3" xfId="245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3" xfId="245" applyFont="1" applyFill="1" applyBorder="1" applyAlignment="1">
      <alignment horizontal="left" vertical="center" wrapText="1"/>
    </xf>
    <xf numFmtId="0" fontId="18" fillId="0" borderId="0" xfId="245" applyFont="1" applyFill="1"/>
    <xf numFmtId="0" fontId="9" fillId="0" borderId="0" xfId="0" applyFont="1" applyFill="1" applyAlignment="1">
      <alignment vertical="center"/>
    </xf>
    <xf numFmtId="0" fontId="8" fillId="0" borderId="0" xfId="245" applyFont="1" applyFill="1" applyBorder="1" applyAlignment="1">
      <alignment vertical="center" wrapText="1"/>
    </xf>
    <xf numFmtId="0" fontId="7" fillId="0" borderId="3" xfId="237" applyFont="1" applyFill="1" applyBorder="1" applyAlignment="1">
      <alignment horizontal="left" vertical="center"/>
    </xf>
    <xf numFmtId="0" fontId="8" fillId="0" borderId="0" xfId="0" applyFont="1" applyFill="1"/>
    <xf numFmtId="0" fontId="13" fillId="0" borderId="3" xfId="0" applyFont="1" applyFill="1" applyBorder="1" applyAlignment="1">
      <alignment horizontal="center" vertical="center" wrapText="1" shrinkToFit="1"/>
    </xf>
    <xf numFmtId="0" fontId="13" fillId="0" borderId="14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15" fillId="0" borderId="0" xfId="0" applyFont="1" applyFill="1" applyAlignment="1">
      <alignment horizontal="right"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/>
    <xf numFmtId="0" fontId="18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0" fontId="7" fillId="0" borderId="3" xfId="0" quotePrefix="1" applyFont="1" applyFill="1" applyBorder="1" applyAlignment="1">
      <alignment horizontal="center" vertical="center" wrapText="1"/>
    </xf>
    <xf numFmtId="0" fontId="8" fillId="0" borderId="3" xfId="0" quotePrefix="1" applyFont="1" applyFill="1" applyBorder="1" applyAlignment="1">
      <alignment horizontal="center" vertical="center" wrapText="1"/>
    </xf>
    <xf numFmtId="0" fontId="8" fillId="0" borderId="3" xfId="0" quotePrefix="1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7" fillId="0" borderId="3" xfId="237" applyFont="1" applyFill="1" applyBorder="1" applyAlignment="1">
      <alignment horizontal="left" vertical="center" wrapText="1"/>
    </xf>
    <xf numFmtId="0" fontId="8" fillId="0" borderId="3" xfId="237" applyNumberFormat="1" applyFont="1" applyFill="1" applyBorder="1" applyAlignment="1">
      <alignment horizontal="left" vertical="center" wrapText="1"/>
    </xf>
    <xf numFmtId="0" fontId="8" fillId="0" borderId="3" xfId="237" applyNumberFormat="1" applyFont="1" applyFill="1" applyBorder="1" applyAlignment="1">
      <alignment horizontal="center" vertical="center" wrapText="1"/>
    </xf>
    <xf numFmtId="0" fontId="8" fillId="0" borderId="3" xfId="237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 shrinkToFi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169" fontId="8" fillId="0" borderId="0" xfId="0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3" fontId="13" fillId="0" borderId="3" xfId="0" applyNumberFormat="1" applyFont="1" applyFill="1" applyBorder="1" applyAlignment="1">
      <alignment horizontal="center" vertical="center" wrapText="1" shrinkToFit="1"/>
    </xf>
    <xf numFmtId="49" fontId="8" fillId="0" borderId="3" xfId="237" applyNumberFormat="1" applyFont="1" applyFill="1" applyBorder="1" applyAlignment="1">
      <alignment horizontal="left" vertical="center" wrapText="1"/>
    </xf>
    <xf numFmtId="170" fontId="8" fillId="0" borderId="3" xfId="237" applyNumberFormat="1" applyFont="1" applyFill="1" applyBorder="1" applyAlignment="1">
      <alignment horizontal="center" vertical="center" wrapText="1"/>
    </xf>
    <xf numFmtId="0" fontId="8" fillId="0" borderId="3" xfId="237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vertical="center" wrapText="1" shrinkToFi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29" borderId="3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vertical="center" wrapText="1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3" xfId="182" applyFont="1" applyFill="1" applyBorder="1" applyAlignment="1" applyProtection="1">
      <alignment vertical="center" wrapText="1"/>
    </xf>
    <xf numFmtId="173" fontId="8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182" applyFont="1" applyFill="1" applyBorder="1" applyAlignment="1" applyProtection="1">
      <alignment vertical="center" wrapText="1"/>
    </xf>
    <xf numFmtId="0" fontId="7" fillId="0" borderId="3" xfId="0" applyFont="1" applyFill="1" applyBorder="1" applyAlignment="1" applyProtection="1">
      <alignment vertical="center" wrapText="1"/>
    </xf>
    <xf numFmtId="0" fontId="8" fillId="0" borderId="3" xfId="0" applyFont="1" applyFill="1" applyBorder="1" applyAlignment="1" applyProtection="1">
      <alignment vertical="center" wrapText="1"/>
    </xf>
    <xf numFmtId="0" fontId="8" fillId="0" borderId="3" xfId="0" applyFont="1" applyFill="1" applyBorder="1" applyAlignment="1" applyProtection="1">
      <alignment horizontal="left" vertical="center" wrapText="1"/>
    </xf>
    <xf numFmtId="0" fontId="8" fillId="0" borderId="3" xfId="245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17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73" fillId="0" borderId="0" xfId="0" applyFont="1" applyAlignment="1" applyProtection="1">
      <alignment horizontal="left" vertical="top" wrapText="1"/>
      <protection locked="0"/>
    </xf>
    <xf numFmtId="0" fontId="73" fillId="0" borderId="0" xfId="0" applyFont="1" applyAlignment="1" applyProtection="1">
      <alignment vertical="top" wrapText="1"/>
      <protection locked="0"/>
    </xf>
    <xf numFmtId="0" fontId="74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74" fillId="0" borderId="0" xfId="0" applyFont="1" applyFill="1" applyBorder="1" applyAlignment="1" applyProtection="1">
      <alignment horizontal="right" vertical="center"/>
      <protection locked="0"/>
    </xf>
    <xf numFmtId="0" fontId="74" fillId="0" borderId="0" xfId="0" applyFont="1" applyFill="1" applyBorder="1" applyAlignment="1" applyProtection="1">
      <alignment horizontal="left" vertical="center"/>
      <protection locked="0"/>
    </xf>
    <xf numFmtId="0" fontId="74" fillId="0" borderId="0" xfId="0" applyFont="1" applyFill="1" applyBorder="1" applyAlignment="1" applyProtection="1">
      <alignment horizontal="right" vertical="center" wrapText="1"/>
      <protection locked="0"/>
    </xf>
    <xf numFmtId="0" fontId="74" fillId="0" borderId="0" xfId="0" applyFont="1" applyFill="1" applyBorder="1" applyAlignment="1" applyProtection="1">
      <alignment horizontal="left" vertical="center" wrapText="1"/>
      <protection locked="0"/>
    </xf>
    <xf numFmtId="0" fontId="74" fillId="0" borderId="0" xfId="0" applyFont="1" applyFill="1" applyAlignment="1" applyProtection="1">
      <alignment horizontal="center" vertical="center"/>
      <protection locked="0"/>
    </xf>
    <xf numFmtId="0" fontId="74" fillId="0" borderId="0" xfId="0" applyFont="1" applyFill="1" applyBorder="1" applyAlignment="1" applyProtection="1">
      <alignment horizontal="center" vertical="center"/>
      <protection locked="0"/>
    </xf>
    <xf numFmtId="0" fontId="74" fillId="0" borderId="14" xfId="0" applyFont="1" applyFill="1" applyBorder="1" applyAlignment="1" applyProtection="1">
      <alignment vertical="center"/>
      <protection locked="0"/>
    </xf>
    <xf numFmtId="0" fontId="74" fillId="0" borderId="15" xfId="0" applyFont="1" applyFill="1" applyBorder="1" applyAlignment="1" applyProtection="1">
      <alignment vertical="center"/>
      <protection locked="0"/>
    </xf>
    <xf numFmtId="0" fontId="74" fillId="0" borderId="16" xfId="0" applyFont="1" applyFill="1" applyBorder="1" applyAlignment="1" applyProtection="1">
      <alignment vertical="center"/>
      <protection locked="0"/>
    </xf>
    <xf numFmtId="0" fontId="74" fillId="0" borderId="3" xfId="0" applyFont="1" applyFill="1" applyBorder="1" applyAlignment="1" applyProtection="1">
      <alignment horizontal="left" vertical="center"/>
      <protection locked="0"/>
    </xf>
    <xf numFmtId="0" fontId="74" fillId="0" borderId="3" xfId="0" applyFont="1" applyFill="1" applyBorder="1" applyAlignment="1" applyProtection="1">
      <alignment horizontal="center" vertical="center"/>
      <protection locked="0"/>
    </xf>
    <xf numFmtId="0" fontId="74" fillId="0" borderId="14" xfId="0" applyFont="1" applyFill="1" applyBorder="1" applyAlignment="1" applyProtection="1">
      <alignment horizontal="left" vertical="center" wrapText="1"/>
      <protection locked="0"/>
    </xf>
    <xf numFmtId="0" fontId="74" fillId="0" borderId="15" xfId="0" applyFont="1" applyFill="1" applyBorder="1" applyAlignment="1" applyProtection="1">
      <alignment vertical="center" wrapText="1"/>
      <protection locked="0"/>
    </xf>
    <xf numFmtId="0" fontId="74" fillId="0" borderId="16" xfId="0" applyFont="1" applyFill="1" applyBorder="1" applyAlignment="1" applyProtection="1">
      <alignment vertical="center" wrapText="1"/>
      <protection locked="0"/>
    </xf>
    <xf numFmtId="0" fontId="74" fillId="0" borderId="3" xfId="0" applyFont="1" applyFill="1" applyBorder="1" applyAlignment="1" applyProtection="1">
      <alignment vertical="center"/>
      <protection locked="0"/>
    </xf>
    <xf numFmtId="0" fontId="74" fillId="0" borderId="17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74" fillId="0" borderId="18" xfId="0" applyFont="1" applyFill="1" applyBorder="1" applyAlignment="1" applyProtection="1">
      <alignment vertical="center"/>
      <protection locked="0"/>
    </xf>
    <xf numFmtId="0" fontId="74" fillId="0" borderId="3" xfId="0" applyFont="1" applyFill="1" applyBorder="1" applyAlignment="1" applyProtection="1">
      <alignment vertical="center" wrapText="1"/>
      <protection locked="0"/>
    </xf>
    <xf numFmtId="170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170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170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170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0" xfId="0" quotePrefix="1" applyFont="1" applyFill="1" applyBorder="1" applyAlignment="1" applyProtection="1">
      <alignment horizontal="center" vertical="center"/>
      <protection locked="0"/>
    </xf>
    <xf numFmtId="170" fontId="9" fillId="0" borderId="0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Alignment="1" applyProtection="1">
      <alignment horizontal="left" vertical="center"/>
      <protection locked="0"/>
    </xf>
    <xf numFmtId="0" fontId="7" fillId="0" borderId="0" xfId="0" quotePrefix="1" applyFont="1" applyFill="1" applyBorder="1" applyAlignment="1" applyProtection="1">
      <alignment horizontal="center"/>
      <protection locked="0"/>
    </xf>
    <xf numFmtId="170" fontId="7" fillId="0" borderId="0" xfId="0" quotePrefix="1" applyNumberFormat="1" applyFont="1" applyFill="1" applyBorder="1" applyAlignment="1" applyProtection="1">
      <alignment horizontal="center"/>
      <protection locked="0"/>
    </xf>
    <xf numFmtId="170" fontId="7" fillId="0" borderId="0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49" fontId="8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3" xfId="0" applyNumberFormat="1" applyFont="1" applyFill="1" applyBorder="1" applyAlignment="1" applyProtection="1">
      <alignment horizontal="left" vertical="center" wrapText="1"/>
      <protection locked="0"/>
    </xf>
    <xf numFmtId="0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245" applyFont="1" applyFill="1" applyBorder="1" applyAlignment="1" applyProtection="1">
      <alignment horizontal="left" vertical="center" wrapText="1"/>
      <protection locked="0"/>
    </xf>
    <xf numFmtId="0" fontId="8" fillId="0" borderId="0" xfId="245" applyFont="1" applyFill="1" applyBorder="1" applyAlignment="1" applyProtection="1">
      <alignment horizontal="center" vertical="center"/>
      <protection locked="0"/>
    </xf>
    <xf numFmtId="170" fontId="8" fillId="0" borderId="0" xfId="245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quotePrefix="1" applyFont="1" applyFill="1" applyBorder="1" applyAlignment="1" applyProtection="1">
      <alignment horizontal="center" vertical="center"/>
      <protection locked="0"/>
    </xf>
    <xf numFmtId="169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0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49" fontId="8" fillId="0" borderId="3" xfId="237" applyNumberFormat="1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Protection="1"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13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NumberFormat="1" applyFont="1" applyFill="1" applyBorder="1" applyAlignment="1" applyProtection="1">
      <alignment horizontal="left" vertical="center" wrapText="1"/>
      <protection locked="0"/>
    </xf>
    <xf numFmtId="0" fontId="8" fillId="0" borderId="3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8" fillId="0" borderId="3" xfId="0" quotePrefix="1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/>
    <xf numFmtId="0" fontId="16" fillId="0" borderId="3" xfId="0" applyFont="1" applyFill="1" applyBorder="1" applyAlignment="1">
      <alignment horizontal="left" vertical="center" wrapText="1"/>
    </xf>
    <xf numFmtId="0" fontId="16" fillId="0" borderId="3" xfId="245" applyFont="1" applyFill="1" applyBorder="1" applyAlignment="1">
      <alignment horizontal="left" vertical="center" wrapText="1"/>
    </xf>
    <xf numFmtId="1" fontId="0" fillId="0" borderId="3" xfId="0" applyNumberFormat="1" applyBorder="1"/>
    <xf numFmtId="0" fontId="0" fillId="0" borderId="3" xfId="0" applyBorder="1"/>
    <xf numFmtId="0" fontId="78" fillId="0" borderId="3" xfId="0" applyFont="1" applyBorder="1" applyAlignment="1">
      <alignment horizontal="center"/>
    </xf>
    <xf numFmtId="0" fontId="0" fillId="0" borderId="3" xfId="0" applyBorder="1" applyAlignment="1">
      <alignment horizontal="left" vertical="center" wrapText="1"/>
    </xf>
    <xf numFmtId="10" fontId="0" fillId="0" borderId="3" xfId="0" applyNumberFormat="1" applyBorder="1" applyAlignment="1">
      <alignment horizontal="center" vertical="center" wrapText="1"/>
    </xf>
    <xf numFmtId="9" fontId="0" fillId="0" borderId="3" xfId="0" applyNumberFormat="1" applyBorder="1" applyAlignment="1">
      <alignment horizontal="center" vertical="center" wrapText="1"/>
    </xf>
    <xf numFmtId="0" fontId="78" fillId="0" borderId="3" xfId="0" applyFont="1" applyBorder="1" applyAlignment="1">
      <alignment horizontal="center" vertical="center" wrapText="1"/>
    </xf>
    <xf numFmtId="0" fontId="78" fillId="30" borderId="3" xfId="0" applyFont="1" applyFill="1" applyBorder="1" applyAlignment="1">
      <alignment horizontal="left" wrapText="1"/>
    </xf>
    <xf numFmtId="0" fontId="78" fillId="31" borderId="3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8" fillId="0" borderId="3" xfId="245" applyFont="1" applyFill="1" applyBorder="1" applyAlignment="1" applyProtection="1">
      <alignment horizontal="left" vertical="center" wrapText="1"/>
      <protection locked="0"/>
    </xf>
    <xf numFmtId="0" fontId="8" fillId="0" borderId="3" xfId="245" applyFont="1" applyFill="1" applyBorder="1" applyAlignment="1" applyProtection="1">
      <alignment horizontal="center" vertical="center" wrapText="1"/>
      <protection locked="0"/>
    </xf>
    <xf numFmtId="0" fontId="7" fillId="0" borderId="3" xfId="245" applyFont="1" applyFill="1" applyBorder="1" applyAlignment="1" applyProtection="1">
      <alignment horizontal="left" vertical="center" wrapText="1"/>
      <protection locked="0"/>
    </xf>
    <xf numFmtId="0" fontId="7" fillId="0" borderId="3" xfId="245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1" fontId="8" fillId="29" borderId="3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29" borderId="3" xfId="0" applyNumberFormat="1" applyFont="1" applyFill="1" applyBorder="1" applyAlignment="1">
      <alignment horizontal="center" vertical="center" wrapText="1"/>
    </xf>
    <xf numFmtId="1" fontId="8" fillId="29" borderId="3" xfId="0" applyNumberFormat="1" applyFont="1" applyFill="1" applyBorder="1" applyAlignment="1" applyProtection="1">
      <alignment horizontal="center" vertical="center" wrapText="1"/>
    </xf>
    <xf numFmtId="2" fontId="8" fillId="29" borderId="3" xfId="0" applyNumberFormat="1" applyFont="1" applyFill="1" applyBorder="1" applyAlignment="1" applyProtection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2" fontId="8" fillId="29" borderId="3" xfId="237" applyNumberFormat="1" applyFont="1" applyFill="1" applyBorder="1" applyAlignment="1">
      <alignment horizontal="center" vertical="center" wrapText="1"/>
    </xf>
    <xf numFmtId="2" fontId="8" fillId="0" borderId="3" xfId="237" applyNumberFormat="1" applyFont="1" applyFill="1" applyBorder="1" applyAlignment="1" applyProtection="1">
      <alignment horizontal="center" vertical="center" wrapText="1"/>
      <protection locked="0"/>
    </xf>
    <xf numFmtId="2" fontId="8" fillId="0" borderId="3" xfId="237" applyNumberFormat="1" applyFont="1" applyFill="1" applyBorder="1" applyAlignment="1">
      <alignment horizontal="center" vertical="center" wrapText="1"/>
    </xf>
    <xf numFmtId="1" fontId="0" fillId="0" borderId="3" xfId="0" applyNumberFormat="1" applyFill="1" applyBorder="1"/>
    <xf numFmtId="0" fontId="0" fillId="0" borderId="3" xfId="0" applyFill="1" applyBorder="1" applyProtection="1">
      <protection locked="0"/>
    </xf>
    <xf numFmtId="10" fontId="79" fillId="30" borderId="3" xfId="0" applyNumberFormat="1" applyFont="1" applyFill="1" applyBorder="1" applyAlignment="1" applyProtection="1">
      <alignment horizontal="center" vertical="center" wrapText="1"/>
      <protection locked="0"/>
    </xf>
    <xf numFmtId="2" fontId="8" fillId="29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29" borderId="3" xfId="0" applyNumberFormat="1" applyFont="1" applyFill="1" applyBorder="1" applyAlignment="1" applyProtection="1">
      <alignment horizontal="center" vertical="center" wrapText="1"/>
    </xf>
    <xf numFmtId="1" fontId="8" fillId="0" borderId="0" xfId="0" applyNumberFormat="1" applyFont="1" applyFill="1" applyBorder="1" applyAlignment="1">
      <alignment vertical="center"/>
    </xf>
    <xf numFmtId="1" fontId="8" fillId="2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 vertical="center" wrapText="1"/>
    </xf>
    <xf numFmtId="10" fontId="0" fillId="0" borderId="0" xfId="0" applyNumberFormat="1" applyBorder="1" applyAlignment="1">
      <alignment horizontal="center" vertical="center" wrapText="1"/>
    </xf>
    <xf numFmtId="0" fontId="78" fillId="22" borderId="0" xfId="0" applyFont="1" applyFill="1" applyBorder="1" applyAlignment="1">
      <alignment horizontal="left" wrapText="1"/>
    </xf>
    <xf numFmtId="0" fontId="0" fillId="0" borderId="0" xfId="0" applyFill="1" applyBorder="1" applyProtection="1">
      <protection locked="0"/>
    </xf>
    <xf numFmtId="10" fontId="79" fillId="31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/>
    </xf>
    <xf numFmtId="0" fontId="8" fillId="0" borderId="3" xfId="0" quotePrefix="1" applyFont="1" applyFill="1" applyBorder="1" applyAlignment="1" applyProtection="1">
      <alignment horizontal="center" vertical="center"/>
    </xf>
    <xf numFmtId="0" fontId="8" fillId="0" borderId="3" xfId="182" applyFont="1" applyFill="1" applyBorder="1" applyAlignment="1" applyProtection="1">
      <alignment horizontal="left" vertical="center" wrapText="1"/>
    </xf>
    <xf numFmtId="1" fontId="8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quotePrefix="1" applyFont="1" applyFill="1" applyBorder="1" applyAlignment="1" applyProtection="1">
      <alignment horizontal="center" vertical="center" wrapText="1"/>
    </xf>
    <xf numFmtId="0" fontId="13" fillId="0" borderId="14" xfId="0" applyFont="1" applyFill="1" applyBorder="1" applyAlignment="1" applyProtection="1">
      <alignment horizontal="center" vertical="center" wrapText="1" shrinkToFit="1"/>
      <protection locked="0"/>
    </xf>
    <xf numFmtId="3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3" xfId="0" applyNumberFormat="1" applyFont="1" applyFill="1" applyBorder="1" applyAlignment="1" applyProtection="1">
      <alignment horizontal="left" vertical="center" wrapText="1"/>
      <protection locked="0"/>
    </xf>
    <xf numFmtId="0" fontId="7" fillId="0" borderId="3" xfId="0" quotePrefix="1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left" vertical="center" wrapText="1" shrinkToFit="1"/>
      <protection locked="0"/>
    </xf>
    <xf numFmtId="0" fontId="8" fillId="0" borderId="3" xfId="0" applyFont="1" applyFill="1" applyBorder="1" applyAlignment="1" applyProtection="1">
      <alignment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1" fontId="8" fillId="29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29" borderId="3" xfId="0" applyNumberFormat="1" applyFont="1" applyFill="1" applyBorder="1" applyAlignment="1" applyProtection="1">
      <alignment horizontal="center" vertical="center" wrapText="1"/>
      <protection locked="0"/>
    </xf>
    <xf numFmtId="0" fontId="15" fillId="32" borderId="0" xfId="0" applyFont="1" applyFill="1"/>
    <xf numFmtId="0" fontId="15" fillId="32" borderId="0" xfId="0" applyFont="1" applyFill="1" applyProtection="1">
      <protection locked="0"/>
    </xf>
    <xf numFmtId="3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justify"/>
    </xf>
    <xf numFmtId="0" fontId="13" fillId="0" borderId="19" xfId="0" applyFont="1" applyBorder="1" applyAlignment="1">
      <alignment horizontal="justify" vertical="top" wrapText="1"/>
    </xf>
    <xf numFmtId="0" fontId="13" fillId="0" borderId="20" xfId="0" applyFont="1" applyBorder="1" applyAlignment="1">
      <alignment horizontal="justify" vertical="top" wrapText="1"/>
    </xf>
    <xf numFmtId="0" fontId="13" fillId="0" borderId="20" xfId="0" applyFont="1" applyBorder="1" applyAlignment="1">
      <alignment vertical="top" wrapText="1"/>
    </xf>
    <xf numFmtId="0" fontId="13" fillId="0" borderId="19" xfId="0" applyFont="1" applyBorder="1" applyAlignment="1">
      <alignment vertical="top" wrapText="1"/>
    </xf>
    <xf numFmtId="0" fontId="83" fillId="0" borderId="0" xfId="0" applyFont="1" applyAlignment="1">
      <alignment horizontal="justify"/>
    </xf>
    <xf numFmtId="0" fontId="13" fillId="0" borderId="21" xfId="0" applyFont="1" applyBorder="1" applyAlignment="1">
      <alignment horizontal="justify" vertical="top" wrapText="1"/>
    </xf>
    <xf numFmtId="0" fontId="13" fillId="0" borderId="22" xfId="0" applyFont="1" applyBorder="1" applyAlignment="1">
      <alignment horizontal="justify" vertical="top" wrapText="1"/>
    </xf>
    <xf numFmtId="0" fontId="82" fillId="0" borderId="22" xfId="0" applyFont="1" applyBorder="1" applyAlignment="1">
      <alignment vertical="top" wrapText="1"/>
    </xf>
    <xf numFmtId="0" fontId="13" fillId="0" borderId="22" xfId="0" applyFont="1" applyBorder="1" applyAlignment="1">
      <alignment vertical="top" wrapText="1"/>
    </xf>
    <xf numFmtId="0" fontId="84" fillId="0" borderId="3" xfId="0" applyFont="1" applyBorder="1" applyAlignment="1">
      <alignment wrapText="1"/>
    </xf>
    <xf numFmtId="0" fontId="84" fillId="0" borderId="3" xfId="0" applyFont="1" applyBorder="1"/>
    <xf numFmtId="4" fontId="84" fillId="0" borderId="3" xfId="0" applyNumberFormat="1" applyFont="1" applyBorder="1"/>
    <xf numFmtId="0" fontId="13" fillId="33" borderId="20" xfId="0" applyFont="1" applyFill="1" applyBorder="1" applyAlignment="1">
      <alignment horizontal="justify" vertical="top" wrapText="1"/>
    </xf>
    <xf numFmtId="0" fontId="78" fillId="0" borderId="0" xfId="0" applyFont="1"/>
    <xf numFmtId="179" fontId="78" fillId="0" borderId="0" xfId="323" applyNumberFormat="1" applyFont="1"/>
    <xf numFmtId="179" fontId="0" fillId="0" borderId="0" xfId="323" applyNumberFormat="1" applyFont="1"/>
    <xf numFmtId="179" fontId="78" fillId="0" borderId="0" xfId="0" applyNumberFormat="1" applyFont="1"/>
    <xf numFmtId="0" fontId="85" fillId="0" borderId="3" xfId="0" applyFont="1" applyBorder="1" applyAlignment="1">
      <alignment horizontal="center" vertical="center" textRotation="90" wrapText="1"/>
    </xf>
    <xf numFmtId="0" fontId="85" fillId="0" borderId="3" xfId="0" applyFont="1" applyBorder="1" applyAlignment="1">
      <alignment horizontal="center" vertical="center" wrapText="1"/>
    </xf>
    <xf numFmtId="0" fontId="85" fillId="0" borderId="3" xfId="0" applyFont="1" applyBorder="1" applyAlignment="1">
      <alignment horizontal="center" vertical="center"/>
    </xf>
    <xf numFmtId="0" fontId="85" fillId="0" borderId="14" xfId="0" applyFont="1" applyBorder="1" applyAlignment="1">
      <alignment horizontal="center" vertical="center" wrapText="1"/>
    </xf>
    <xf numFmtId="0" fontId="85" fillId="0" borderId="15" xfId="0" applyFont="1" applyBorder="1" applyAlignment="1">
      <alignment horizontal="center" vertical="center"/>
    </xf>
    <xf numFmtId="0" fontId="85" fillId="0" borderId="15" xfId="0" applyFont="1" applyBorder="1" applyAlignment="1">
      <alignment horizontal="center" vertical="center" wrapText="1"/>
    </xf>
    <xf numFmtId="0" fontId="85" fillId="0" borderId="16" xfId="0" applyFont="1" applyBorder="1" applyAlignment="1">
      <alignment horizontal="center" vertical="center" wrapText="1"/>
    </xf>
    <xf numFmtId="0" fontId="85" fillId="0" borderId="3" xfId="0" applyFont="1" applyBorder="1" applyAlignment="1">
      <alignment horizontal="center" vertical="center" textRotation="90"/>
    </xf>
    <xf numFmtId="0" fontId="85" fillId="0" borderId="3" xfId="0" applyFont="1" applyBorder="1" applyAlignment="1"/>
    <xf numFmtId="2" fontId="85" fillId="0" borderId="3" xfId="0" applyNumberFormat="1" applyFont="1" applyBorder="1" applyAlignment="1">
      <alignment horizontal="center" vertical="center"/>
    </xf>
    <xf numFmtId="174" fontId="85" fillId="0" borderId="3" xfId="323" applyNumberFormat="1" applyFont="1" applyBorder="1" applyAlignment="1">
      <alignment horizontal="center" vertical="center"/>
    </xf>
    <xf numFmtId="0" fontId="85" fillId="0" borderId="3" xfId="0" applyFont="1" applyBorder="1" applyAlignment="1">
      <alignment horizontal="left" vertical="center"/>
    </xf>
    <xf numFmtId="0" fontId="85" fillId="0" borderId="3" xfId="0" applyFont="1" applyBorder="1" applyAlignment="1">
      <alignment horizontal="left"/>
    </xf>
    <xf numFmtId="0" fontId="85" fillId="0" borderId="3" xfId="0" applyFont="1" applyBorder="1"/>
    <xf numFmtId="0" fontId="85" fillId="0" borderId="3" xfId="0" applyFont="1" applyBorder="1" applyAlignment="1">
      <alignment horizontal="center"/>
    </xf>
    <xf numFmtId="2" fontId="85" fillId="0" borderId="3" xfId="0" applyNumberFormat="1" applyFont="1" applyBorder="1"/>
    <xf numFmtId="0" fontId="0" fillId="22" borderId="0" xfId="0" applyFill="1"/>
    <xf numFmtId="179" fontId="0" fillId="22" borderId="0" xfId="323" applyNumberFormat="1" applyFont="1" applyFill="1"/>
    <xf numFmtId="0" fontId="84" fillId="22" borderId="3" xfId="0" applyFont="1" applyFill="1" applyBorder="1"/>
    <xf numFmtId="0" fontId="84" fillId="34" borderId="3" xfId="0" applyFont="1" applyFill="1" applyBorder="1"/>
    <xf numFmtId="0" fontId="0" fillId="34" borderId="0" xfId="0" applyFill="1"/>
    <xf numFmtId="179" fontId="0" fillId="34" borderId="0" xfId="323" applyNumberFormat="1" applyFont="1" applyFill="1"/>
    <xf numFmtId="179" fontId="78" fillId="34" borderId="0" xfId="323" applyNumberFormat="1" applyFont="1" applyFill="1"/>
    <xf numFmtId="1" fontId="8" fillId="0" borderId="0" xfId="0" applyNumberFormat="1" applyFont="1" applyFill="1" applyBorder="1" applyAlignment="1" applyProtection="1">
      <alignment vertical="center"/>
      <protection locked="0"/>
    </xf>
    <xf numFmtId="0" fontId="8" fillId="34" borderId="0" xfId="0" applyFont="1" applyFill="1" applyBorder="1" applyAlignment="1" applyProtection="1">
      <alignment vertical="center"/>
      <protection locked="0"/>
    </xf>
    <xf numFmtId="49" fontId="87" fillId="0" borderId="3" xfId="0" applyNumberFormat="1" applyFont="1" applyFill="1" applyBorder="1" applyAlignment="1" applyProtection="1">
      <alignment horizontal="left" vertical="center" wrapText="1"/>
      <protection locked="0"/>
    </xf>
    <xf numFmtId="1" fontId="8" fillId="33" borderId="0" xfId="0" applyNumberFormat="1" applyFont="1" applyFill="1" applyBorder="1" applyAlignment="1" applyProtection="1">
      <alignment vertical="center"/>
      <protection locked="0"/>
    </xf>
    <xf numFmtId="2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36" borderId="3" xfId="0" applyFont="1" applyFill="1" applyBorder="1" applyAlignment="1" applyProtection="1">
      <alignment horizontal="left" vertical="center" wrapText="1"/>
      <protection locked="0"/>
    </xf>
    <xf numFmtId="49" fontId="8" fillId="0" borderId="3" xfId="0" applyNumberFormat="1" applyFont="1" applyFill="1" applyBorder="1" applyAlignment="1" applyProtection="1">
      <alignment horizontal="left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1" fontId="7" fillId="37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1" fontId="8" fillId="38" borderId="3" xfId="0" applyNumberFormat="1" applyFont="1" applyFill="1" applyBorder="1" applyAlignment="1" applyProtection="1">
      <alignment horizontal="center" vertical="center" wrapText="1"/>
    </xf>
    <xf numFmtId="1" fontId="8" fillId="38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38" borderId="0" xfId="0" applyNumberFormat="1" applyFont="1" applyFill="1" applyBorder="1" applyAlignment="1" applyProtection="1">
      <alignment vertical="center"/>
      <protection locked="0"/>
    </xf>
    <xf numFmtId="170" fontId="8" fillId="35" borderId="0" xfId="0" applyNumberFormat="1" applyFont="1" applyFill="1" applyBorder="1" applyAlignment="1" applyProtection="1">
      <alignment horizontal="right" vertical="center" wrapText="1"/>
      <protection locked="0"/>
    </xf>
    <xf numFmtId="3" fontId="8" fillId="35" borderId="0" xfId="0" applyNumberFormat="1" applyFont="1" applyFill="1" applyBorder="1" applyAlignment="1" applyProtection="1">
      <alignment horizontal="center" vertical="center" wrapText="1"/>
      <protection locked="0"/>
    </xf>
    <xf numFmtId="1" fontId="8" fillId="35" borderId="0" xfId="0" applyNumberFormat="1" applyFont="1" applyFill="1" applyBorder="1" applyAlignment="1" applyProtection="1">
      <alignment vertical="center"/>
      <protection locked="0"/>
    </xf>
    <xf numFmtId="0" fontId="8" fillId="35" borderId="0" xfId="0" applyFont="1" applyFill="1" applyBorder="1" applyAlignment="1" applyProtection="1">
      <alignment vertical="center"/>
      <protection locked="0"/>
    </xf>
    <xf numFmtId="170" fontId="8" fillId="35" borderId="0" xfId="0" applyNumberFormat="1" applyFont="1" applyFill="1" applyBorder="1" applyAlignment="1">
      <alignment horizontal="right" vertical="center" wrapText="1"/>
    </xf>
    <xf numFmtId="0" fontId="8" fillId="35" borderId="0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9" fontId="8" fillId="0" borderId="0" xfId="0" applyNumberFormat="1" applyFont="1" applyFill="1" applyBorder="1" applyAlignment="1">
      <alignment vertical="center"/>
    </xf>
    <xf numFmtId="49" fontId="8" fillId="0" borderId="3" xfId="0" applyNumberFormat="1" applyFont="1" applyFill="1" applyBorder="1" applyAlignment="1" applyProtection="1">
      <alignment horizontal="left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>
      <alignment vertical="center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vertical="center"/>
    </xf>
    <xf numFmtId="49" fontId="8" fillId="0" borderId="3" xfId="0" applyNumberFormat="1" applyFont="1" applyFill="1" applyBorder="1" applyAlignment="1" applyProtection="1">
      <alignment horizontal="left" vertical="center" wrapText="1"/>
      <protection locked="0"/>
    </xf>
    <xf numFmtId="1" fontId="7" fillId="0" borderId="0" xfId="0" applyNumberFormat="1" applyFont="1" applyFill="1" applyBorder="1" applyAlignment="1">
      <alignment vertical="center"/>
    </xf>
    <xf numFmtId="0" fontId="8" fillId="39" borderId="3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>
      <alignment vertical="center"/>
    </xf>
    <xf numFmtId="49" fontId="8" fillId="0" borderId="3" xfId="0" applyNumberFormat="1" applyFont="1" applyFill="1" applyBorder="1" applyAlignment="1" applyProtection="1">
      <alignment horizontal="left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49" fontId="8" fillId="0" borderId="3" xfId="0" applyNumberFormat="1" applyFont="1" applyFill="1" applyBorder="1" applyAlignment="1" applyProtection="1">
      <alignment horizontal="left" vertical="center" wrapText="1"/>
      <protection locked="0"/>
    </xf>
    <xf numFmtId="180" fontId="93" fillId="0" borderId="3" xfId="0" applyNumberFormat="1" applyFont="1" applyFill="1" applyBorder="1" applyAlignment="1">
      <alignment horizontal="center" vertical="center" wrapText="1"/>
    </xf>
    <xf numFmtId="0" fontId="94" fillId="0" borderId="3" xfId="354" applyFont="1" applyBorder="1"/>
    <xf numFmtId="0" fontId="95" fillId="0" borderId="3" xfId="354" applyFont="1" applyBorder="1"/>
    <xf numFmtId="0" fontId="95" fillId="0" borderId="18" xfId="354" applyFont="1" applyBorder="1"/>
    <xf numFmtId="0" fontId="3" fillId="0" borderId="0" xfId="354"/>
    <xf numFmtId="0" fontId="94" fillId="0" borderId="3" xfId="354" applyFont="1" applyBorder="1" applyAlignment="1">
      <alignment wrapText="1"/>
    </xf>
    <xf numFmtId="0" fontId="94" fillId="0" borderId="18" xfId="354" applyFont="1" applyBorder="1"/>
    <xf numFmtId="0" fontId="92" fillId="0" borderId="0" xfId="354" applyFont="1"/>
    <xf numFmtId="0" fontId="92" fillId="0" borderId="3" xfId="354" applyFont="1" applyBorder="1"/>
    <xf numFmtId="0" fontId="99" fillId="0" borderId="3" xfId="354" applyFont="1" applyBorder="1" applyAlignment="1">
      <alignment horizontal="justify" vertical="center" wrapText="1"/>
    </xf>
    <xf numFmtId="0" fontId="94" fillId="0" borderId="3" xfId="354" applyFont="1" applyFill="1" applyBorder="1"/>
    <xf numFmtId="0" fontId="100" fillId="0" borderId="3" xfId="354" applyFont="1" applyBorder="1" applyAlignment="1">
      <alignment horizontal="justify" vertical="center" wrapText="1"/>
    </xf>
    <xf numFmtId="0" fontId="3" fillId="0" borderId="3" xfId="354" applyBorder="1"/>
    <xf numFmtId="0" fontId="99" fillId="0" borderId="3" xfId="354" applyFont="1" applyBorder="1" applyAlignment="1">
      <alignment vertical="center" wrapText="1"/>
    </xf>
    <xf numFmtId="0" fontId="99" fillId="0" borderId="3" xfId="354" applyFont="1" applyFill="1" applyBorder="1" applyAlignment="1">
      <alignment horizontal="justify" vertical="center" wrapText="1"/>
    </xf>
    <xf numFmtId="4" fontId="92" fillId="0" borderId="3" xfId="354" applyNumberFormat="1" applyFont="1" applyBorder="1"/>
    <xf numFmtId="0" fontId="3" fillId="35" borderId="3" xfId="354" applyFill="1" applyBorder="1"/>
    <xf numFmtId="0" fontId="92" fillId="35" borderId="3" xfId="354" applyFont="1" applyFill="1" applyBorder="1"/>
    <xf numFmtId="0" fontId="3" fillId="35" borderId="0" xfId="354" applyFill="1"/>
    <xf numFmtId="0" fontId="3" fillId="0" borderId="23" xfId="354" applyBorder="1"/>
    <xf numFmtId="0" fontId="92" fillId="0" borderId="23" xfId="354" applyFont="1" applyBorder="1"/>
    <xf numFmtId="0" fontId="3" fillId="0" borderId="3" xfId="354" applyFill="1" applyBorder="1"/>
    <xf numFmtId="0" fontId="103" fillId="0" borderId="0" xfId="358" applyAlignment="1">
      <alignment horizontal="center" vertical="center" wrapText="1"/>
    </xf>
    <xf numFmtId="0" fontId="106" fillId="0" borderId="3" xfId="358" applyFont="1" applyBorder="1" applyAlignment="1">
      <alignment horizontal="center" vertical="center" wrapText="1"/>
    </xf>
    <xf numFmtId="0" fontId="106" fillId="37" borderId="3" xfId="358" applyFont="1" applyFill="1" applyBorder="1" applyAlignment="1">
      <alignment horizontal="center" vertical="center" wrapText="1"/>
    </xf>
    <xf numFmtId="0" fontId="107" fillId="0" borderId="3" xfId="358" applyFont="1" applyBorder="1" applyAlignment="1">
      <alignment horizontal="center" vertical="center" wrapText="1"/>
    </xf>
    <xf numFmtId="0" fontId="101" fillId="0" borderId="16" xfId="358" applyFont="1" applyBorder="1" applyAlignment="1">
      <alignment horizontal="center" vertical="center" wrapText="1"/>
    </xf>
    <xf numFmtId="49" fontId="101" fillId="0" borderId="3" xfId="358" applyNumberFormat="1" applyFont="1" applyBorder="1" applyAlignment="1">
      <alignment horizontal="center" vertical="center" wrapText="1"/>
    </xf>
    <xf numFmtId="0" fontId="101" fillId="0" borderId="3" xfId="358" applyFont="1" applyBorder="1" applyAlignment="1">
      <alignment horizontal="center" vertical="center" wrapText="1"/>
    </xf>
    <xf numFmtId="49" fontId="101" fillId="0" borderId="3" xfId="358" applyNumberFormat="1" applyFont="1" applyBorder="1" applyAlignment="1">
      <alignment vertical="center" wrapText="1"/>
    </xf>
    <xf numFmtId="0" fontId="104" fillId="0" borderId="3" xfId="358" applyFont="1" applyFill="1" applyBorder="1" applyAlignment="1">
      <alignment horizontal="center" vertical="center" wrapText="1"/>
    </xf>
    <xf numFmtId="0" fontId="101" fillId="0" borderId="16" xfId="358" applyFont="1" applyFill="1" applyBorder="1" applyAlignment="1">
      <alignment horizontal="center" vertical="center" wrapText="1"/>
    </xf>
    <xf numFmtId="4" fontId="101" fillId="0" borderId="3" xfId="358" applyNumberFormat="1" applyFont="1" applyFill="1" applyBorder="1" applyAlignment="1">
      <alignment horizontal="center" vertical="center" wrapText="1"/>
    </xf>
    <xf numFmtId="49" fontId="101" fillId="0" borderId="3" xfId="358" applyNumberFormat="1" applyFont="1" applyFill="1" applyBorder="1" applyAlignment="1">
      <alignment horizontal="center" vertical="center" wrapText="1"/>
    </xf>
    <xf numFmtId="0" fontId="101" fillId="0" borderId="3" xfId="358" applyFont="1" applyBorder="1" applyAlignment="1">
      <alignment vertical="center" wrapText="1"/>
    </xf>
    <xf numFmtId="0" fontId="101" fillId="0" borderId="3" xfId="358" applyFont="1" applyFill="1" applyBorder="1" applyAlignment="1">
      <alignment horizontal="center" vertical="center" wrapText="1"/>
    </xf>
    <xf numFmtId="0" fontId="101" fillId="0" borderId="14" xfId="358" applyFont="1" applyFill="1" applyBorder="1" applyAlignment="1">
      <alignment horizontal="center" vertical="center" wrapText="1"/>
    </xf>
    <xf numFmtId="0" fontId="103" fillId="0" borderId="3" xfId="358" applyFill="1" applyBorder="1" applyAlignment="1">
      <alignment horizontal="center" vertical="center" wrapText="1"/>
    </xf>
    <xf numFmtId="0" fontId="103" fillId="0" borderId="0" xfId="358" applyFill="1" applyAlignment="1">
      <alignment horizontal="center" vertical="center" wrapText="1"/>
    </xf>
    <xf numFmtId="0" fontId="106" fillId="0" borderId="3" xfId="358" applyFont="1" applyBorder="1" applyAlignment="1">
      <alignment vertical="center" wrapText="1"/>
    </xf>
    <xf numFmtId="0" fontId="106" fillId="0" borderId="3" xfId="358" applyFont="1" applyFill="1" applyBorder="1" applyAlignment="1">
      <alignment horizontal="center" vertical="center" wrapText="1"/>
    </xf>
    <xf numFmtId="4" fontId="104" fillId="0" borderId="3" xfId="358" applyNumberFormat="1" applyFont="1" applyFill="1" applyBorder="1" applyAlignment="1">
      <alignment horizontal="center" vertical="center" wrapText="1"/>
    </xf>
    <xf numFmtId="4" fontId="105" fillId="0" borderId="16" xfId="358" applyNumberFormat="1" applyFont="1" applyFill="1" applyBorder="1" applyAlignment="1">
      <alignment horizontal="center" vertical="center" wrapText="1"/>
    </xf>
    <xf numFmtId="4" fontId="105" fillId="0" borderId="3" xfId="358" applyNumberFormat="1" applyFont="1" applyFill="1" applyBorder="1" applyAlignment="1">
      <alignment horizontal="center" vertical="center" wrapText="1"/>
    </xf>
    <xf numFmtId="4" fontId="101" fillId="0" borderId="3" xfId="358" applyNumberFormat="1" applyFont="1" applyFill="1" applyBorder="1" applyAlignment="1">
      <alignment vertical="center" wrapText="1"/>
    </xf>
    <xf numFmtId="0" fontId="103" fillId="0" borderId="14" xfId="358" applyFill="1" applyBorder="1" applyAlignment="1">
      <alignment horizontal="center" vertical="center" wrapText="1"/>
    </xf>
    <xf numFmtId="4" fontId="103" fillId="0" borderId="3" xfId="358" applyNumberFormat="1" applyFill="1" applyBorder="1" applyAlignment="1">
      <alignment horizontal="center" vertical="center" wrapText="1"/>
    </xf>
    <xf numFmtId="0" fontId="108" fillId="0" borderId="3" xfId="358" applyFont="1" applyFill="1" applyBorder="1" applyAlignment="1">
      <alignment vertical="center" wrapText="1"/>
    </xf>
    <xf numFmtId="0" fontId="108" fillId="0" borderId="3" xfId="358" applyFont="1" applyFill="1" applyBorder="1" applyAlignment="1">
      <alignment horizontal="center" vertical="center" wrapText="1"/>
    </xf>
    <xf numFmtId="4" fontId="108" fillId="0" borderId="3" xfId="358" applyNumberFormat="1" applyFont="1" applyFill="1" applyBorder="1" applyAlignment="1">
      <alignment vertical="center" wrapText="1"/>
    </xf>
    <xf numFmtId="4" fontId="108" fillId="0" borderId="3" xfId="358" applyNumberFormat="1" applyFont="1" applyFill="1" applyBorder="1" applyAlignment="1">
      <alignment horizontal="center" vertical="center" wrapText="1"/>
    </xf>
    <xf numFmtId="4" fontId="109" fillId="0" borderId="0" xfId="358" applyNumberFormat="1" applyFont="1" applyFill="1" applyBorder="1" applyAlignment="1">
      <alignment vertical="center" wrapText="1"/>
    </xf>
    <xf numFmtId="4" fontId="109" fillId="0" borderId="0" xfId="358" applyNumberFormat="1" applyFont="1" applyFill="1" applyBorder="1" applyAlignment="1">
      <alignment horizontal="center" vertical="center" wrapText="1"/>
    </xf>
    <xf numFmtId="4" fontId="110" fillId="0" borderId="3" xfId="358" applyNumberFormat="1" applyFont="1" applyFill="1" applyBorder="1" applyAlignment="1">
      <alignment horizontal="center" vertical="center" wrapText="1"/>
    </xf>
    <xf numFmtId="0" fontId="110" fillId="0" borderId="3" xfId="358" applyFont="1" applyFill="1" applyBorder="1" applyAlignment="1">
      <alignment horizontal="center" vertical="center" wrapText="1"/>
    </xf>
    <xf numFmtId="0" fontId="8" fillId="0" borderId="3" xfId="358" applyFont="1" applyFill="1" applyBorder="1" applyAlignment="1">
      <alignment vertical="center" wrapText="1"/>
    </xf>
    <xf numFmtId="0" fontId="111" fillId="0" borderId="3" xfId="358" applyFont="1" applyFill="1" applyBorder="1" applyAlignment="1">
      <alignment horizontal="center" vertical="center" wrapText="1"/>
    </xf>
    <xf numFmtId="4" fontId="111" fillId="0" borderId="3" xfId="358" applyNumberFormat="1" applyFont="1" applyFill="1" applyBorder="1" applyAlignment="1">
      <alignment vertical="center" wrapText="1"/>
    </xf>
    <xf numFmtId="4" fontId="111" fillId="0" borderId="3" xfId="358" applyNumberFormat="1" applyFont="1" applyFill="1" applyBorder="1" applyAlignment="1">
      <alignment horizontal="center" vertical="center" wrapText="1"/>
    </xf>
    <xf numFmtId="182" fontId="8" fillId="0" borderId="3" xfId="358" applyNumberFormat="1" applyFont="1" applyFill="1" applyBorder="1" applyAlignment="1">
      <alignment horizontal="center" vertical="center" wrapText="1"/>
    </xf>
    <xf numFmtId="4" fontId="8" fillId="35" borderId="3" xfId="358" applyNumberFormat="1" applyFont="1" applyFill="1" applyBorder="1" applyAlignment="1">
      <alignment horizontal="center" vertical="center" wrapText="1"/>
    </xf>
    <xf numFmtId="4" fontId="8" fillId="0" borderId="3" xfId="358" applyNumberFormat="1" applyFont="1" applyFill="1" applyBorder="1" applyAlignment="1">
      <alignment horizontal="center" vertical="center" wrapText="1"/>
    </xf>
    <xf numFmtId="4" fontId="112" fillId="0" borderId="0" xfId="358" applyNumberFormat="1" applyFont="1" applyFill="1" applyBorder="1" applyAlignment="1">
      <alignment horizontal="center" vertical="center" wrapText="1"/>
    </xf>
    <xf numFmtId="0" fontId="7" fillId="0" borderId="3" xfId="358" applyFont="1" applyFill="1" applyBorder="1" applyAlignment="1">
      <alignment vertical="center" wrapText="1"/>
    </xf>
    <xf numFmtId="4" fontId="7" fillId="0" borderId="3" xfId="358" applyNumberFormat="1" applyFont="1" applyFill="1" applyBorder="1" applyAlignment="1">
      <alignment horizontal="center" vertical="center" wrapText="1"/>
    </xf>
    <xf numFmtId="4" fontId="112" fillId="0" borderId="0" xfId="358" applyNumberFormat="1" applyFont="1" applyFill="1" applyBorder="1" applyAlignment="1">
      <alignment vertical="center" wrapText="1"/>
    </xf>
    <xf numFmtId="4" fontId="113" fillId="0" borderId="0" xfId="358" applyNumberFormat="1" applyFont="1" applyFill="1" applyBorder="1" applyAlignment="1">
      <alignment horizontal="center" vertical="center" wrapText="1"/>
    </xf>
    <xf numFmtId="0" fontId="110" fillId="0" borderId="0" xfId="358" applyFont="1" applyFill="1" applyAlignment="1">
      <alignment horizontal="center" vertical="center" wrapText="1"/>
    </xf>
    <xf numFmtId="4" fontId="109" fillId="0" borderId="3" xfId="358" applyNumberFormat="1" applyFont="1" applyFill="1" applyBorder="1" applyAlignment="1">
      <alignment horizontal="center" vertical="center" wrapText="1"/>
    </xf>
    <xf numFmtId="0" fontId="114" fillId="0" borderId="3" xfId="358" applyFont="1" applyFill="1" applyBorder="1" applyAlignment="1">
      <alignment horizontal="center" vertical="center" wrapText="1"/>
    </xf>
    <xf numFmtId="4" fontId="114" fillId="0" borderId="3" xfId="358" applyNumberFormat="1" applyFont="1" applyFill="1" applyBorder="1" applyAlignment="1">
      <alignment horizontal="center" vertical="center" wrapText="1"/>
    </xf>
    <xf numFmtId="0" fontId="107" fillId="37" borderId="3" xfId="358" applyFont="1" applyFill="1" applyBorder="1" applyAlignment="1">
      <alignment horizontal="center" vertical="center" wrapText="1"/>
    </xf>
    <xf numFmtId="0" fontId="103" fillId="37" borderId="0" xfId="358" applyFill="1" applyAlignment="1">
      <alignment horizontal="center" vertical="center" wrapText="1"/>
    </xf>
    <xf numFmtId="4" fontId="103" fillId="0" borderId="0" xfId="358" applyNumberFormat="1" applyAlignment="1">
      <alignment horizontal="center" vertical="center" wrapText="1"/>
    </xf>
    <xf numFmtId="2" fontId="115" fillId="0" borderId="3" xfId="0" applyNumberFormat="1" applyFont="1" applyBorder="1" applyAlignment="1">
      <alignment horizontal="center" vertical="center" wrapText="1"/>
    </xf>
    <xf numFmtId="4" fontId="115" fillId="0" borderId="3" xfId="0" applyNumberFormat="1" applyFont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>
      <alignment vertical="center"/>
    </xf>
    <xf numFmtId="49" fontId="8" fillId="0" borderId="3" xfId="0" applyNumberFormat="1" applyFont="1" applyFill="1" applyBorder="1" applyAlignment="1" applyProtection="1">
      <alignment horizontal="left" vertical="center" wrapText="1"/>
      <protection locked="0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0" fontId="95" fillId="0" borderId="3" xfId="354" applyFont="1" applyFill="1" applyBorder="1"/>
    <xf numFmtId="0" fontId="3" fillId="0" borderId="0" xfId="354" applyFill="1"/>
    <xf numFmtId="0" fontId="97" fillId="0" borderId="3" xfId="354" applyFont="1" applyFill="1" applyBorder="1"/>
    <xf numFmtId="0" fontId="94" fillId="40" borderId="3" xfId="354" applyFont="1" applyFill="1" applyBorder="1"/>
    <xf numFmtId="0" fontId="95" fillId="40" borderId="3" xfId="354" applyFont="1" applyFill="1" applyBorder="1"/>
    <xf numFmtId="0" fontId="3" fillId="40" borderId="0" xfId="354" applyFill="1"/>
    <xf numFmtId="0" fontId="3" fillId="0" borderId="0" xfId="354" applyFont="1" applyFill="1"/>
    <xf numFmtId="0" fontId="98" fillId="0" borderId="3" xfId="354" applyFont="1" applyFill="1" applyBorder="1"/>
    <xf numFmtId="0" fontId="97" fillId="40" borderId="3" xfId="354" applyFont="1" applyFill="1" applyBorder="1"/>
    <xf numFmtId="0" fontId="8" fillId="0" borderId="0" xfId="0" applyFont="1" applyFill="1" applyBorder="1" applyAlignment="1">
      <alignment vertical="center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left" vertical="center" wrapText="1"/>
      <protection locked="0"/>
    </xf>
    <xf numFmtId="0" fontId="98" fillId="0" borderId="3" xfId="354" applyFont="1" applyBorder="1"/>
    <xf numFmtId="0" fontId="116" fillId="0" borderId="0" xfId="354" applyFont="1"/>
    <xf numFmtId="0" fontId="116" fillId="0" borderId="0" xfId="354" applyFont="1" applyFill="1"/>
    <xf numFmtId="0" fontId="94" fillId="0" borderId="3" xfId="354" applyFont="1" applyBorder="1" applyAlignment="1">
      <alignment horizontal="center" vertical="center" wrapText="1"/>
    </xf>
    <xf numFmtId="0" fontId="96" fillId="35" borderId="0" xfId="354" applyFont="1" applyFill="1"/>
    <xf numFmtId="0" fontId="2" fillId="0" borderId="3" xfId="354" applyFont="1" applyBorder="1"/>
    <xf numFmtId="180" fontId="7" fillId="0" borderId="0" xfId="0" applyNumberFormat="1" applyFont="1" applyFill="1" applyAlignment="1">
      <alignment vertical="center"/>
    </xf>
    <xf numFmtId="0" fontId="7" fillId="39" borderId="3" xfId="0" applyFont="1" applyFill="1" applyBorder="1" applyAlignment="1" applyProtection="1">
      <alignment horizontal="left" vertical="center" wrapText="1"/>
      <protection locked="0"/>
    </xf>
    <xf numFmtId="0" fontId="10" fillId="39" borderId="3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74" fillId="0" borderId="15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170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8" fillId="0" borderId="3" xfId="0" applyFont="1" applyFill="1" applyBorder="1" applyAlignment="1" applyProtection="1">
      <alignment horizontal="left" vertical="center" wrapText="1"/>
    </xf>
    <xf numFmtId="49" fontId="8" fillId="0" borderId="3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>
      <alignment vertical="center"/>
    </xf>
    <xf numFmtId="0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29" borderId="3" xfId="0" applyNumberFormat="1" applyFont="1" applyFill="1" applyBorder="1" applyAlignment="1">
      <alignment horizontal="center" vertical="center" wrapText="1"/>
    </xf>
    <xf numFmtId="0" fontId="8" fillId="0" borderId="3" xfId="245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49" fontId="8" fillId="0" borderId="3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 wrapText="1"/>
    </xf>
    <xf numFmtId="184" fontId="8" fillId="0" borderId="0" xfId="359" applyNumberFormat="1" applyFont="1" applyFill="1" applyBorder="1" applyAlignment="1">
      <alignment vertical="center"/>
    </xf>
    <xf numFmtId="0" fontId="1" fillId="0" borderId="0" xfId="354" applyFont="1"/>
    <xf numFmtId="0" fontId="7" fillId="37" borderId="0" xfId="0" applyFont="1" applyFill="1" applyBorder="1" applyAlignment="1">
      <alignment vertical="center"/>
    </xf>
    <xf numFmtId="0" fontId="8" fillId="37" borderId="0" xfId="0" applyFont="1" applyFill="1" applyAlignment="1">
      <alignment vertical="center"/>
    </xf>
    <xf numFmtId="1" fontId="8" fillId="0" borderId="0" xfId="0" applyNumberFormat="1" applyFont="1" applyFill="1" applyAlignment="1">
      <alignment vertical="center"/>
    </xf>
    <xf numFmtId="1" fontId="7" fillId="0" borderId="3" xfId="0" applyNumberFormat="1" applyFont="1" applyFill="1" applyBorder="1" applyAlignment="1" applyProtection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 wrapText="1"/>
    </xf>
    <xf numFmtId="4" fontId="0" fillId="0" borderId="3" xfId="0" applyNumberFormat="1" applyFill="1" applyBorder="1" applyProtection="1">
      <protection locked="0"/>
    </xf>
    <xf numFmtId="181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16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354" applyFont="1" applyBorder="1"/>
    <xf numFmtId="0" fontId="95" fillId="0" borderId="3" xfId="354" applyFont="1" applyBorder="1" applyAlignment="1">
      <alignment horizontal="center" vertical="center" wrapText="1"/>
    </xf>
    <xf numFmtId="4" fontId="118" fillId="0" borderId="0" xfId="358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left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0" fontId="13" fillId="0" borderId="20" xfId="0" applyFont="1" applyBorder="1" applyAlignment="1">
      <alignment horizontal="justify" vertical="top" wrapText="1"/>
    </xf>
    <xf numFmtId="0" fontId="13" fillId="0" borderId="19" xfId="0" applyFont="1" applyBorder="1" applyAlignment="1">
      <alignment horizontal="justify" vertical="top" wrapText="1"/>
    </xf>
    <xf numFmtId="170" fontId="8" fillId="0" borderId="0" xfId="245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15" fillId="0" borderId="3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39" borderId="40" xfId="0" applyFont="1" applyFill="1" applyBorder="1" applyAlignment="1">
      <alignment horizontal="center" vertical="center" wrapText="1"/>
    </xf>
    <xf numFmtId="0" fontId="15" fillId="39" borderId="41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19" fillId="0" borderId="37" xfId="0" applyFont="1" applyBorder="1" applyAlignment="1">
      <alignment horizontal="center" vertical="center" wrapText="1"/>
    </xf>
    <xf numFmtId="0" fontId="78" fillId="0" borderId="44" xfId="0" applyFont="1" applyBorder="1" applyAlignment="1">
      <alignment horizontal="center" vertical="center" wrapText="1"/>
    </xf>
    <xf numFmtId="0" fontId="119" fillId="0" borderId="38" xfId="0" applyFont="1" applyBorder="1" applyAlignment="1">
      <alignment horizontal="center" vertical="center" wrapText="1"/>
    </xf>
    <xf numFmtId="0" fontId="119" fillId="0" borderId="36" xfId="0" applyFont="1" applyBorder="1" applyAlignment="1">
      <alignment horizontal="center" vertical="center" wrapText="1"/>
    </xf>
    <xf numFmtId="0" fontId="119" fillId="0" borderId="12" xfId="0" applyFont="1" applyBorder="1" applyAlignment="1">
      <alignment horizontal="center" vertical="center" wrapText="1"/>
    </xf>
    <xf numFmtId="0" fontId="119" fillId="0" borderId="3" xfId="0" applyFont="1" applyBorder="1" applyAlignment="1">
      <alignment horizontal="center" vertical="center" wrapText="1"/>
    </xf>
    <xf numFmtId="169" fontId="7" fillId="0" borderId="0" xfId="0" applyNumberFormat="1" applyFont="1" applyFill="1" applyAlignment="1">
      <alignment vertical="center"/>
    </xf>
    <xf numFmtId="1" fontId="7" fillId="0" borderId="0" xfId="0" applyNumberFormat="1" applyFont="1" applyFill="1" applyAlignment="1">
      <alignment vertical="center"/>
    </xf>
    <xf numFmtId="1" fontId="7" fillId="0" borderId="3" xfId="0" applyNumberFormat="1" applyFont="1" applyFill="1" applyBorder="1" applyAlignment="1">
      <alignment horizontal="center" vertical="center"/>
    </xf>
    <xf numFmtId="16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9" fontId="8" fillId="0" borderId="3" xfId="359" applyFont="1" applyFill="1" applyBorder="1" applyAlignment="1" applyProtection="1">
      <alignment horizontal="center" vertical="center" wrapText="1"/>
      <protection locked="0"/>
    </xf>
    <xf numFmtId="10" fontId="8" fillId="0" borderId="3" xfId="359" applyNumberFormat="1" applyFont="1" applyFill="1" applyBorder="1" applyAlignment="1" applyProtection="1">
      <alignment horizontal="center" vertical="center" wrapText="1"/>
      <protection locked="0"/>
    </xf>
    <xf numFmtId="0" fontId="74" fillId="0" borderId="3" xfId="0" applyFont="1" applyFill="1" applyBorder="1" applyAlignment="1" applyProtection="1">
      <alignment horizontal="center" vertical="center" wrapText="1"/>
      <protection locked="0"/>
    </xf>
    <xf numFmtId="169" fontId="8" fillId="0" borderId="0" xfId="0" applyNumberFormat="1" applyFont="1" applyFill="1" applyBorder="1" applyAlignment="1">
      <alignment vertical="center"/>
    </xf>
    <xf numFmtId="169" fontId="8" fillId="0" borderId="3" xfId="0" applyNumberFormat="1" applyFont="1" applyFill="1" applyBorder="1" applyAlignment="1" applyProtection="1">
      <alignment horizontal="center" vertical="center" wrapText="1" shrinkToFit="1"/>
    </xf>
    <xf numFmtId="169" fontId="7" fillId="0" borderId="0" xfId="0" applyNumberFormat="1" applyFont="1" applyFill="1" applyBorder="1" applyAlignment="1">
      <alignment vertical="center"/>
    </xf>
    <xf numFmtId="169" fontId="7" fillId="0" borderId="3" xfId="0" applyNumberFormat="1" applyFont="1" applyFill="1" applyBorder="1" applyAlignment="1" applyProtection="1">
      <alignment horizontal="left" vertical="center" wrapText="1"/>
    </xf>
    <xf numFmtId="169" fontId="8" fillId="0" borderId="3" xfId="0" applyNumberFormat="1" applyFont="1" applyFill="1" applyBorder="1" applyAlignment="1" applyProtection="1">
      <alignment horizontal="left" vertical="center" wrapText="1"/>
      <protection locked="0"/>
    </xf>
    <xf numFmtId="169" fontId="8" fillId="0" borderId="3" xfId="0" applyNumberFormat="1" applyFont="1" applyFill="1" applyBorder="1" applyAlignment="1" applyProtection="1">
      <alignment horizontal="center" vertical="center"/>
      <protection locked="0"/>
    </xf>
    <xf numFmtId="169" fontId="7" fillId="0" borderId="3" xfId="0" applyNumberFormat="1" applyFont="1" applyFill="1" applyBorder="1" applyAlignment="1" applyProtection="1">
      <alignment horizontal="left" vertical="center" wrapText="1"/>
      <protection locked="0"/>
    </xf>
    <xf numFmtId="169" fontId="7" fillId="37" borderId="0" xfId="0" applyNumberFormat="1" applyFont="1" applyFill="1" applyBorder="1" applyAlignment="1">
      <alignment vertical="center"/>
    </xf>
    <xf numFmtId="169" fontId="8" fillId="0" borderId="0" xfId="0" applyNumberFormat="1" applyFont="1" applyFill="1" applyAlignment="1">
      <alignment vertical="center"/>
    </xf>
    <xf numFmtId="169" fontId="93" fillId="0" borderId="3" xfId="0" applyNumberFormat="1" applyFont="1" applyFill="1" applyBorder="1" applyAlignment="1">
      <alignment horizontal="center" vertical="center" wrapText="1"/>
    </xf>
    <xf numFmtId="169" fontId="89" fillId="0" borderId="3" xfId="0" applyNumberFormat="1" applyFont="1" applyFill="1" applyBorder="1" applyAlignment="1" applyProtection="1">
      <alignment horizontal="left" vertical="center" wrapText="1"/>
      <protection locked="0"/>
    </xf>
    <xf numFmtId="1" fontId="8" fillId="37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vertical="center"/>
    </xf>
    <xf numFmtId="49" fontId="8" fillId="0" borderId="3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>
      <alignment vertical="center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Alignment="1">
      <alignment horizontal="center" vertical="center"/>
    </xf>
    <xf numFmtId="49" fontId="8" fillId="0" borderId="3" xfId="0" applyNumberFormat="1" applyFont="1" applyFill="1" applyBorder="1" applyAlignment="1" applyProtection="1">
      <alignment horizontal="left" vertical="center" wrapText="1"/>
      <protection locked="0"/>
    </xf>
    <xf numFmtId="4" fontId="120" fillId="22" borderId="46" xfId="360" applyNumberFormat="1" applyFont="1" applyFill="1" applyBorder="1" applyAlignment="1">
      <alignment horizontal="right" vertical="top" wrapText="1"/>
    </xf>
    <xf numFmtId="0" fontId="121" fillId="0" borderId="0" xfId="0" applyFont="1"/>
    <xf numFmtId="4" fontId="8" fillId="0" borderId="0" xfId="0" applyNumberFormat="1" applyFont="1" applyFill="1" applyBorder="1" applyAlignment="1">
      <alignment vertical="center"/>
    </xf>
    <xf numFmtId="4" fontId="8" fillId="0" borderId="3" xfId="0" applyNumberFormat="1" applyFont="1" applyFill="1" applyBorder="1" applyAlignment="1">
      <alignment vertical="center"/>
    </xf>
    <xf numFmtId="1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0" xfId="0" applyNumberFormat="1" applyFont="1" applyFill="1" applyBorder="1" applyAlignment="1">
      <alignment vertical="center"/>
    </xf>
    <xf numFmtId="0" fontId="7" fillId="0" borderId="3" xfId="0" applyFont="1" applyFill="1" applyBorder="1" applyAlignment="1" applyProtection="1">
      <alignment horizontal="left" vertical="center" wrapText="1" shrinkToFit="1"/>
      <protection locked="0"/>
    </xf>
    <xf numFmtId="0" fontId="7" fillId="0" borderId="3" xfId="0" applyFont="1" applyFill="1" applyBorder="1" applyAlignment="1">
      <alignment vertical="center"/>
    </xf>
    <xf numFmtId="1" fontId="7" fillId="0" borderId="3" xfId="0" applyNumberFormat="1" applyFont="1" applyFill="1" applyBorder="1" applyAlignment="1">
      <alignment vertical="center"/>
    </xf>
    <xf numFmtId="169" fontId="7" fillId="36" borderId="0" xfId="0" applyNumberFormat="1" applyFont="1" applyFill="1" applyBorder="1" applyAlignment="1" applyProtection="1">
      <alignment horizontal="center" vertical="center" wrapText="1"/>
      <protection locked="0"/>
    </xf>
    <xf numFmtId="1" fontId="8" fillId="36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36" borderId="3" xfId="0" applyNumberFormat="1" applyFont="1" applyFill="1" applyBorder="1" applyAlignment="1" applyProtection="1">
      <alignment horizontal="center" vertical="center" wrapText="1"/>
    </xf>
    <xf numFmtId="1" fontId="7" fillId="38" borderId="0" xfId="0" applyNumberFormat="1" applyFont="1" applyFill="1" applyBorder="1" applyAlignment="1" applyProtection="1">
      <alignment horizontal="center" vertical="center" wrapText="1"/>
    </xf>
    <xf numFmtId="1" fontId="7" fillId="38" borderId="3" xfId="0" applyNumberFormat="1" applyFont="1" applyFill="1" applyBorder="1" applyAlignment="1" applyProtection="1">
      <alignment horizontal="center" vertical="center" wrapText="1"/>
    </xf>
    <xf numFmtId="1" fontId="8" fillId="38" borderId="3" xfId="0" applyNumberFormat="1" applyFont="1" applyFill="1" applyBorder="1" applyAlignment="1">
      <alignment horizontal="center" vertical="center" wrapText="1"/>
    </xf>
    <xf numFmtId="1" fontId="7" fillId="0" borderId="0" xfId="0" quotePrefix="1" applyNumberFormat="1" applyFont="1" applyFill="1" applyBorder="1" applyAlignment="1" applyProtection="1">
      <alignment horizontal="center"/>
      <protection locked="0"/>
    </xf>
    <xf numFmtId="1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1" fontId="8" fillId="38" borderId="0" xfId="0" applyNumberFormat="1" applyFont="1" applyFill="1" applyBorder="1" applyAlignment="1" applyProtection="1">
      <alignment horizontal="center" vertical="center" wrapText="1"/>
      <protection locked="0"/>
    </xf>
    <xf numFmtId="1" fontId="8" fillId="38" borderId="0" xfId="0" applyNumberFormat="1" applyFont="1" applyFill="1" applyBorder="1" applyAlignment="1" applyProtection="1">
      <alignment horizontal="right" vertical="center" wrapText="1"/>
      <protection locked="0"/>
    </xf>
    <xf numFmtId="1" fontId="8" fillId="38" borderId="0" xfId="0" applyNumberFormat="1" applyFont="1" applyFill="1" applyBorder="1" applyAlignment="1">
      <alignment horizontal="right" vertical="center" wrapText="1"/>
    </xf>
    <xf numFmtId="1" fontId="8" fillId="38" borderId="0" xfId="0" applyNumberFormat="1" applyFont="1" applyFill="1" applyBorder="1" applyAlignment="1">
      <alignment horizontal="center" vertical="center"/>
    </xf>
    <xf numFmtId="2" fontId="91" fillId="37" borderId="0" xfId="0" applyNumberFormat="1" applyFont="1" applyFill="1" applyBorder="1" applyAlignment="1">
      <alignment vertical="center"/>
    </xf>
    <xf numFmtId="2" fontId="122" fillId="0" borderId="0" xfId="0" applyNumberFormat="1" applyFont="1" applyFill="1" applyBorder="1" applyAlignment="1">
      <alignment vertical="center"/>
    </xf>
    <xf numFmtId="1" fontId="8" fillId="36" borderId="3" xfId="0" applyNumberFormat="1" applyFont="1" applyFill="1" applyBorder="1" applyAlignment="1">
      <alignment horizontal="center" vertical="center" wrapText="1"/>
    </xf>
    <xf numFmtId="0" fontId="123" fillId="0" borderId="3" xfId="354" applyFont="1" applyBorder="1"/>
    <xf numFmtId="0" fontId="123" fillId="0" borderId="18" xfId="354" applyFont="1" applyBorder="1"/>
    <xf numFmtId="0" fontId="123" fillId="0" borderId="0" xfId="354" applyFont="1" applyBorder="1"/>
    <xf numFmtId="9" fontId="125" fillId="0" borderId="0" xfId="355" applyFont="1"/>
    <xf numFmtId="0" fontId="124" fillId="0" borderId="0" xfId="354" applyFont="1"/>
    <xf numFmtId="4" fontId="124" fillId="0" borderId="0" xfId="354" applyNumberFormat="1" applyFont="1"/>
    <xf numFmtId="0" fontId="123" fillId="0" borderId="3" xfId="354" applyFont="1" applyBorder="1" applyAlignment="1">
      <alignment horizontal="center" vertical="center" wrapText="1"/>
    </xf>
    <xf numFmtId="0" fontId="123" fillId="0" borderId="3" xfId="354" applyFont="1" applyBorder="1" applyAlignment="1">
      <alignment horizontal="center" vertical="center"/>
    </xf>
    <xf numFmtId="0" fontId="123" fillId="0" borderId="33" xfId="354" applyFont="1" applyBorder="1" applyAlignment="1">
      <alignment horizontal="center" vertical="center" wrapText="1"/>
    </xf>
    <xf numFmtId="9" fontId="125" fillId="0" borderId="0" xfId="355" applyFont="1" applyAlignment="1">
      <alignment horizontal="center" vertical="center"/>
    </xf>
    <xf numFmtId="0" fontId="124" fillId="0" borderId="0" xfId="354" applyFont="1" applyAlignment="1">
      <alignment horizontal="center" vertical="center"/>
    </xf>
    <xf numFmtId="4" fontId="124" fillId="0" borderId="3" xfId="354" applyNumberFormat="1" applyFont="1" applyBorder="1" applyAlignment="1">
      <alignment horizontal="center" vertical="center"/>
    </xf>
    <xf numFmtId="0" fontId="123" fillId="0" borderId="33" xfId="354" applyFont="1" applyBorder="1"/>
    <xf numFmtId="0" fontId="126" fillId="0" borderId="3" xfId="354" applyFont="1" applyBorder="1"/>
    <xf numFmtId="4" fontId="126" fillId="0" borderId="3" xfId="354" applyNumberFormat="1" applyFont="1" applyBorder="1"/>
    <xf numFmtId="181" fontId="126" fillId="0" borderId="3" xfId="354" applyNumberFormat="1" applyFont="1" applyBorder="1"/>
    <xf numFmtId="0" fontId="127" fillId="0" borderId="3" xfId="354" applyFont="1" applyBorder="1"/>
    <xf numFmtId="9" fontId="128" fillId="0" borderId="0" xfId="355" applyFont="1"/>
    <xf numFmtId="0" fontId="127" fillId="0" borderId="0" xfId="354" applyFont="1"/>
    <xf numFmtId="4" fontId="127" fillId="0" borderId="0" xfId="354" applyNumberFormat="1" applyFont="1"/>
    <xf numFmtId="10" fontId="127" fillId="0" borderId="0" xfId="354" applyNumberFormat="1" applyFont="1"/>
    <xf numFmtId="9" fontId="127" fillId="0" borderId="0" xfId="354" applyNumberFormat="1" applyFont="1"/>
    <xf numFmtId="181" fontId="123" fillId="0" borderId="3" xfId="354" applyNumberFormat="1" applyFont="1" applyBorder="1"/>
    <xf numFmtId="0" fontId="124" fillId="0" borderId="3" xfId="354" applyFont="1" applyBorder="1"/>
    <xf numFmtId="0" fontId="123" fillId="0" borderId="3" xfId="354" applyFont="1" applyFill="1" applyBorder="1"/>
    <xf numFmtId="0" fontId="124" fillId="0" borderId="3" xfId="354" applyFont="1" applyFill="1" applyBorder="1"/>
    <xf numFmtId="9" fontId="125" fillId="0" borderId="0" xfId="355" applyFont="1" applyFill="1"/>
    <xf numFmtId="0" fontId="124" fillId="0" borderId="0" xfId="354" applyFont="1" applyFill="1"/>
    <xf numFmtId="4" fontId="124" fillId="0" borderId="0" xfId="354" applyNumberFormat="1" applyFont="1" applyFill="1"/>
    <xf numFmtId="0" fontId="126" fillId="0" borderId="3" xfId="354" applyFont="1" applyFill="1" applyBorder="1"/>
    <xf numFmtId="0" fontId="127" fillId="0" borderId="3" xfId="354" applyFont="1" applyFill="1" applyBorder="1"/>
    <xf numFmtId="9" fontId="128" fillId="0" borderId="0" xfId="355" applyFont="1" applyFill="1"/>
    <xf numFmtId="0" fontId="127" fillId="0" borderId="0" xfId="354" applyFont="1" applyFill="1"/>
    <xf numFmtId="4" fontId="127" fillId="0" borderId="0" xfId="354" applyNumberFormat="1" applyFont="1" applyFill="1"/>
    <xf numFmtId="0" fontId="123" fillId="40" borderId="3" xfId="354" applyFont="1" applyFill="1" applyBorder="1"/>
    <xf numFmtId="0" fontId="124" fillId="40" borderId="3" xfId="354" applyFont="1" applyFill="1" applyBorder="1"/>
    <xf numFmtId="9" fontId="125" fillId="40" borderId="0" xfId="355" applyFont="1" applyFill="1"/>
    <xf numFmtId="0" fontId="124" fillId="40" borderId="0" xfId="354" applyFont="1" applyFill="1"/>
    <xf numFmtId="4" fontId="124" fillId="40" borderId="0" xfId="354" applyNumberFormat="1" applyFont="1" applyFill="1"/>
    <xf numFmtId="0" fontId="129" fillId="0" borderId="3" xfId="354" applyFont="1" applyBorder="1" applyAlignment="1">
      <alignment horizontal="justify" vertical="center" wrapText="1"/>
    </xf>
    <xf numFmtId="4" fontId="124" fillId="0" borderId="3" xfId="354" applyNumberFormat="1" applyFont="1" applyBorder="1"/>
    <xf numFmtId="4" fontId="123" fillId="39" borderId="3" xfId="354" applyNumberFormat="1" applyFont="1" applyFill="1" applyBorder="1"/>
    <xf numFmtId="0" fontId="130" fillId="0" borderId="3" xfId="354" applyFont="1" applyBorder="1" applyAlignment="1">
      <alignment horizontal="left"/>
    </xf>
    <xf numFmtId="0" fontId="129" fillId="0" borderId="3" xfId="354" applyFont="1" applyBorder="1" applyAlignment="1">
      <alignment horizontal="left" vertical="center"/>
    </xf>
    <xf numFmtId="0" fontId="124" fillId="35" borderId="3" xfId="354" applyFont="1" applyFill="1" applyBorder="1"/>
    <xf numFmtId="4" fontId="124" fillId="35" borderId="0" xfId="354" applyNumberFormat="1" applyFont="1" applyFill="1"/>
    <xf numFmtId="0" fontId="124" fillId="35" borderId="0" xfId="354" applyFont="1" applyFill="1"/>
    <xf numFmtId="0" fontId="124" fillId="0" borderId="23" xfId="354" applyFont="1" applyBorder="1"/>
    <xf numFmtId="0" fontId="124" fillId="0" borderId="3" xfId="354" applyFont="1" applyBorder="1" applyAlignment="1">
      <alignment horizontal="center" vertical="center"/>
    </xf>
    <xf numFmtId="183" fontId="124" fillId="0" borderId="0" xfId="359" applyNumberFormat="1" applyFont="1"/>
    <xf numFmtId="4" fontId="124" fillId="35" borderId="3" xfId="354" applyNumberFormat="1" applyFont="1" applyFill="1" applyBorder="1"/>
    <xf numFmtId="9" fontId="124" fillId="35" borderId="0" xfId="359" applyFont="1" applyFill="1"/>
    <xf numFmtId="9" fontId="125" fillId="35" borderId="0" xfId="355" applyFont="1" applyFill="1"/>
    <xf numFmtId="9" fontId="124" fillId="0" borderId="0" xfId="359" applyFont="1"/>
    <xf numFmtId="10" fontId="124" fillId="0" borderId="3" xfId="359" applyNumberFormat="1" applyFont="1" applyBorder="1"/>
    <xf numFmtId="9" fontId="124" fillId="0" borderId="3" xfId="359" applyFont="1" applyBorder="1"/>
    <xf numFmtId="183" fontId="124" fillId="0" borderId="3" xfId="359" applyNumberFormat="1" applyFont="1" applyBorder="1"/>
    <xf numFmtId="0" fontId="124" fillId="0" borderId="0" xfId="354" applyFont="1" applyAlignment="1">
      <alignment horizontal="center"/>
    </xf>
    <xf numFmtId="0" fontId="127" fillId="0" borderId="0" xfId="354" applyFont="1" applyBorder="1"/>
    <xf numFmtId="0" fontId="124" fillId="0" borderId="0" xfId="354" applyFont="1" applyBorder="1"/>
    <xf numFmtId="4" fontId="124" fillId="0" borderId="0" xfId="354" applyNumberFormat="1" applyFont="1" applyBorder="1"/>
    <xf numFmtId="2" fontId="126" fillId="0" borderId="3" xfId="354" applyNumberFormat="1" applyFont="1" applyBorder="1"/>
    <xf numFmtId="0" fontId="124" fillId="41" borderId="0" xfId="354" applyFont="1" applyFill="1"/>
    <xf numFmtId="0" fontId="99" fillId="42" borderId="3" xfId="354" applyFont="1" applyFill="1" applyBorder="1" applyAlignment="1">
      <alignment horizontal="justify" vertical="center" wrapText="1"/>
    </xf>
    <xf numFmtId="0" fontId="94" fillId="42" borderId="3" xfId="354" applyFont="1" applyFill="1" applyBorder="1"/>
    <xf numFmtId="0" fontId="100" fillId="42" borderId="3" xfId="354" applyFont="1" applyFill="1" applyBorder="1" applyAlignment="1">
      <alignment horizontal="justify" vertical="center" wrapText="1"/>
    </xf>
    <xf numFmtId="0" fontId="92" fillId="42" borderId="3" xfId="354" applyFont="1" applyFill="1" applyBorder="1"/>
    <xf numFmtId="0" fontId="129" fillId="42" borderId="3" xfId="354" applyFont="1" applyFill="1" applyBorder="1" applyAlignment="1">
      <alignment horizontal="justify" vertical="center" wrapText="1"/>
    </xf>
    <xf numFmtId="0" fontId="124" fillId="42" borderId="3" xfId="354" applyFont="1" applyFill="1" applyBorder="1"/>
    <xf numFmtId="4" fontId="124" fillId="42" borderId="3" xfId="354" applyNumberFormat="1" applyFont="1" applyFill="1" applyBorder="1"/>
    <xf numFmtId="4" fontId="123" fillId="42" borderId="3" xfId="354" applyNumberFormat="1" applyFont="1" applyFill="1" applyBorder="1"/>
    <xf numFmtId="0" fontId="124" fillId="42" borderId="0" xfId="354" applyFont="1" applyFill="1" applyBorder="1"/>
    <xf numFmtId="9" fontId="125" fillId="42" borderId="0" xfId="355" applyFont="1" applyFill="1"/>
    <xf numFmtId="0" fontId="124" fillId="42" borderId="0" xfId="354" applyFont="1" applyFill="1"/>
    <xf numFmtId="4" fontId="124" fillId="42" borderId="0" xfId="354" applyNumberFormat="1" applyFont="1" applyFill="1"/>
    <xf numFmtId="0" fontId="127" fillId="42" borderId="0" xfId="354" applyFont="1" applyFill="1"/>
    <xf numFmtId="10" fontId="127" fillId="42" borderId="0" xfId="354" applyNumberFormat="1" applyFont="1" applyFill="1"/>
    <xf numFmtId="9" fontId="127" fillId="42" borderId="0" xfId="354" applyNumberFormat="1" applyFont="1" applyFill="1"/>
    <xf numFmtId="0" fontId="3" fillId="42" borderId="0" xfId="354" applyFill="1"/>
    <xf numFmtId="0" fontId="8" fillId="0" borderId="0" xfId="0" applyFont="1" applyFill="1" applyBorder="1" applyAlignment="1">
      <alignment vertical="center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vertical="center"/>
    </xf>
    <xf numFmtId="49" fontId="8" fillId="0" borderId="3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>
      <alignment vertical="center"/>
    </xf>
    <xf numFmtId="170" fontId="8" fillId="35" borderId="3" xfId="0" applyNumberFormat="1" applyFont="1" applyFill="1" applyBorder="1" applyAlignment="1" applyProtection="1">
      <alignment horizontal="right" vertical="center" wrapText="1"/>
      <protection locked="0"/>
    </xf>
    <xf numFmtId="1" fontId="7" fillId="39" borderId="3" xfId="0" applyNumberFormat="1" applyFont="1" applyFill="1" applyBorder="1" applyAlignment="1" applyProtection="1">
      <alignment horizontal="center" vertical="center" wrapText="1"/>
    </xf>
    <xf numFmtId="1" fontId="7" fillId="36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35" borderId="3" xfId="0" applyNumberFormat="1" applyFont="1" applyFill="1" applyBorder="1" applyAlignment="1" applyProtection="1">
      <alignment horizontal="center" vertical="center" wrapText="1"/>
    </xf>
    <xf numFmtId="169" fontId="7" fillId="39" borderId="3" xfId="0" applyNumberFormat="1" applyFont="1" applyFill="1" applyBorder="1" applyAlignment="1" applyProtection="1">
      <alignment horizontal="left" vertical="center" wrapText="1"/>
      <protection locked="0"/>
    </xf>
    <xf numFmtId="1" fontId="7" fillId="39" borderId="3" xfId="0" quotePrefix="1" applyNumberFormat="1" applyFont="1" applyFill="1" applyBorder="1" applyAlignment="1" applyProtection="1">
      <alignment horizontal="center" vertical="center"/>
      <protection locked="0"/>
    </xf>
    <xf numFmtId="0" fontId="89" fillId="37" borderId="3" xfId="0" applyFont="1" applyFill="1" applyBorder="1" applyAlignment="1">
      <alignment vertical="center"/>
    </xf>
    <xf numFmtId="170" fontId="108" fillId="0" borderId="0" xfId="0" applyNumberFormat="1" applyFont="1" applyFill="1" applyBorder="1" applyAlignment="1" applyProtection="1">
      <alignment horizontal="center"/>
      <protection locked="0"/>
    </xf>
    <xf numFmtId="3" fontId="124" fillId="0" borderId="0" xfId="354" applyNumberFormat="1" applyFont="1"/>
    <xf numFmtId="0" fontId="131" fillId="0" borderId="0" xfId="354" applyFont="1"/>
    <xf numFmtId="4" fontId="124" fillId="0" borderId="23" xfId="354" applyNumberFormat="1" applyFont="1" applyBorder="1"/>
    <xf numFmtId="0" fontId="124" fillId="41" borderId="3" xfId="354" applyFont="1" applyFill="1" applyBorder="1"/>
    <xf numFmtId="0" fontId="8" fillId="0" borderId="0" xfId="0" applyFont="1" applyFill="1" applyBorder="1" applyAlignment="1" applyProtection="1">
      <alignment horizontal="left" vertical="center" wrapText="1"/>
      <protection locked="0"/>
    </xf>
    <xf numFmtId="3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131" fillId="41" borderId="0" xfId="354" applyNumberFormat="1" applyFont="1" applyFill="1"/>
    <xf numFmtId="3" fontId="131" fillId="41" borderId="0" xfId="354" applyNumberFormat="1" applyFont="1" applyFill="1"/>
    <xf numFmtId="0" fontId="131" fillId="41" borderId="0" xfId="354" applyFont="1" applyFill="1"/>
    <xf numFmtId="3" fontId="131" fillId="42" borderId="0" xfId="354" applyNumberFormat="1" applyFont="1" applyFill="1"/>
    <xf numFmtId="4" fontId="130" fillId="0" borderId="3" xfId="354" applyNumberFormat="1" applyFont="1" applyBorder="1" applyAlignment="1">
      <alignment horizontal="center" vertical="center" wrapText="1"/>
    </xf>
    <xf numFmtId="0" fontId="130" fillId="0" borderId="3" xfId="354" applyFont="1" applyBorder="1" applyAlignment="1">
      <alignment horizontal="center" vertical="center" wrapText="1"/>
    </xf>
    <xf numFmtId="0" fontId="129" fillId="41" borderId="3" xfId="354" applyFont="1" applyFill="1" applyBorder="1"/>
    <xf numFmtId="1" fontId="129" fillId="41" borderId="3" xfId="354" applyNumberFormat="1" applyFont="1" applyFill="1" applyBorder="1"/>
    <xf numFmtId="0" fontId="126" fillId="0" borderId="33" xfId="354" applyFont="1" applyBorder="1" applyAlignment="1">
      <alignment horizontal="center" vertical="center" wrapText="1"/>
    </xf>
    <xf numFmtId="0" fontId="126" fillId="0" borderId="3" xfId="354" applyFont="1" applyFill="1" applyBorder="1" applyAlignment="1">
      <alignment horizontal="center" vertical="center" wrapText="1"/>
    </xf>
    <xf numFmtId="0" fontId="132" fillId="0" borderId="3" xfId="354" applyFont="1" applyBorder="1" applyAlignment="1">
      <alignment horizontal="center" vertical="center" wrapText="1"/>
    </xf>
    <xf numFmtId="4" fontId="124" fillId="41" borderId="3" xfId="354" applyNumberFormat="1" applyFont="1" applyFill="1" applyBorder="1"/>
    <xf numFmtId="0" fontId="133" fillId="41" borderId="3" xfId="354" applyFont="1" applyFill="1" applyBorder="1" applyAlignment="1">
      <alignment vertical="center"/>
    </xf>
    <xf numFmtId="0" fontId="124" fillId="41" borderId="3" xfId="354" applyFont="1" applyFill="1" applyBorder="1" applyAlignment="1">
      <alignment horizontal="center" vertical="center"/>
    </xf>
    <xf numFmtId="1" fontId="129" fillId="41" borderId="3" xfId="354" applyNumberFormat="1" applyFont="1" applyFill="1" applyBorder="1" applyAlignment="1">
      <alignment horizontal="center"/>
    </xf>
    <xf numFmtId="0" fontId="129" fillId="41" borderId="3" xfId="354" applyFont="1" applyFill="1" applyBorder="1" applyAlignment="1">
      <alignment horizontal="center"/>
    </xf>
    <xf numFmtId="1" fontId="8" fillId="0" borderId="0" xfId="0" applyNumberFormat="1" applyFont="1" applyFill="1" applyAlignment="1">
      <alignment horizontal="center" vertical="center"/>
    </xf>
    <xf numFmtId="3" fontId="8" fillId="34" borderId="3" xfId="0" applyNumberFormat="1" applyFont="1" applyFill="1" applyBorder="1" applyAlignment="1" applyProtection="1">
      <alignment horizontal="center" vertical="center" wrapText="1"/>
      <protection locked="0"/>
    </xf>
    <xf numFmtId="3" fontId="8" fillId="35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3" xfId="0" applyNumberFormat="1" applyFont="1" applyFill="1" applyBorder="1" applyAlignment="1" applyProtection="1">
      <alignment horizontal="center" vertical="center"/>
    </xf>
    <xf numFmtId="0" fontId="7" fillId="36" borderId="0" xfId="0" applyFont="1" applyFill="1" applyBorder="1" applyAlignment="1" applyProtection="1">
      <alignment horizontal="center" vertical="center" wrapText="1"/>
    </xf>
    <xf numFmtId="0" fontId="8" fillId="36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0" fontId="8" fillId="35" borderId="3" xfId="0" applyFont="1" applyFill="1" applyBorder="1" applyAlignment="1" applyProtection="1">
      <alignment horizontal="left" vertical="center" wrapText="1"/>
      <protection locked="0"/>
    </xf>
    <xf numFmtId="1" fontId="8" fillId="35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35" borderId="0" xfId="0" applyFont="1" applyFill="1" applyAlignment="1">
      <alignment vertical="center"/>
    </xf>
    <xf numFmtId="0" fontId="8" fillId="35" borderId="3" xfId="0" quotePrefix="1" applyFont="1" applyFill="1" applyBorder="1" applyAlignment="1" applyProtection="1">
      <alignment horizontal="center" vertical="center"/>
      <protection locked="0"/>
    </xf>
    <xf numFmtId="49" fontId="8" fillId="35" borderId="3" xfId="0" applyNumberFormat="1" applyFont="1" applyFill="1" applyBorder="1" applyAlignment="1" applyProtection="1">
      <alignment horizontal="left" vertical="center" wrapText="1"/>
      <protection locked="0"/>
    </xf>
    <xf numFmtId="0" fontId="8" fillId="35" borderId="0" xfId="0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/>
    </xf>
    <xf numFmtId="0" fontId="13" fillId="35" borderId="3" xfId="354" applyFont="1" applyFill="1" applyBorder="1" applyAlignment="1">
      <alignment horizontal="center" vertical="center" wrapText="1"/>
    </xf>
    <xf numFmtId="0" fontId="99" fillId="0" borderId="3" xfId="354" applyFont="1" applyBorder="1" applyAlignment="1">
      <alignment horizontal="center" vertical="center" wrapText="1"/>
    </xf>
    <xf numFmtId="0" fontId="100" fillId="0" borderId="3" xfId="354" applyFont="1" applyBorder="1" applyAlignment="1">
      <alignment horizontal="center" vertical="center" wrapText="1"/>
    </xf>
    <xf numFmtId="0" fontId="118" fillId="0" borderId="3" xfId="354" applyFont="1" applyBorder="1" applyAlignment="1">
      <alignment horizontal="center" vertical="center" wrapText="1"/>
    </xf>
    <xf numFmtId="0" fontId="13" fillId="0" borderId="3" xfId="354" applyFont="1" applyBorder="1" applyAlignment="1">
      <alignment horizontal="center" vertical="center" wrapText="1"/>
    </xf>
    <xf numFmtId="0" fontId="99" fillId="0" borderId="3" xfId="354" applyFont="1" applyFill="1" applyBorder="1" applyAlignment="1">
      <alignment horizontal="center" vertical="center" wrapText="1"/>
    </xf>
    <xf numFmtId="0" fontId="134" fillId="0" borderId="3" xfId="354" applyFont="1" applyBorder="1" applyAlignment="1">
      <alignment horizontal="center" vertical="center" wrapText="1"/>
    </xf>
    <xf numFmtId="0" fontId="135" fillId="0" borderId="18" xfId="354" applyFont="1" applyBorder="1" applyAlignment="1">
      <alignment horizontal="center" vertical="center" wrapText="1"/>
    </xf>
    <xf numFmtId="0" fontId="99" fillId="0" borderId="0" xfId="354" applyFont="1" applyBorder="1" applyAlignment="1">
      <alignment horizontal="center" vertical="center" wrapText="1"/>
    </xf>
    <xf numFmtId="4" fontId="118" fillId="39" borderId="0" xfId="354" applyNumberFormat="1" applyFont="1" applyFill="1" applyAlignment="1">
      <alignment horizontal="center" vertical="center" wrapText="1"/>
    </xf>
    <xf numFmtId="4" fontId="118" fillId="0" borderId="0" xfId="354" applyNumberFormat="1" applyFont="1" applyAlignment="1">
      <alignment horizontal="center" vertical="center" wrapText="1"/>
    </xf>
    <xf numFmtId="9" fontId="136" fillId="0" borderId="0" xfId="355" applyFont="1" applyAlignment="1">
      <alignment horizontal="center" vertical="center" wrapText="1"/>
    </xf>
    <xf numFmtId="0" fontId="112" fillId="0" borderId="0" xfId="354" applyFont="1" applyAlignment="1">
      <alignment horizontal="center" vertical="center" wrapText="1"/>
    </xf>
    <xf numFmtId="0" fontId="101" fillId="0" borderId="0" xfId="354" applyFont="1" applyAlignment="1">
      <alignment horizontal="center" vertical="center" wrapText="1"/>
    </xf>
    <xf numFmtId="0" fontId="135" fillId="0" borderId="3" xfId="354" applyFont="1" applyBorder="1" applyAlignment="1">
      <alignment horizontal="center" vertical="center" wrapText="1"/>
    </xf>
    <xf numFmtId="0" fontId="99" fillId="0" borderId="33" xfId="354" applyFont="1" applyBorder="1" applyAlignment="1">
      <alignment horizontal="center" vertical="center" wrapText="1"/>
    </xf>
    <xf numFmtId="4" fontId="13" fillId="39" borderId="3" xfId="354" applyNumberFormat="1" applyFont="1" applyFill="1" applyBorder="1" applyAlignment="1">
      <alignment horizontal="center" vertical="center" wrapText="1"/>
    </xf>
    <xf numFmtId="4" fontId="13" fillId="0" borderId="3" xfId="354" applyNumberFormat="1" applyFont="1" applyBorder="1" applyAlignment="1">
      <alignment horizontal="center" vertical="center" wrapText="1"/>
    </xf>
    <xf numFmtId="4" fontId="13" fillId="39" borderId="14" xfId="354" applyNumberFormat="1" applyFont="1" applyFill="1" applyBorder="1" applyAlignment="1">
      <alignment horizontal="center" vertical="center" wrapText="1"/>
    </xf>
    <xf numFmtId="0" fontId="13" fillId="0" borderId="14" xfId="354" applyFont="1" applyFill="1" applyBorder="1" applyAlignment="1">
      <alignment horizontal="center" vertical="center" wrapText="1"/>
    </xf>
    <xf numFmtId="4" fontId="112" fillId="0" borderId="3" xfId="354" applyNumberFormat="1" applyFont="1" applyBorder="1" applyAlignment="1">
      <alignment horizontal="center" vertical="center" wrapText="1"/>
    </xf>
    <xf numFmtId="4" fontId="137" fillId="39" borderId="3" xfId="354" applyNumberFormat="1" applyFont="1" applyFill="1" applyBorder="1" applyAlignment="1">
      <alignment horizontal="center" vertical="center" wrapText="1"/>
    </xf>
    <xf numFmtId="4" fontId="118" fillId="43" borderId="39" xfId="354" applyNumberFormat="1" applyFont="1" applyFill="1" applyBorder="1" applyAlignment="1">
      <alignment horizontal="center" vertical="center" wrapText="1"/>
    </xf>
    <xf numFmtId="4" fontId="118" fillId="43" borderId="40" xfId="354" applyNumberFormat="1" applyFont="1" applyFill="1" applyBorder="1" applyAlignment="1">
      <alignment horizontal="center" vertical="center" wrapText="1"/>
    </xf>
    <xf numFmtId="4" fontId="118" fillId="43" borderId="41" xfId="354" applyNumberFormat="1" applyFont="1" applyFill="1" applyBorder="1" applyAlignment="1">
      <alignment horizontal="center" vertical="center" wrapText="1"/>
    </xf>
    <xf numFmtId="0" fontId="99" fillId="0" borderId="18" xfId="354" applyFont="1" applyBorder="1" applyAlignment="1">
      <alignment horizontal="center" vertical="center" wrapText="1"/>
    </xf>
    <xf numFmtId="0" fontId="100" fillId="0" borderId="18" xfId="354" applyFont="1" applyBorder="1" applyAlignment="1">
      <alignment horizontal="center" vertical="center" wrapText="1"/>
    </xf>
    <xf numFmtId="0" fontId="13" fillId="0" borderId="18" xfId="354" applyFont="1" applyBorder="1" applyAlignment="1">
      <alignment horizontal="center" vertical="center" wrapText="1"/>
    </xf>
    <xf numFmtId="0" fontId="134" fillId="0" borderId="18" xfId="354" applyFont="1" applyBorder="1" applyAlignment="1">
      <alignment horizontal="center" vertical="center" wrapText="1"/>
    </xf>
    <xf numFmtId="0" fontId="135" fillId="0" borderId="33" xfId="354" applyFont="1" applyBorder="1" applyAlignment="1">
      <alignment horizontal="center" vertical="center" wrapText="1"/>
    </xf>
    <xf numFmtId="4" fontId="112" fillId="0" borderId="0" xfId="354" applyNumberFormat="1" applyFont="1" applyAlignment="1">
      <alignment horizontal="center" vertical="center" wrapText="1"/>
    </xf>
    <xf numFmtId="4" fontId="118" fillId="39" borderId="3" xfId="354" applyNumberFormat="1" applyFont="1" applyFill="1" applyBorder="1" applyAlignment="1">
      <alignment horizontal="center" vertical="center" wrapText="1"/>
    </xf>
    <xf numFmtId="4" fontId="118" fillId="0" borderId="3" xfId="354" applyNumberFormat="1" applyFont="1" applyBorder="1" applyAlignment="1">
      <alignment horizontal="center" vertical="center" wrapText="1"/>
    </xf>
    <xf numFmtId="0" fontId="118" fillId="43" borderId="16" xfId="354" applyFont="1" applyFill="1" applyBorder="1" applyAlignment="1">
      <alignment horizontal="center" vertical="center" wrapText="1"/>
    </xf>
    <xf numFmtId="0" fontId="118" fillId="43" borderId="3" xfId="354" applyFont="1" applyFill="1" applyBorder="1" applyAlignment="1">
      <alignment horizontal="center" vertical="center" wrapText="1"/>
    </xf>
    <xf numFmtId="0" fontId="118" fillId="43" borderId="12" xfId="354" applyFont="1" applyFill="1" applyBorder="1" applyAlignment="1">
      <alignment horizontal="center" vertical="center" wrapText="1"/>
    </xf>
    <xf numFmtId="0" fontId="138" fillId="0" borderId="3" xfId="354" applyFont="1" applyBorder="1" applyAlignment="1">
      <alignment horizontal="center" vertical="center" wrapText="1"/>
    </xf>
    <xf numFmtId="0" fontId="83" fillId="0" borderId="3" xfId="354" applyFont="1" applyBorder="1" applyAlignment="1">
      <alignment horizontal="center" vertical="center" wrapText="1"/>
    </xf>
    <xf numFmtId="4" fontId="83" fillId="0" borderId="3" xfId="354" applyNumberFormat="1" applyFont="1" applyBorder="1" applyAlignment="1">
      <alignment horizontal="center" vertical="center" wrapText="1"/>
    </xf>
    <xf numFmtId="4" fontId="138" fillId="0" borderId="3" xfId="354" applyNumberFormat="1" applyFont="1" applyBorder="1" applyAlignment="1">
      <alignment horizontal="center" vertical="center" wrapText="1"/>
    </xf>
    <xf numFmtId="181" fontId="138" fillId="0" borderId="3" xfId="354" applyNumberFormat="1" applyFont="1" applyBorder="1" applyAlignment="1">
      <alignment horizontal="center" vertical="center" wrapText="1"/>
    </xf>
    <xf numFmtId="4" fontId="139" fillId="0" borderId="3" xfId="354" applyNumberFormat="1" applyFont="1" applyBorder="1" applyAlignment="1">
      <alignment horizontal="center" vertical="center" wrapText="1"/>
    </xf>
    <xf numFmtId="4" fontId="83" fillId="39" borderId="14" xfId="354" applyNumberFormat="1" applyFont="1" applyFill="1" applyBorder="1" applyAlignment="1">
      <alignment horizontal="center" vertical="center" wrapText="1"/>
    </xf>
    <xf numFmtId="9" fontId="140" fillId="0" borderId="0" xfId="355" applyFont="1" applyAlignment="1">
      <alignment horizontal="center" vertical="center" wrapText="1"/>
    </xf>
    <xf numFmtId="0" fontId="139" fillId="0" borderId="0" xfId="354" applyFont="1" applyAlignment="1">
      <alignment horizontal="center" vertical="center" wrapText="1"/>
    </xf>
    <xf numFmtId="0" fontId="137" fillId="43" borderId="16" xfId="354" applyFont="1" applyFill="1" applyBorder="1" applyAlignment="1">
      <alignment horizontal="center" vertical="center" wrapText="1"/>
    </xf>
    <xf numFmtId="0" fontId="137" fillId="43" borderId="3" xfId="354" applyFont="1" applyFill="1" applyBorder="1" applyAlignment="1">
      <alignment horizontal="center" vertical="center" wrapText="1"/>
    </xf>
    <xf numFmtId="0" fontId="137" fillId="43" borderId="12" xfId="354" applyFont="1" applyFill="1" applyBorder="1" applyAlignment="1">
      <alignment horizontal="center" vertical="center" wrapText="1"/>
    </xf>
    <xf numFmtId="2" fontId="139" fillId="0" borderId="0" xfId="354" applyNumberFormat="1" applyFont="1" applyAlignment="1">
      <alignment horizontal="center" vertical="center" wrapText="1"/>
    </xf>
    <xf numFmtId="10" fontId="139" fillId="0" borderId="0" xfId="354" applyNumberFormat="1" applyFont="1" applyAlignment="1">
      <alignment horizontal="center" vertical="center" wrapText="1"/>
    </xf>
    <xf numFmtId="9" fontId="139" fillId="0" borderId="0" xfId="354" applyNumberFormat="1" applyFont="1" applyAlignment="1">
      <alignment horizontal="center" vertical="center" wrapText="1"/>
    </xf>
    <xf numFmtId="181" fontId="99" fillId="0" borderId="3" xfId="354" applyNumberFormat="1" applyFont="1" applyBorder="1" applyAlignment="1">
      <alignment horizontal="center" vertical="center" wrapText="1"/>
    </xf>
    <xf numFmtId="0" fontId="100" fillId="0" borderId="3" xfId="354" applyFont="1" applyFill="1" applyBorder="1" applyAlignment="1">
      <alignment horizontal="center" vertical="center" wrapText="1"/>
    </xf>
    <xf numFmtId="0" fontId="13" fillId="0" borderId="3" xfId="354" applyFont="1" applyFill="1" applyBorder="1" applyAlignment="1">
      <alignment horizontal="center" vertical="center" wrapText="1"/>
    </xf>
    <xf numFmtId="9" fontId="136" fillId="0" borderId="0" xfId="355" applyFont="1" applyFill="1" applyAlignment="1">
      <alignment horizontal="center" vertical="center" wrapText="1"/>
    </xf>
    <xf numFmtId="0" fontId="112" fillId="0" borderId="0" xfId="354" applyFont="1" applyFill="1" applyAlignment="1">
      <alignment horizontal="center" vertical="center" wrapText="1"/>
    </xf>
    <xf numFmtId="0" fontId="101" fillId="0" borderId="0" xfId="354" applyFont="1" applyFill="1" applyAlignment="1">
      <alignment horizontal="center" vertical="center" wrapText="1"/>
    </xf>
    <xf numFmtId="0" fontId="138" fillId="0" borderId="3" xfId="354" applyFont="1" applyFill="1" applyBorder="1" applyAlignment="1">
      <alignment horizontal="center" vertical="center" wrapText="1"/>
    </xf>
    <xf numFmtId="0" fontId="83" fillId="0" borderId="3" xfId="354" applyFont="1" applyFill="1" applyBorder="1" applyAlignment="1">
      <alignment horizontal="center" vertical="center" wrapText="1"/>
    </xf>
    <xf numFmtId="9" fontId="140" fillId="0" borderId="0" xfId="355" applyFont="1" applyFill="1" applyAlignment="1">
      <alignment horizontal="center" vertical="center" wrapText="1"/>
    </xf>
    <xf numFmtId="0" fontId="139" fillId="0" borderId="0" xfId="354" applyFont="1" applyFill="1" applyAlignment="1">
      <alignment horizontal="center" vertical="center" wrapText="1"/>
    </xf>
    <xf numFmtId="0" fontId="102" fillId="0" borderId="3" xfId="354" applyFont="1" applyFill="1" applyBorder="1" applyAlignment="1">
      <alignment horizontal="center" vertical="center" wrapText="1"/>
    </xf>
    <xf numFmtId="0" fontId="141" fillId="0" borderId="3" xfId="354" applyFont="1" applyFill="1" applyBorder="1" applyAlignment="1">
      <alignment horizontal="center" vertical="center" wrapText="1"/>
    </xf>
    <xf numFmtId="0" fontId="99" fillId="40" borderId="3" xfId="354" applyFont="1" applyFill="1" applyBorder="1" applyAlignment="1">
      <alignment horizontal="center" vertical="center" wrapText="1"/>
    </xf>
    <xf numFmtId="0" fontId="102" fillId="40" borderId="3" xfId="354" applyFont="1" applyFill="1" applyBorder="1" applyAlignment="1">
      <alignment horizontal="center" vertical="center" wrapText="1"/>
    </xf>
    <xf numFmtId="0" fontId="100" fillId="40" borderId="3" xfId="354" applyFont="1" applyFill="1" applyBorder="1" applyAlignment="1">
      <alignment horizontal="center" vertical="center" wrapText="1"/>
    </xf>
    <xf numFmtId="0" fontId="13" fillId="40" borderId="3" xfId="354" applyFont="1" applyFill="1" applyBorder="1" applyAlignment="1">
      <alignment horizontal="center" vertical="center" wrapText="1"/>
    </xf>
    <xf numFmtId="0" fontId="134" fillId="40" borderId="3" xfId="354" applyFont="1" applyFill="1" applyBorder="1" applyAlignment="1">
      <alignment horizontal="center" vertical="center" wrapText="1"/>
    </xf>
    <xf numFmtId="9" fontId="136" fillId="40" borderId="0" xfId="355" applyFont="1" applyFill="1" applyAlignment="1">
      <alignment horizontal="center" vertical="center" wrapText="1"/>
    </xf>
    <xf numFmtId="0" fontId="112" fillId="40" borderId="0" xfId="354" applyFont="1" applyFill="1" applyAlignment="1">
      <alignment horizontal="center" vertical="center" wrapText="1"/>
    </xf>
    <xf numFmtId="0" fontId="101" fillId="40" borderId="0" xfId="354" applyFont="1" applyFill="1" applyAlignment="1">
      <alignment horizontal="center" vertical="center" wrapText="1"/>
    </xf>
    <xf numFmtId="0" fontId="118" fillId="35" borderId="3" xfId="354" applyFont="1" applyFill="1" applyBorder="1" applyAlignment="1">
      <alignment horizontal="center" vertical="center" wrapText="1"/>
    </xf>
    <xf numFmtId="4" fontId="118" fillId="35" borderId="3" xfId="354" applyNumberFormat="1" applyFont="1" applyFill="1" applyBorder="1" applyAlignment="1">
      <alignment horizontal="center" vertical="center" wrapText="1"/>
    </xf>
    <xf numFmtId="4" fontId="83" fillId="35" borderId="3" xfId="354" applyNumberFormat="1" applyFont="1" applyFill="1" applyBorder="1" applyAlignment="1">
      <alignment horizontal="center" vertical="center" wrapText="1"/>
    </xf>
    <xf numFmtId="0" fontId="83" fillId="35" borderId="3" xfId="354" applyFont="1" applyFill="1" applyBorder="1" applyAlignment="1">
      <alignment horizontal="center" vertical="center" wrapText="1"/>
    </xf>
    <xf numFmtId="4" fontId="137" fillId="35" borderId="3" xfId="354" applyNumberFormat="1" applyFont="1" applyFill="1" applyBorder="1" applyAlignment="1">
      <alignment horizontal="center" vertical="center" wrapText="1"/>
    </xf>
    <xf numFmtId="4" fontId="83" fillId="35" borderId="14" xfId="354" applyNumberFormat="1" applyFont="1" applyFill="1" applyBorder="1" applyAlignment="1">
      <alignment horizontal="center" vertical="center" wrapText="1"/>
    </xf>
    <xf numFmtId="9" fontId="15" fillId="35" borderId="0" xfId="355" applyFont="1" applyFill="1" applyAlignment="1">
      <alignment horizontal="center" vertical="center" wrapText="1"/>
    </xf>
    <xf numFmtId="0" fontId="118" fillId="35" borderId="0" xfId="354" applyFont="1" applyFill="1" applyAlignment="1">
      <alignment horizontal="center" vertical="center" wrapText="1"/>
    </xf>
    <xf numFmtId="0" fontId="137" fillId="35" borderId="16" xfId="354" applyFont="1" applyFill="1" applyBorder="1" applyAlignment="1">
      <alignment horizontal="center" vertical="center" wrapText="1"/>
    </xf>
    <xf numFmtId="0" fontId="137" fillId="35" borderId="3" xfId="354" applyFont="1" applyFill="1" applyBorder="1" applyAlignment="1">
      <alignment horizontal="center" vertical="center" wrapText="1"/>
    </xf>
    <xf numFmtId="0" fontId="137" fillId="35" borderId="12" xfId="354" applyFont="1" applyFill="1" applyBorder="1" applyAlignment="1">
      <alignment horizontal="center" vertical="center" wrapText="1"/>
    </xf>
    <xf numFmtId="0" fontId="137" fillId="35" borderId="0" xfId="354" applyFont="1" applyFill="1" applyAlignment="1">
      <alignment horizontal="center" vertical="center" wrapText="1"/>
    </xf>
    <xf numFmtId="10" fontId="137" fillId="35" borderId="0" xfId="354" applyNumberFormat="1" applyFont="1" applyFill="1" applyAlignment="1">
      <alignment horizontal="center" vertical="center" wrapText="1"/>
    </xf>
    <xf numFmtId="9" fontId="137" fillId="35" borderId="0" xfId="354" applyNumberFormat="1" applyFont="1" applyFill="1" applyAlignment="1">
      <alignment horizontal="center" vertical="center" wrapText="1"/>
    </xf>
    <xf numFmtId="0" fontId="112" fillId="0" borderId="3" xfId="354" applyFont="1" applyBorder="1" applyAlignment="1">
      <alignment horizontal="center" vertical="center" wrapText="1"/>
    </xf>
    <xf numFmtId="0" fontId="101" fillId="0" borderId="3" xfId="354" applyFont="1" applyBorder="1" applyAlignment="1">
      <alignment horizontal="center" vertical="center" wrapText="1"/>
    </xf>
    <xf numFmtId="4" fontId="109" fillId="0" borderId="3" xfId="354" applyNumberFormat="1" applyFont="1" applyBorder="1" applyAlignment="1">
      <alignment horizontal="center" vertical="center" wrapText="1"/>
    </xf>
    <xf numFmtId="0" fontId="109" fillId="0" borderId="3" xfId="354" applyFont="1" applyBorder="1" applyAlignment="1">
      <alignment horizontal="center" vertical="center" wrapText="1"/>
    </xf>
    <xf numFmtId="0" fontId="101" fillId="35" borderId="3" xfId="354" applyFont="1" applyFill="1" applyBorder="1" applyAlignment="1">
      <alignment horizontal="center" vertical="center" wrapText="1"/>
    </xf>
    <xf numFmtId="0" fontId="112" fillId="35" borderId="3" xfId="354" applyFont="1" applyFill="1" applyBorder="1" applyAlignment="1">
      <alignment horizontal="center" vertical="center" wrapText="1"/>
    </xf>
    <xf numFmtId="0" fontId="139" fillId="35" borderId="3" xfId="354" applyFont="1" applyFill="1" applyBorder="1" applyAlignment="1">
      <alignment horizontal="center" vertical="center" wrapText="1"/>
    </xf>
    <xf numFmtId="4" fontId="137" fillId="39" borderId="14" xfId="354" applyNumberFormat="1" applyFont="1" applyFill="1" applyBorder="1" applyAlignment="1">
      <alignment horizontal="center" vertical="center" wrapText="1"/>
    </xf>
    <xf numFmtId="4" fontId="137" fillId="43" borderId="50" xfId="354" applyNumberFormat="1" applyFont="1" applyFill="1" applyBorder="1" applyAlignment="1">
      <alignment horizontal="center" vertical="center" wrapText="1"/>
    </xf>
    <xf numFmtId="4" fontId="137" fillId="43" borderId="44" xfId="354" applyNumberFormat="1" applyFont="1" applyFill="1" applyBorder="1" applyAlignment="1">
      <alignment horizontal="center" vertical="center" wrapText="1"/>
    </xf>
    <xf numFmtId="4" fontId="137" fillId="43" borderId="38" xfId="354" applyNumberFormat="1" applyFont="1" applyFill="1" applyBorder="1" applyAlignment="1">
      <alignment horizontal="center" vertical="center" wrapText="1"/>
    </xf>
    <xf numFmtId="4" fontId="137" fillId="39" borderId="16" xfId="354" applyNumberFormat="1" applyFont="1" applyFill="1" applyBorder="1" applyAlignment="1">
      <alignment horizontal="center" vertical="center" wrapText="1"/>
    </xf>
    <xf numFmtId="0" fontId="118" fillId="0" borderId="23" xfId="354" applyFont="1" applyFill="1" applyBorder="1" applyAlignment="1">
      <alignment horizontal="center" vertical="center" wrapText="1"/>
    </xf>
    <xf numFmtId="0" fontId="118" fillId="0" borderId="0" xfId="354" applyFont="1" applyFill="1" applyAlignment="1">
      <alignment horizontal="center" vertical="center" wrapText="1"/>
    </xf>
    <xf numFmtId="4" fontId="118" fillId="0" borderId="0" xfId="354" applyNumberFormat="1" applyFont="1" applyFill="1" applyAlignment="1">
      <alignment horizontal="center" vertical="center" wrapText="1"/>
    </xf>
    <xf numFmtId="4" fontId="112" fillId="0" borderId="0" xfId="354" applyNumberFormat="1" applyFont="1" applyFill="1" applyAlignment="1">
      <alignment horizontal="center" vertical="center" wrapText="1"/>
    </xf>
    <xf numFmtId="4" fontId="112" fillId="0" borderId="3" xfId="354" applyNumberFormat="1" applyFont="1" applyFill="1" applyBorder="1" applyAlignment="1">
      <alignment horizontal="center" vertical="center" wrapText="1"/>
    </xf>
    <xf numFmtId="4" fontId="137" fillId="0" borderId="3" xfId="354" applyNumberFormat="1" applyFont="1" applyFill="1" applyBorder="1" applyAlignment="1">
      <alignment horizontal="center" vertical="center" wrapText="1"/>
    </xf>
    <xf numFmtId="4" fontId="101" fillId="0" borderId="23" xfId="354" applyNumberFormat="1" applyFont="1" applyFill="1" applyBorder="1" applyAlignment="1">
      <alignment horizontal="center" vertical="center" wrapText="1"/>
    </xf>
    <xf numFmtId="0" fontId="118" fillId="0" borderId="3" xfId="354" applyFont="1" applyFill="1" applyBorder="1" applyAlignment="1">
      <alignment horizontal="center" vertical="center" wrapText="1"/>
    </xf>
    <xf numFmtId="4" fontId="137" fillId="0" borderId="0" xfId="354" applyNumberFormat="1" applyFont="1" applyFill="1" applyAlignment="1">
      <alignment horizontal="center" vertical="center" wrapText="1"/>
    </xf>
    <xf numFmtId="4" fontId="101" fillId="0" borderId="0" xfId="354" applyNumberFormat="1" applyFont="1" applyFill="1" applyAlignment="1">
      <alignment horizontal="center" vertical="center" wrapText="1"/>
    </xf>
    <xf numFmtId="0" fontId="112" fillId="0" borderId="14" xfId="354" applyFont="1" applyFill="1" applyBorder="1" applyAlignment="1">
      <alignment horizontal="center" vertical="center" wrapText="1"/>
    </xf>
    <xf numFmtId="0" fontId="118" fillId="0" borderId="0" xfId="354" applyFont="1" applyFill="1" applyBorder="1" applyAlignment="1">
      <alignment horizontal="center" vertical="center" wrapText="1"/>
    </xf>
    <xf numFmtId="0" fontId="109" fillId="0" borderId="15" xfId="354" applyFont="1" applyFill="1" applyBorder="1" applyAlignment="1">
      <alignment horizontal="center" vertical="center" wrapText="1"/>
    </xf>
    <xf numFmtId="0" fontId="112" fillId="0" borderId="0" xfId="354" applyFont="1" applyFill="1" applyBorder="1" applyAlignment="1">
      <alignment horizontal="center" vertical="center" wrapText="1"/>
    </xf>
    <xf numFmtId="0" fontId="142" fillId="0" borderId="0" xfId="354" applyFont="1" applyFill="1" applyBorder="1" applyAlignment="1">
      <alignment horizontal="center" vertical="center" wrapText="1"/>
    </xf>
    <xf numFmtId="4" fontId="118" fillId="0" borderId="0" xfId="354" applyNumberFormat="1" applyFont="1" applyFill="1" applyBorder="1" applyAlignment="1">
      <alignment horizontal="center" vertical="center" wrapText="1"/>
    </xf>
    <xf numFmtId="4" fontId="112" fillId="0" borderId="0" xfId="354" applyNumberFormat="1" applyFont="1" applyFill="1" applyBorder="1" applyAlignment="1">
      <alignment horizontal="center" vertical="center" wrapText="1"/>
    </xf>
    <xf numFmtId="9" fontId="136" fillId="0" borderId="0" xfId="355" applyFont="1" applyFill="1" applyBorder="1" applyAlignment="1">
      <alignment horizontal="center" vertical="center" wrapText="1"/>
    </xf>
    <xf numFmtId="4" fontId="137" fillId="0" borderId="0" xfId="354" applyNumberFormat="1" applyFont="1" applyFill="1" applyBorder="1" applyAlignment="1">
      <alignment horizontal="center" vertical="center" wrapText="1"/>
    </xf>
    <xf numFmtId="0" fontId="101" fillId="0" borderId="0" xfId="354" applyFont="1" applyFill="1" applyBorder="1" applyAlignment="1">
      <alignment horizontal="center" vertical="center" wrapText="1"/>
    </xf>
    <xf numFmtId="0" fontId="101" fillId="0" borderId="3" xfId="354" applyFont="1" applyFill="1" applyBorder="1" applyAlignment="1">
      <alignment horizontal="center" vertical="center" wrapText="1"/>
    </xf>
    <xf numFmtId="0" fontId="112" fillId="0" borderId="3" xfId="354" applyFont="1" applyFill="1" applyBorder="1" applyAlignment="1">
      <alignment horizontal="center" vertical="center" wrapText="1"/>
    </xf>
    <xf numFmtId="4" fontId="109" fillId="0" borderId="15" xfId="354" applyNumberFormat="1" applyFont="1" applyFill="1" applyBorder="1" applyAlignment="1">
      <alignment horizontal="center" vertical="center" wrapText="1"/>
    </xf>
    <xf numFmtId="183" fontId="101" fillId="0" borderId="0" xfId="359" applyNumberFormat="1" applyFont="1" applyFill="1" applyAlignment="1">
      <alignment horizontal="center" vertical="center" wrapText="1"/>
    </xf>
    <xf numFmtId="9" fontId="101" fillId="0" borderId="0" xfId="359" applyFont="1" applyFill="1" applyAlignment="1">
      <alignment horizontal="center" vertical="center" wrapText="1"/>
    </xf>
    <xf numFmtId="0" fontId="112" fillId="0" borderId="29" xfId="354" applyFont="1" applyBorder="1" applyAlignment="1">
      <alignment horizontal="center" vertical="center" wrapText="1"/>
    </xf>
    <xf numFmtId="4" fontId="109" fillId="0" borderId="30" xfId="354" applyNumberFormat="1" applyFont="1" applyBorder="1" applyAlignment="1">
      <alignment horizontal="center" vertical="center" wrapText="1"/>
    </xf>
    <xf numFmtId="9" fontId="101" fillId="0" borderId="0" xfId="359" applyFont="1" applyAlignment="1">
      <alignment horizontal="center" vertical="center" wrapText="1"/>
    </xf>
    <xf numFmtId="4" fontId="101" fillId="0" borderId="0" xfId="354" applyNumberFormat="1" applyFont="1" applyAlignment="1">
      <alignment horizontal="center" vertical="center" wrapText="1"/>
    </xf>
    <xf numFmtId="4" fontId="83" fillId="39" borderId="47" xfId="354" applyNumberFormat="1" applyFont="1" applyFill="1" applyBorder="1" applyAlignment="1">
      <alignment horizontal="center" vertical="center" wrapText="1"/>
    </xf>
    <xf numFmtId="4" fontId="83" fillId="39" borderId="40" xfId="354" applyNumberFormat="1" applyFont="1" applyFill="1" applyBorder="1" applyAlignment="1">
      <alignment horizontal="center" vertical="center" wrapText="1"/>
    </xf>
    <xf numFmtId="4" fontId="83" fillId="39" borderId="41" xfId="354" applyNumberFormat="1" applyFont="1" applyFill="1" applyBorder="1" applyAlignment="1">
      <alignment horizontal="center" vertical="center" wrapText="1"/>
    </xf>
    <xf numFmtId="4" fontId="13" fillId="0" borderId="40" xfId="354" applyNumberFormat="1" applyFont="1" applyBorder="1" applyAlignment="1">
      <alignment horizontal="center" vertical="center" wrapText="1"/>
    </xf>
    <xf numFmtId="4" fontId="13" fillId="39" borderId="40" xfId="354" applyNumberFormat="1" applyFont="1" applyFill="1" applyBorder="1" applyAlignment="1">
      <alignment horizontal="center" vertical="center" wrapText="1"/>
    </xf>
    <xf numFmtId="4" fontId="13" fillId="39" borderId="41" xfId="354" applyNumberFormat="1" applyFont="1" applyFill="1" applyBorder="1" applyAlignment="1">
      <alignment horizontal="center" vertical="center" wrapText="1"/>
    </xf>
    <xf numFmtId="4" fontId="13" fillId="39" borderId="47" xfId="354" applyNumberFormat="1" applyFont="1" applyFill="1" applyBorder="1" applyAlignment="1">
      <alignment horizontal="center" vertical="center" wrapText="1"/>
    </xf>
    <xf numFmtId="0" fontId="118" fillId="43" borderId="0" xfId="354" applyFont="1" applyFill="1" applyBorder="1" applyAlignment="1">
      <alignment horizontal="center" vertical="center" wrapText="1"/>
    </xf>
    <xf numFmtId="4" fontId="137" fillId="39" borderId="36" xfId="354" applyNumberFormat="1" applyFont="1" applyFill="1" applyBorder="1" applyAlignment="1">
      <alignment horizontal="center" vertical="center" wrapText="1"/>
    </xf>
    <xf numFmtId="4" fontId="137" fillId="39" borderId="12" xfId="354" applyNumberFormat="1" applyFont="1" applyFill="1" applyBorder="1" applyAlignment="1">
      <alignment horizontal="center" vertical="center" wrapText="1"/>
    </xf>
    <xf numFmtId="4" fontId="118" fillId="0" borderId="3" xfId="354" applyNumberFormat="1" applyFont="1" applyFill="1" applyBorder="1" applyAlignment="1">
      <alignment horizontal="center" vertical="center" wrapText="1"/>
    </xf>
    <xf numFmtId="4" fontId="118" fillId="39" borderId="12" xfId="354" applyNumberFormat="1" applyFont="1" applyFill="1" applyBorder="1" applyAlignment="1">
      <alignment horizontal="center" vertical="center" wrapText="1"/>
    </xf>
    <xf numFmtId="4" fontId="118" fillId="39" borderId="36" xfId="354" applyNumberFormat="1" applyFont="1" applyFill="1" applyBorder="1" applyAlignment="1">
      <alignment horizontal="center" vertical="center" wrapText="1"/>
    </xf>
    <xf numFmtId="2" fontId="118" fillId="0" borderId="0" xfId="354" applyNumberFormat="1" applyFont="1" applyFill="1" applyBorder="1" applyAlignment="1">
      <alignment horizontal="center" vertical="center" wrapText="1"/>
    </xf>
    <xf numFmtId="4" fontId="137" fillId="39" borderId="37" xfId="354" applyNumberFormat="1" applyFont="1" applyFill="1" applyBorder="1" applyAlignment="1">
      <alignment horizontal="center" vertical="center" wrapText="1"/>
    </xf>
    <xf numFmtId="4" fontId="137" fillId="39" borderId="44" xfId="354" applyNumberFormat="1" applyFont="1" applyFill="1" applyBorder="1" applyAlignment="1">
      <alignment horizontal="center" vertical="center" wrapText="1"/>
    </xf>
    <xf numFmtId="2" fontId="118" fillId="43" borderId="0" xfId="354" applyNumberFormat="1" applyFont="1" applyFill="1" applyBorder="1" applyAlignment="1">
      <alignment horizontal="center" vertical="center" wrapText="1"/>
    </xf>
    <xf numFmtId="4" fontId="118" fillId="43" borderId="21" xfId="354" applyNumberFormat="1" applyFont="1" applyFill="1" applyBorder="1" applyAlignment="1">
      <alignment horizontal="center" vertical="center" wrapText="1"/>
    </xf>
    <xf numFmtId="4" fontId="118" fillId="39" borderId="0" xfId="354" applyNumberFormat="1" applyFont="1" applyFill="1" applyBorder="1" applyAlignment="1">
      <alignment horizontal="center" vertical="center" wrapText="1"/>
    </xf>
    <xf numFmtId="4" fontId="137" fillId="39" borderId="48" xfId="354" applyNumberFormat="1" applyFont="1" applyFill="1" applyBorder="1" applyAlignment="1">
      <alignment horizontal="center" vertical="center" wrapText="1"/>
    </xf>
    <xf numFmtId="4" fontId="118" fillId="43" borderId="3" xfId="354" applyNumberFormat="1" applyFont="1" applyFill="1" applyBorder="1" applyAlignment="1">
      <alignment horizontal="center" vertical="center" wrapText="1"/>
    </xf>
    <xf numFmtId="4" fontId="112" fillId="0" borderId="31" xfId="354" applyNumberFormat="1" applyFont="1" applyBorder="1" applyAlignment="1">
      <alignment horizontal="center" vertical="center" wrapText="1"/>
    </xf>
    <xf numFmtId="0" fontId="109" fillId="0" borderId="0" xfId="354" applyFont="1" applyAlignment="1">
      <alignment horizontal="center" vertical="center" wrapText="1"/>
    </xf>
    <xf numFmtId="4" fontId="112" fillId="0" borderId="14" xfId="354" applyNumberFormat="1" applyFont="1" applyBorder="1" applyAlignment="1">
      <alignment horizontal="center" vertical="center" wrapText="1"/>
    </xf>
    <xf numFmtId="4" fontId="118" fillId="43" borderId="0" xfId="354" applyNumberFormat="1" applyFont="1" applyFill="1" applyBorder="1" applyAlignment="1">
      <alignment horizontal="center" vertical="center" wrapText="1"/>
    </xf>
    <xf numFmtId="4" fontId="101" fillId="0" borderId="0" xfId="354" applyNumberFormat="1" applyFont="1" applyFill="1" applyBorder="1" applyAlignment="1">
      <alignment horizontal="center" vertical="center" wrapText="1"/>
    </xf>
    <xf numFmtId="183" fontId="112" fillId="0" borderId="3" xfId="359" applyNumberFormat="1" applyFont="1" applyBorder="1" applyAlignment="1">
      <alignment horizontal="center" vertical="center" wrapText="1"/>
    </xf>
    <xf numFmtId="0" fontId="118" fillId="0" borderId="0" xfId="354" applyFont="1" applyAlignment="1">
      <alignment horizontal="center" vertical="center" wrapText="1"/>
    </xf>
    <xf numFmtId="4" fontId="137" fillId="39" borderId="0" xfId="354" applyNumberFormat="1" applyFont="1" applyFill="1" applyAlignment="1">
      <alignment horizontal="center" vertical="center" wrapText="1"/>
    </xf>
    <xf numFmtId="0" fontId="118" fillId="43" borderId="0" xfId="354" applyFont="1" applyFill="1" applyAlignment="1">
      <alignment horizontal="center" vertical="center" wrapText="1"/>
    </xf>
    <xf numFmtId="0" fontId="142" fillId="0" borderId="0" xfId="354" applyFont="1" applyAlignment="1">
      <alignment horizontal="center" vertical="center" wrapText="1"/>
    </xf>
    <xf numFmtId="4" fontId="83" fillId="39" borderId="3" xfId="354" applyNumberFormat="1" applyFont="1" applyFill="1" applyBorder="1" applyAlignment="1">
      <alignment horizontal="center" vertical="center" wrapText="1"/>
    </xf>
    <xf numFmtId="0" fontId="134" fillId="0" borderId="3" xfId="354" applyFont="1" applyFill="1" applyBorder="1" applyAlignment="1">
      <alignment horizontal="center" vertical="center" wrapText="1"/>
    </xf>
    <xf numFmtId="9" fontId="112" fillId="0" borderId="0" xfId="359" applyFont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170" fontId="91" fillId="0" borderId="0" xfId="0" applyNumberFormat="1" applyFont="1" applyFill="1" applyBorder="1" applyAlignment="1" applyProtection="1">
      <alignment horizont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1" fontId="7" fillId="39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39" borderId="3" xfId="0" applyNumberFormat="1" applyFont="1" applyFill="1" applyBorder="1" applyAlignment="1" applyProtection="1">
      <alignment horizontal="center" vertical="center" wrapText="1"/>
      <protection locked="0"/>
    </xf>
    <xf numFmtId="1" fontId="10" fillId="39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>
      <alignment vertical="center"/>
    </xf>
    <xf numFmtId="170" fontId="11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08" fillId="0" borderId="0" xfId="0" quotePrefix="1" applyFont="1" applyFill="1" applyBorder="1" applyAlignment="1" applyProtection="1">
      <alignment horizontal="center"/>
      <protection locked="0"/>
    </xf>
    <xf numFmtId="170" fontId="108" fillId="0" borderId="0" xfId="0" quotePrefix="1" applyNumberFormat="1" applyFont="1" applyFill="1" applyBorder="1" applyAlignment="1" applyProtection="1">
      <alignment horizontal="center"/>
      <protection locked="0"/>
    </xf>
    <xf numFmtId="1" fontId="108" fillId="0" borderId="0" xfId="0" quotePrefix="1" applyNumberFormat="1" applyFont="1" applyFill="1" applyBorder="1" applyAlignment="1" applyProtection="1">
      <alignment horizontal="center"/>
      <protection locked="0"/>
    </xf>
    <xf numFmtId="1" fontId="8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91" fillId="0" borderId="3" xfId="0" applyNumberFormat="1" applyFont="1" applyFill="1" applyBorder="1" applyAlignment="1">
      <alignment horizontal="center" vertical="center" wrapText="1"/>
    </xf>
    <xf numFmtId="0" fontId="118" fillId="43" borderId="0" xfId="354" applyFont="1" applyFill="1" applyBorder="1" applyAlignment="1">
      <alignment horizontal="center" vertical="center" wrapText="1"/>
    </xf>
    <xf numFmtId="0" fontId="112" fillId="0" borderId="0" xfId="354" applyFont="1" applyBorder="1" applyAlignment="1">
      <alignment horizontal="center" vertical="center" wrapText="1"/>
    </xf>
    <xf numFmtId="4" fontId="112" fillId="0" borderId="0" xfId="354" applyNumberFormat="1" applyFont="1" applyBorder="1" applyAlignment="1">
      <alignment horizontal="center" vertical="center" wrapText="1"/>
    </xf>
    <xf numFmtId="183" fontId="112" fillId="0" borderId="0" xfId="359" applyNumberFormat="1" applyFont="1" applyBorder="1" applyAlignment="1">
      <alignment horizontal="center" vertical="center" wrapText="1"/>
    </xf>
    <xf numFmtId="0" fontId="137" fillId="43" borderId="0" xfId="354" applyFont="1" applyFill="1" applyBorder="1" applyAlignment="1">
      <alignment horizontal="center" vertical="center" wrapText="1"/>
    </xf>
    <xf numFmtId="4" fontId="137" fillId="43" borderId="30" xfId="354" applyNumberFormat="1" applyFont="1" applyFill="1" applyBorder="1" applyAlignment="1">
      <alignment horizontal="center" vertical="center" wrapText="1"/>
    </xf>
    <xf numFmtId="4" fontId="83" fillId="39" borderId="14" xfId="354" applyNumberFormat="1" applyFont="1" applyFill="1" applyBorder="1" applyAlignment="1">
      <alignment horizontal="center" vertical="center" wrapText="1"/>
    </xf>
    <xf numFmtId="0" fontId="102" fillId="0" borderId="3" xfId="354" applyFont="1" applyBorder="1" applyAlignment="1">
      <alignment horizontal="center" vertical="center" wrapText="1"/>
    </xf>
    <xf numFmtId="0" fontId="105" fillId="0" borderId="0" xfId="354" applyFont="1" applyAlignment="1">
      <alignment horizontal="center" vertical="center" wrapText="1"/>
    </xf>
    <xf numFmtId="0" fontId="144" fillId="0" borderId="0" xfId="354" applyFont="1"/>
    <xf numFmtId="4" fontId="112" fillId="35" borderId="3" xfId="354" applyNumberFormat="1" applyFont="1" applyFill="1" applyBorder="1" applyAlignment="1">
      <alignment horizontal="center" vertical="center" wrapText="1"/>
    </xf>
    <xf numFmtId="0" fontId="99" fillId="44" borderId="3" xfId="354" applyFont="1" applyFill="1" applyBorder="1" applyAlignment="1">
      <alignment horizontal="center" vertical="center" wrapText="1"/>
    </xf>
    <xf numFmtId="0" fontId="100" fillId="44" borderId="3" xfId="354" applyFont="1" applyFill="1" applyBorder="1" applyAlignment="1">
      <alignment horizontal="center" vertical="center" wrapText="1"/>
    </xf>
    <xf numFmtId="0" fontId="112" fillId="44" borderId="3" xfId="354" applyFont="1" applyFill="1" applyBorder="1" applyAlignment="1">
      <alignment horizontal="center" vertical="center" wrapText="1"/>
    </xf>
    <xf numFmtId="4" fontId="109" fillId="44" borderId="3" xfId="354" applyNumberFormat="1" applyFont="1" applyFill="1" applyBorder="1" applyAlignment="1">
      <alignment horizontal="center" vertical="center" wrapText="1"/>
    </xf>
    <xf numFmtId="4" fontId="83" fillId="44" borderId="3" xfId="354" applyNumberFormat="1" applyFont="1" applyFill="1" applyBorder="1" applyAlignment="1">
      <alignment horizontal="center" vertical="center" wrapText="1"/>
    </xf>
    <xf numFmtId="0" fontId="83" fillId="44" borderId="3" xfId="354" applyFont="1" applyFill="1" applyBorder="1" applyAlignment="1">
      <alignment horizontal="center" vertical="center" wrapText="1"/>
    </xf>
    <xf numFmtId="4" fontId="138" fillId="44" borderId="3" xfId="354" applyNumberFormat="1" applyFont="1" applyFill="1" applyBorder="1" applyAlignment="1">
      <alignment horizontal="center" vertical="center" wrapText="1"/>
    </xf>
    <xf numFmtId="0" fontId="138" fillId="44" borderId="3" xfId="354" applyFont="1" applyFill="1" applyBorder="1" applyAlignment="1">
      <alignment horizontal="center" vertical="center" wrapText="1"/>
    </xf>
    <xf numFmtId="0" fontId="101" fillId="44" borderId="3" xfId="354" applyFont="1" applyFill="1" applyBorder="1" applyAlignment="1">
      <alignment horizontal="center" vertical="center" wrapText="1"/>
    </xf>
    <xf numFmtId="4" fontId="137" fillId="44" borderId="3" xfId="354" applyNumberFormat="1" applyFont="1" applyFill="1" applyBorder="1" applyAlignment="1">
      <alignment horizontal="center" vertical="center" wrapText="1"/>
    </xf>
    <xf numFmtId="4" fontId="139" fillId="44" borderId="3" xfId="354" applyNumberFormat="1" applyFont="1" applyFill="1" applyBorder="1" applyAlignment="1">
      <alignment horizontal="center" vertical="center" wrapText="1"/>
    </xf>
    <xf numFmtId="4" fontId="83" fillId="44" borderId="14" xfId="354" applyNumberFormat="1" applyFont="1" applyFill="1" applyBorder="1" applyAlignment="1">
      <alignment horizontal="center" vertical="center" wrapText="1"/>
    </xf>
    <xf numFmtId="9" fontId="136" fillId="44" borderId="0" xfId="355" applyFont="1" applyFill="1" applyAlignment="1">
      <alignment horizontal="center" vertical="center" wrapText="1"/>
    </xf>
    <xf numFmtId="0" fontId="112" fillId="44" borderId="0" xfId="354" applyFont="1" applyFill="1" applyAlignment="1">
      <alignment horizontal="center" vertical="center" wrapText="1"/>
    </xf>
    <xf numFmtId="0" fontId="137" fillId="44" borderId="16" xfId="354" applyFont="1" applyFill="1" applyBorder="1" applyAlignment="1">
      <alignment horizontal="center" vertical="center" wrapText="1"/>
    </xf>
    <xf numFmtId="0" fontId="137" fillId="44" borderId="3" xfId="354" applyFont="1" applyFill="1" applyBorder="1" applyAlignment="1">
      <alignment horizontal="center" vertical="center" wrapText="1"/>
    </xf>
    <xf numFmtId="0" fontId="137" fillId="44" borderId="12" xfId="354" applyFont="1" applyFill="1" applyBorder="1" applyAlignment="1">
      <alignment horizontal="center" vertical="center" wrapText="1"/>
    </xf>
    <xf numFmtId="0" fontId="137" fillId="44" borderId="0" xfId="354" applyFont="1" applyFill="1" applyBorder="1" applyAlignment="1">
      <alignment horizontal="center" vertical="center" wrapText="1"/>
    </xf>
    <xf numFmtId="0" fontId="101" fillId="44" borderId="0" xfId="354" applyFont="1" applyFill="1" applyAlignment="1">
      <alignment horizontal="center" vertical="center" wrapText="1"/>
    </xf>
    <xf numFmtId="0" fontId="139" fillId="44" borderId="0" xfId="354" applyFont="1" applyFill="1" applyAlignment="1">
      <alignment horizontal="center" vertical="center" wrapText="1"/>
    </xf>
    <xf numFmtId="10" fontId="139" fillId="44" borderId="0" xfId="354" applyNumberFormat="1" applyFont="1" applyFill="1" applyAlignment="1">
      <alignment horizontal="center" vertical="center" wrapText="1"/>
    </xf>
    <xf numFmtId="9" fontId="139" fillId="44" borderId="0" xfId="354" applyNumberFormat="1" applyFont="1" applyFill="1" applyAlignment="1">
      <alignment horizontal="center" vertical="center" wrapText="1"/>
    </xf>
    <xf numFmtId="0" fontId="3" fillId="44" borderId="0" xfId="354" applyFill="1"/>
    <xf numFmtId="0" fontId="99" fillId="35" borderId="3" xfId="354" applyFont="1" applyFill="1" applyBorder="1" applyAlignment="1">
      <alignment horizontal="center" vertical="center" wrapText="1"/>
    </xf>
    <xf numFmtId="0" fontId="100" fillId="35" borderId="3" xfId="354" applyFont="1" applyFill="1" applyBorder="1" applyAlignment="1">
      <alignment horizontal="center" vertical="center" wrapText="1"/>
    </xf>
    <xf numFmtId="4" fontId="138" fillId="35" borderId="3" xfId="354" applyNumberFormat="1" applyFont="1" applyFill="1" applyBorder="1" applyAlignment="1">
      <alignment horizontal="center" vertical="center" wrapText="1"/>
    </xf>
    <xf numFmtId="0" fontId="138" fillId="35" borderId="3" xfId="354" applyFont="1" applyFill="1" applyBorder="1" applyAlignment="1">
      <alignment horizontal="center" vertical="center" wrapText="1"/>
    </xf>
    <xf numFmtId="4" fontId="139" fillId="35" borderId="3" xfId="354" applyNumberFormat="1" applyFont="1" applyFill="1" applyBorder="1" applyAlignment="1">
      <alignment horizontal="center" vertical="center" wrapText="1"/>
    </xf>
    <xf numFmtId="9" fontId="136" fillId="35" borderId="0" xfId="355" applyFont="1" applyFill="1" applyAlignment="1">
      <alignment horizontal="center" vertical="center" wrapText="1"/>
    </xf>
    <xf numFmtId="0" fontId="112" fillId="35" borderId="0" xfId="354" applyFont="1" applyFill="1" applyAlignment="1">
      <alignment horizontal="center" vertical="center" wrapText="1"/>
    </xf>
    <xf numFmtId="0" fontId="137" fillId="35" borderId="0" xfId="354" applyFont="1" applyFill="1" applyBorder="1" applyAlignment="1">
      <alignment horizontal="center" vertical="center" wrapText="1"/>
    </xf>
    <xf numFmtId="0" fontId="101" fillId="35" borderId="0" xfId="354" applyFont="1" applyFill="1" applyAlignment="1">
      <alignment horizontal="center" vertical="center" wrapText="1"/>
    </xf>
    <xf numFmtId="0" fontId="139" fillId="35" borderId="0" xfId="354" applyFont="1" applyFill="1" applyAlignment="1">
      <alignment horizontal="center" vertical="center" wrapText="1"/>
    </xf>
    <xf numFmtId="10" fontId="139" fillId="35" borderId="0" xfId="354" applyNumberFormat="1" applyFont="1" applyFill="1" applyAlignment="1">
      <alignment horizontal="center" vertical="center" wrapText="1"/>
    </xf>
    <xf numFmtId="9" fontId="139" fillId="35" borderId="0" xfId="354" applyNumberFormat="1" applyFont="1" applyFill="1" applyAlignment="1">
      <alignment horizontal="center" vertical="center" wrapText="1"/>
    </xf>
    <xf numFmtId="164" fontId="101" fillId="0" borderId="0" xfId="323" applyFont="1" applyFill="1" applyAlignment="1">
      <alignment horizontal="center" vertical="center" wrapText="1"/>
    </xf>
    <xf numFmtId="178" fontId="8" fillId="36" borderId="14" xfId="0" applyNumberFormat="1" applyFont="1" applyFill="1" applyBorder="1" applyAlignment="1" applyProtection="1">
      <alignment horizontal="center" vertical="center" wrapText="1"/>
      <protection locked="0"/>
    </xf>
    <xf numFmtId="178" fontId="8" fillId="36" borderId="16" xfId="0" applyNumberFormat="1" applyFont="1" applyFill="1" applyBorder="1" applyAlignment="1" applyProtection="1">
      <alignment horizontal="center" vertical="center" wrapText="1"/>
      <protection locked="0"/>
    </xf>
    <xf numFmtId="0" fontId="89" fillId="0" borderId="13" xfId="0" applyFont="1" applyFill="1" applyBorder="1" applyAlignment="1">
      <alignment horizontal="center" vertical="center" wrapText="1"/>
    </xf>
    <xf numFmtId="178" fontId="8" fillId="0" borderId="14" xfId="0" applyNumberFormat="1" applyFont="1" applyFill="1" applyBorder="1" applyAlignment="1" applyProtection="1">
      <alignment horizontal="center" vertical="center" wrapText="1"/>
      <protection locked="0"/>
    </xf>
    <xf numFmtId="178" fontId="8" fillId="0" borderId="16" xfId="0" applyNumberFormat="1" applyFont="1" applyFill="1" applyBorder="1" applyAlignment="1" applyProtection="1">
      <alignment horizontal="center" vertical="center" wrapText="1"/>
      <protection locked="0"/>
    </xf>
    <xf numFmtId="10" fontId="8" fillId="29" borderId="14" xfId="0" applyNumberFormat="1" applyFont="1" applyFill="1" applyBorder="1" applyAlignment="1" applyProtection="1">
      <alignment horizontal="center" vertical="center" wrapText="1"/>
    </xf>
    <xf numFmtId="10" fontId="8" fillId="29" borderId="16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>
      <alignment vertical="center" wrapText="1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8" fillId="36" borderId="3" xfId="0" applyFont="1" applyFill="1" applyBorder="1" applyAlignment="1">
      <alignment horizontal="right" vertical="center"/>
    </xf>
    <xf numFmtId="0" fontId="8" fillId="36" borderId="3" xfId="0" applyFont="1" applyFill="1" applyBorder="1" applyAlignment="1" applyProtection="1">
      <alignment horizontal="left" vertical="center" wrapText="1"/>
    </xf>
    <xf numFmtId="0" fontId="7" fillId="36" borderId="14" xfId="0" applyFont="1" applyFill="1" applyBorder="1" applyAlignment="1" applyProtection="1">
      <alignment horizontal="center" vertical="center" wrapText="1"/>
    </xf>
    <xf numFmtId="0" fontId="7" fillId="36" borderId="15" xfId="0" applyFont="1" applyFill="1" applyBorder="1" applyAlignment="1" applyProtection="1">
      <alignment horizontal="center" vertical="center" wrapText="1"/>
    </xf>
    <xf numFmtId="0" fontId="7" fillId="36" borderId="16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justify" vertical="center" wrapText="1" shrinkToFit="1"/>
    </xf>
    <xf numFmtId="49" fontId="8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8" fillId="0" borderId="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16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>
      <alignment horizontal="left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3" xfId="0" applyNumberFormat="1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6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15" xfId="0" applyNumberFormat="1" applyFont="1" applyFill="1" applyBorder="1" applyAlignment="1" applyProtection="1">
      <alignment horizontal="center" vertical="center" wrapText="1"/>
      <protection locked="0"/>
    </xf>
    <xf numFmtId="178" fontId="8" fillId="0" borderId="15" xfId="0" applyNumberFormat="1" applyFont="1" applyFill="1" applyBorder="1" applyAlignment="1" applyProtection="1">
      <alignment horizontal="center" vertical="center" wrapText="1"/>
      <protection locked="0"/>
    </xf>
    <xf numFmtId="178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178" fontId="89" fillId="0" borderId="3" xfId="0" applyNumberFormat="1" applyFont="1" applyFill="1" applyBorder="1" applyAlignment="1" applyProtection="1">
      <alignment horizontal="center" vertical="center" wrapText="1"/>
      <protection locked="0"/>
    </xf>
    <xf numFmtId="178" fontId="89" fillId="0" borderId="14" xfId="0" applyNumberFormat="1" applyFont="1" applyFill="1" applyBorder="1" applyAlignment="1" applyProtection="1">
      <alignment horizontal="center" vertical="center" wrapText="1"/>
      <protection locked="0"/>
    </xf>
    <xf numFmtId="178" fontId="89" fillId="0" borderId="15" xfId="0" applyNumberFormat="1" applyFont="1" applyFill="1" applyBorder="1" applyAlignment="1" applyProtection="1">
      <alignment horizontal="center" vertical="center" wrapText="1"/>
      <protection locked="0"/>
    </xf>
    <xf numFmtId="178" fontId="8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8" fillId="29" borderId="14" xfId="0" applyNumberFormat="1" applyFont="1" applyFill="1" applyBorder="1" applyAlignment="1">
      <alignment horizontal="center" vertical="center" wrapText="1"/>
    </xf>
    <xf numFmtId="0" fontId="8" fillId="29" borderId="16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0" fontId="8" fillId="0" borderId="14" xfId="0" applyFont="1" applyFill="1" applyBorder="1" applyAlignment="1" applyProtection="1">
      <alignment horizontal="left" vertical="center" wrapText="1"/>
      <protection locked="0"/>
    </xf>
    <xf numFmtId="0" fontId="8" fillId="0" borderId="15" xfId="0" applyFont="1" applyFill="1" applyBorder="1" applyAlignment="1" applyProtection="1">
      <alignment horizontal="left" vertical="center" wrapText="1"/>
      <protection locked="0"/>
    </xf>
    <xf numFmtId="0" fontId="8" fillId="0" borderId="16" xfId="0" applyFont="1" applyFill="1" applyBorder="1" applyAlignment="1" applyProtection="1">
      <alignment horizontal="left" vertical="center" wrapText="1"/>
      <protection locked="0"/>
    </xf>
    <xf numFmtId="178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178" fontId="91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118" fillId="39" borderId="14" xfId="354" applyNumberFormat="1" applyFont="1" applyFill="1" applyBorder="1" applyAlignment="1">
      <alignment horizontal="center" vertical="center" wrapText="1"/>
    </xf>
    <xf numFmtId="4" fontId="118" fillId="39" borderId="16" xfId="354" applyNumberFormat="1" applyFont="1" applyFill="1" applyBorder="1" applyAlignment="1">
      <alignment horizontal="center" vertical="center" wrapText="1"/>
    </xf>
    <xf numFmtId="4" fontId="83" fillId="39" borderId="18" xfId="354" applyNumberFormat="1" applyFont="1" applyFill="1" applyBorder="1" applyAlignment="1">
      <alignment horizontal="center" vertical="center" wrapText="1"/>
    </xf>
    <xf numFmtId="4" fontId="83" fillId="39" borderId="23" xfId="354" applyNumberFormat="1" applyFont="1" applyFill="1" applyBorder="1" applyAlignment="1">
      <alignment horizontal="center" vertical="center" wrapText="1"/>
    </xf>
    <xf numFmtId="4" fontId="137" fillId="39" borderId="14" xfId="354" applyNumberFormat="1" applyFont="1" applyFill="1" applyBorder="1" applyAlignment="1">
      <alignment horizontal="center" vertical="center" wrapText="1"/>
    </xf>
    <xf numFmtId="4" fontId="137" fillId="39" borderId="16" xfId="354" applyNumberFormat="1" applyFont="1" applyFill="1" applyBorder="1" applyAlignment="1">
      <alignment horizontal="center" vertical="center" wrapText="1"/>
    </xf>
    <xf numFmtId="4" fontId="118" fillId="0" borderId="14" xfId="354" applyNumberFormat="1" applyFont="1" applyBorder="1" applyAlignment="1">
      <alignment horizontal="center" vertical="center" wrapText="1"/>
    </xf>
    <xf numFmtId="4" fontId="118" fillId="0" borderId="16" xfId="354" applyNumberFormat="1" applyFont="1" applyBorder="1" applyAlignment="1">
      <alignment horizontal="center" vertical="center" wrapText="1"/>
    </xf>
    <xf numFmtId="4" fontId="83" fillId="39" borderId="14" xfId="354" applyNumberFormat="1" applyFont="1" applyFill="1" applyBorder="1" applyAlignment="1">
      <alignment horizontal="center" vertical="center" wrapText="1"/>
    </xf>
    <xf numFmtId="4" fontId="83" fillId="39" borderId="15" xfId="354" applyNumberFormat="1" applyFont="1" applyFill="1" applyBorder="1" applyAlignment="1">
      <alignment horizontal="center" vertical="center" wrapText="1"/>
    </xf>
    <xf numFmtId="4" fontId="83" fillId="39" borderId="16" xfId="354" applyNumberFormat="1" applyFont="1" applyFill="1" applyBorder="1" applyAlignment="1">
      <alignment horizontal="center" vertical="center" wrapText="1"/>
    </xf>
    <xf numFmtId="4" fontId="118" fillId="39" borderId="3" xfId="354" applyNumberFormat="1" applyFont="1" applyFill="1" applyBorder="1" applyAlignment="1">
      <alignment horizontal="center" vertical="center" wrapText="1"/>
    </xf>
    <xf numFmtId="0" fontId="104" fillId="39" borderId="49" xfId="354" applyFont="1" applyFill="1" applyBorder="1" applyAlignment="1">
      <alignment horizontal="center" vertical="center" wrapText="1"/>
    </xf>
    <xf numFmtId="0" fontId="104" fillId="39" borderId="23" xfId="354" applyFont="1" applyFill="1" applyBorder="1" applyAlignment="1">
      <alignment horizontal="center" vertical="center" wrapText="1"/>
    </xf>
    <xf numFmtId="0" fontId="104" fillId="39" borderId="40" xfId="354" applyFont="1" applyFill="1" applyBorder="1" applyAlignment="1">
      <alignment horizontal="center" vertical="center" wrapText="1"/>
    </xf>
    <xf numFmtId="0" fontId="91" fillId="39" borderId="40" xfId="354" applyFont="1" applyFill="1" applyBorder="1" applyAlignment="1">
      <alignment horizontal="center" vertical="center" wrapText="1"/>
    </xf>
    <xf numFmtId="0" fontId="108" fillId="39" borderId="40" xfId="354" applyFont="1" applyFill="1" applyBorder="1" applyAlignment="1">
      <alignment horizontal="center" vertical="center" wrapText="1"/>
    </xf>
    <xf numFmtId="0" fontId="143" fillId="39" borderId="41" xfId="354" applyFont="1" applyFill="1" applyBorder="1" applyAlignment="1">
      <alignment horizontal="center" vertical="center" wrapText="1"/>
    </xf>
    <xf numFmtId="0" fontId="13" fillId="0" borderId="31" xfId="354" applyFont="1" applyBorder="1" applyAlignment="1">
      <alignment horizontal="center" vertical="center" wrapText="1"/>
    </xf>
    <xf numFmtId="0" fontId="13" fillId="0" borderId="13" xfId="354" applyFont="1" applyBorder="1" applyAlignment="1">
      <alignment horizontal="center" vertical="center" wrapText="1"/>
    </xf>
    <xf numFmtId="0" fontId="13" fillId="0" borderId="32" xfId="354" applyFont="1" applyBorder="1" applyAlignment="1">
      <alignment horizontal="center" vertical="center" wrapText="1"/>
    </xf>
    <xf numFmtId="0" fontId="104" fillId="39" borderId="36" xfId="354" applyFont="1" applyFill="1" applyBorder="1" applyAlignment="1">
      <alignment horizontal="center" vertical="center" wrapText="1"/>
    </xf>
    <xf numFmtId="0" fontId="104" fillId="39" borderId="3" xfId="354" applyFont="1" applyFill="1" applyBorder="1" applyAlignment="1">
      <alignment horizontal="center" vertical="center" wrapText="1"/>
    </xf>
    <xf numFmtId="0" fontId="91" fillId="39" borderId="3" xfId="354" applyFont="1" applyFill="1" applyBorder="1" applyAlignment="1">
      <alignment horizontal="center" vertical="center" wrapText="1"/>
    </xf>
    <xf numFmtId="0" fontId="108" fillId="39" borderId="3" xfId="354" applyFont="1" applyFill="1" applyBorder="1" applyAlignment="1">
      <alignment horizontal="center" vertical="center" wrapText="1"/>
    </xf>
    <xf numFmtId="0" fontId="143" fillId="39" borderId="12" xfId="354" applyFont="1" applyFill="1" applyBorder="1" applyAlignment="1">
      <alignment horizontal="center" vertical="center" wrapText="1"/>
    </xf>
    <xf numFmtId="0" fontId="104" fillId="39" borderId="37" xfId="354" applyFont="1" applyFill="1" applyBorder="1" applyAlignment="1">
      <alignment horizontal="center" vertical="center" wrapText="1"/>
    </xf>
    <xf numFmtId="0" fontId="104" fillId="39" borderId="44" xfId="354" applyFont="1" applyFill="1" applyBorder="1" applyAlignment="1">
      <alignment horizontal="center" vertical="center" wrapText="1"/>
    </xf>
    <xf numFmtId="0" fontId="91" fillId="39" borderId="44" xfId="354" applyFont="1" applyFill="1" applyBorder="1" applyAlignment="1">
      <alignment horizontal="center" vertical="center" wrapText="1"/>
    </xf>
    <xf numFmtId="0" fontId="108" fillId="39" borderId="44" xfId="354" applyFont="1" applyFill="1" applyBorder="1" applyAlignment="1">
      <alignment horizontal="center" vertical="center" wrapText="1"/>
    </xf>
    <xf numFmtId="0" fontId="143" fillId="39" borderId="38" xfId="354" applyFont="1" applyFill="1" applyBorder="1" applyAlignment="1">
      <alignment horizontal="center" vertical="center" wrapText="1"/>
    </xf>
    <xf numFmtId="0" fontId="100" fillId="0" borderId="18" xfId="354" applyFont="1" applyBorder="1" applyAlignment="1">
      <alignment horizontal="center" vertical="center" wrapText="1"/>
    </xf>
    <xf numFmtId="0" fontId="100" fillId="0" borderId="23" xfId="354" applyFont="1" applyBorder="1" applyAlignment="1">
      <alignment horizontal="center" vertical="center" wrapText="1"/>
    </xf>
    <xf numFmtId="4" fontId="112" fillId="0" borderId="13" xfId="354" applyNumberFormat="1" applyFont="1" applyBorder="1" applyAlignment="1">
      <alignment horizontal="center" vertical="center" wrapText="1"/>
    </xf>
    <xf numFmtId="4" fontId="137" fillId="39" borderId="13" xfId="354" applyNumberFormat="1" applyFont="1" applyFill="1" applyBorder="1" applyAlignment="1">
      <alignment horizontal="center" vertical="center" wrapText="1"/>
    </xf>
    <xf numFmtId="0" fontId="118" fillId="43" borderId="0" xfId="354" applyFont="1" applyFill="1" applyBorder="1" applyAlignment="1">
      <alignment horizontal="center" vertical="center" wrapText="1"/>
    </xf>
    <xf numFmtId="0" fontId="78" fillId="0" borderId="3" xfId="0" applyFont="1" applyBorder="1" applyAlignment="1">
      <alignment horizontal="center" vertical="center" wrapText="1"/>
    </xf>
    <xf numFmtId="0" fontId="78" fillId="0" borderId="0" xfId="0" applyFont="1" applyBorder="1" applyAlignment="1">
      <alignment horizontal="center" vertical="center" wrapText="1"/>
    </xf>
    <xf numFmtId="0" fontId="74" fillId="0" borderId="0" xfId="0" applyFont="1" applyFill="1" applyBorder="1" applyAlignment="1" applyProtection="1">
      <alignment horizontal="left" vertical="center" wrapText="1"/>
      <protection locked="0"/>
    </xf>
    <xf numFmtId="0" fontId="73" fillId="0" borderId="0" xfId="0" applyFont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75" fillId="0" borderId="0" xfId="0" applyFont="1" applyAlignment="1" applyProtection="1">
      <alignment horizontal="left" vertical="top" wrapText="1"/>
      <protection locked="0"/>
    </xf>
    <xf numFmtId="0" fontId="74" fillId="0" borderId="0" xfId="0" applyFont="1" applyFill="1" applyBorder="1" applyAlignment="1" applyProtection="1">
      <alignment horizontal="left" vertical="center"/>
      <protection locked="0"/>
    </xf>
    <xf numFmtId="0" fontId="7" fillId="0" borderId="14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/>
    </xf>
    <xf numFmtId="0" fontId="74" fillId="0" borderId="14" xfId="0" applyFont="1" applyFill="1" applyBorder="1" applyAlignment="1" applyProtection="1">
      <alignment horizontal="left" vertical="center" wrapText="1"/>
      <protection locked="0"/>
    </xf>
    <xf numFmtId="0" fontId="74" fillId="0" borderId="15" xfId="0" applyFont="1" applyFill="1" applyBorder="1" applyAlignment="1" applyProtection="1">
      <alignment horizontal="left" vertical="center" wrapText="1"/>
      <protection locked="0"/>
    </xf>
    <xf numFmtId="49" fontId="74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77" fillId="0" borderId="15" xfId="0" applyFont="1" applyBorder="1" applyAlignment="1" applyProtection="1">
      <alignment horizontal="left" vertical="center" wrapText="1"/>
      <protection locked="0"/>
    </xf>
    <xf numFmtId="0" fontId="77" fillId="0" borderId="16" xfId="0" applyFont="1" applyBorder="1" applyAlignment="1" applyProtection="1">
      <alignment horizontal="left" vertical="center" wrapText="1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8" fillId="0" borderId="14" xfId="0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 applyProtection="1">
      <alignment horizontal="center" vertical="center" wrapText="1"/>
    </xf>
    <xf numFmtId="0" fontId="8" fillId="0" borderId="16" xfId="0" applyFont="1" applyFill="1" applyBorder="1" applyAlignment="1" applyProtection="1">
      <alignment horizontal="center" vertical="center" wrapText="1"/>
    </xf>
    <xf numFmtId="0" fontId="7" fillId="0" borderId="14" xfId="237" applyNumberFormat="1" applyFont="1" applyFill="1" applyBorder="1" applyAlignment="1" applyProtection="1">
      <alignment horizontal="center" vertical="center" wrapText="1"/>
    </xf>
    <xf numFmtId="0" fontId="7" fillId="0" borderId="15" xfId="237" applyNumberFormat="1" applyFont="1" applyFill="1" applyBorder="1" applyAlignment="1" applyProtection="1">
      <alignment horizontal="center" vertical="center" wrapText="1"/>
    </xf>
    <xf numFmtId="0" fontId="7" fillId="0" borderId="16" xfId="237" applyNumberFormat="1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0" borderId="23" xfId="0" applyFont="1" applyFill="1" applyBorder="1" applyAlignment="1" applyProtection="1">
      <alignment horizontal="center" vertical="center" wrapText="1"/>
    </xf>
    <xf numFmtId="170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170" fontId="8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8" fillId="0" borderId="18" xfId="0" applyFont="1" applyFill="1" applyBorder="1" applyAlignment="1" applyProtection="1">
      <alignment horizontal="center" vertical="center" wrapText="1" shrinkToFit="1"/>
    </xf>
    <xf numFmtId="0" fontId="8" fillId="0" borderId="23" xfId="0" applyFont="1" applyFill="1" applyBorder="1" applyAlignment="1" applyProtection="1">
      <alignment horizontal="center" vertical="center" wrapText="1" shrinkToFit="1"/>
    </xf>
    <xf numFmtId="0" fontId="8" fillId="0" borderId="0" xfId="0" applyFont="1" applyFill="1" applyBorder="1" applyAlignment="1" applyProtection="1">
      <alignment vertical="center"/>
      <protection locked="0"/>
    </xf>
    <xf numFmtId="0" fontId="7" fillId="0" borderId="14" xfId="0" applyFont="1" applyFill="1" applyBorder="1" applyAlignment="1" applyProtection="1">
      <alignment horizontal="center"/>
    </xf>
    <xf numFmtId="0" fontId="0" fillId="0" borderId="15" xfId="0" applyBorder="1"/>
    <xf numFmtId="0" fontId="0" fillId="0" borderId="16" xfId="0" applyBorder="1"/>
    <xf numFmtId="0" fontId="8" fillId="0" borderId="0" xfId="0" applyFont="1" applyFill="1" applyAlignment="1">
      <alignment horizontal="center" vertical="center"/>
    </xf>
    <xf numFmtId="49" fontId="8" fillId="0" borderId="3" xfId="0" applyNumberFormat="1" applyFont="1" applyFill="1" applyBorder="1" applyAlignment="1">
      <alignment horizontal="left" vertical="center" wrapText="1"/>
    </xf>
    <xf numFmtId="0" fontId="8" fillId="29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14" xfId="0" applyNumberFormat="1" applyFont="1" applyFill="1" applyBorder="1" applyAlignment="1">
      <alignment horizontal="left" vertical="center" wrapText="1"/>
    </xf>
    <xf numFmtId="3" fontId="8" fillId="0" borderId="15" xfId="0" applyNumberFormat="1" applyFont="1" applyFill="1" applyBorder="1" applyAlignment="1">
      <alignment horizontal="left" vertical="center" wrapText="1"/>
    </xf>
    <xf numFmtId="3" fontId="8" fillId="0" borderId="16" xfId="0" applyNumberFormat="1" applyFont="1" applyFill="1" applyBorder="1" applyAlignment="1">
      <alignment horizontal="left" vertical="center" wrapText="1"/>
    </xf>
    <xf numFmtId="49" fontId="8" fillId="36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177" fontId="13" fillId="0" borderId="3" xfId="0" applyNumberFormat="1" applyFont="1" applyFill="1" applyBorder="1" applyAlignment="1">
      <alignment horizontal="center" vertical="center" wrapText="1"/>
    </xf>
    <xf numFmtId="0" fontId="13" fillId="29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 shrinkToFit="1"/>
    </xf>
    <xf numFmtId="49" fontId="13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5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6" xfId="0" applyNumberFormat="1" applyFont="1" applyFill="1" applyBorder="1" applyAlignment="1" applyProtection="1">
      <alignment horizontal="left" vertical="center" wrapText="1"/>
      <protection locked="0"/>
    </xf>
    <xf numFmtId="1" fontId="13" fillId="29" borderId="14" xfId="0" applyNumberFormat="1" applyFont="1" applyFill="1" applyBorder="1" applyAlignment="1">
      <alignment horizontal="center" vertical="center" wrapText="1"/>
    </xf>
    <xf numFmtId="1" fontId="13" fillId="29" borderId="15" xfId="0" applyNumberFormat="1" applyFont="1" applyFill="1" applyBorder="1" applyAlignment="1">
      <alignment horizontal="center" vertical="center" wrapText="1"/>
    </xf>
    <xf numFmtId="1" fontId="13" fillId="29" borderId="16" xfId="0" applyNumberFormat="1" applyFont="1" applyFill="1" applyBorder="1" applyAlignment="1">
      <alignment horizontal="center" vertical="center" wrapText="1"/>
    </xf>
    <xf numFmtId="1" fontId="13" fillId="0" borderId="14" xfId="0" applyNumberFormat="1" applyFont="1" applyFill="1" applyBorder="1" applyAlignment="1" applyProtection="1">
      <alignment horizontal="center" vertical="center" wrapText="1"/>
      <protection locked="0"/>
    </xf>
    <xf numFmtId="1" fontId="13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3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4" xfId="0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 applyProtection="1">
      <alignment horizontal="center" vertical="center" wrapText="1"/>
      <protection locked="0"/>
    </xf>
    <xf numFmtId="0" fontId="13" fillId="0" borderId="16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>
      <alignment horizontal="center" vertical="center" wrapText="1" shrinkToFit="1"/>
    </xf>
    <xf numFmtId="0" fontId="8" fillId="0" borderId="15" xfId="0" applyFont="1" applyFill="1" applyBorder="1" applyAlignment="1">
      <alignment horizontal="center" vertical="center" wrapText="1" shrinkToFit="1"/>
    </xf>
    <xf numFmtId="0" fontId="8" fillId="0" borderId="16" xfId="0" applyFont="1" applyFill="1" applyBorder="1" applyAlignment="1">
      <alignment horizontal="center" vertical="center" wrapText="1" shrinkToFi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 shrinkToFit="1"/>
    </xf>
    <xf numFmtId="0" fontId="8" fillId="0" borderId="23" xfId="0" applyFont="1" applyFill="1" applyBorder="1" applyAlignment="1">
      <alignment horizontal="center" vertical="center" wrapText="1" shrinkToFi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1" fontId="8" fillId="29" borderId="14" xfId="0" applyNumberFormat="1" applyFont="1" applyFill="1" applyBorder="1" applyAlignment="1">
      <alignment horizontal="center" vertical="center" wrapText="1"/>
    </xf>
    <xf numFmtId="1" fontId="8" fillId="29" borderId="15" xfId="0" applyNumberFormat="1" applyFont="1" applyFill="1" applyBorder="1" applyAlignment="1">
      <alignment horizontal="center" vertical="center" wrapText="1"/>
    </xf>
    <xf numFmtId="1" fontId="8" fillId="29" borderId="16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/>
      <protection locked="0"/>
    </xf>
    <xf numFmtId="169" fontId="8" fillId="0" borderId="3" xfId="0" applyNumberFormat="1" applyFont="1" applyFill="1" applyBorder="1" applyAlignment="1" applyProtection="1">
      <alignment horizontal="center" vertical="center" wrapText="1"/>
    </xf>
    <xf numFmtId="169" fontId="7" fillId="0" borderId="14" xfId="0" applyNumberFormat="1" applyFont="1" applyFill="1" applyBorder="1" applyAlignment="1" applyProtection="1">
      <alignment horizontal="center" vertical="center" wrapText="1"/>
    </xf>
    <xf numFmtId="169" fontId="7" fillId="0" borderId="15" xfId="0" applyNumberFormat="1" applyFont="1" applyFill="1" applyBorder="1" applyAlignment="1" applyProtection="1">
      <alignment horizontal="center" vertical="center" wrapText="1"/>
    </xf>
    <xf numFmtId="169" fontId="7" fillId="0" borderId="16" xfId="0" applyNumberFormat="1" applyFont="1" applyFill="1" applyBorder="1" applyAlignment="1" applyProtection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169" fontId="8" fillId="0" borderId="3" xfId="0" applyNumberFormat="1" applyFont="1" applyFill="1" applyBorder="1" applyAlignment="1" applyProtection="1">
      <alignment horizontal="center" vertical="center"/>
    </xf>
    <xf numFmtId="170" fontId="8" fillId="0" borderId="0" xfId="0" applyNumberFormat="1" applyFont="1" applyFill="1" applyBorder="1" applyAlignment="1" applyProtection="1">
      <alignment horizontal="left" vertical="center" wrapText="1"/>
      <protection locked="0"/>
    </xf>
    <xf numFmtId="169" fontId="8" fillId="0" borderId="3" xfId="0" applyNumberFormat="1" applyFont="1" applyFill="1" applyBorder="1" applyAlignment="1" applyProtection="1">
      <alignment horizontal="center" vertical="center" wrapText="1" shrinkToFit="1"/>
    </xf>
    <xf numFmtId="1" fontId="11" fillId="38" borderId="3" xfId="0" applyNumberFormat="1" applyFont="1" applyFill="1" applyBorder="1" applyAlignment="1" applyProtection="1">
      <alignment horizontal="center" vertical="center" wrapText="1"/>
    </xf>
    <xf numFmtId="0" fontId="7" fillId="0" borderId="0" xfId="245" applyFont="1" applyFill="1" applyBorder="1" applyAlignment="1">
      <alignment horizontal="center" vertical="center"/>
    </xf>
    <xf numFmtId="0" fontId="8" fillId="0" borderId="3" xfId="245" applyFont="1" applyFill="1" applyBorder="1" applyAlignment="1">
      <alignment horizontal="center" vertical="center" wrapText="1"/>
    </xf>
    <xf numFmtId="0" fontId="7" fillId="0" borderId="14" xfId="245" applyFont="1" applyFill="1" applyBorder="1" applyAlignment="1">
      <alignment horizontal="center" vertical="center" wrapText="1"/>
    </xf>
    <xf numFmtId="0" fontId="7" fillId="0" borderId="15" xfId="245" applyFont="1" applyFill="1" applyBorder="1" applyAlignment="1">
      <alignment horizontal="center" vertical="center" wrapText="1"/>
    </xf>
    <xf numFmtId="0" fontId="7" fillId="0" borderId="16" xfId="245" applyFont="1" applyFill="1" applyBorder="1" applyAlignment="1">
      <alignment horizontal="center" vertical="center" wrapText="1"/>
    </xf>
    <xf numFmtId="170" fontId="8" fillId="0" borderId="0" xfId="0" quotePrefix="1" applyNumberFormat="1" applyFont="1" applyFill="1" applyBorder="1" applyAlignment="1" applyProtection="1">
      <alignment horizontal="left" vertical="center" wrapText="1"/>
      <protection locked="0"/>
    </xf>
    <xf numFmtId="0" fontId="8" fillId="0" borderId="18" xfId="245" applyFont="1" applyFill="1" applyBorder="1" applyAlignment="1">
      <alignment horizontal="center" vertical="center" wrapText="1"/>
    </xf>
    <xf numFmtId="0" fontId="8" fillId="0" borderId="23" xfId="245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7" fillId="0" borderId="0" xfId="237" applyNumberFormat="1" applyFont="1" applyFill="1" applyBorder="1" applyAlignment="1">
      <alignment horizontal="center" vertical="center" wrapText="1"/>
    </xf>
    <xf numFmtId="0" fontId="8" fillId="0" borderId="18" xfId="237" applyNumberFormat="1" applyFont="1" applyFill="1" applyBorder="1" applyAlignment="1">
      <alignment horizontal="center" vertical="center" wrapText="1"/>
    </xf>
    <xf numFmtId="0" fontId="8" fillId="0" borderId="23" xfId="237" applyNumberFormat="1" applyFont="1" applyFill="1" applyBorder="1" applyAlignment="1">
      <alignment horizontal="center" vertical="center" wrapText="1"/>
    </xf>
    <xf numFmtId="0" fontId="103" fillId="0" borderId="3" xfId="358" applyBorder="1" applyAlignment="1">
      <alignment horizontal="center" vertical="center" wrapText="1"/>
    </xf>
    <xf numFmtId="49" fontId="101" fillId="0" borderId="3" xfId="358" applyNumberFormat="1" applyFont="1" applyBorder="1" applyAlignment="1">
      <alignment horizontal="center" vertical="center" wrapText="1"/>
    </xf>
    <xf numFmtId="0" fontId="101" fillId="0" borderId="14" xfId="358" applyFont="1" applyBorder="1" applyAlignment="1">
      <alignment horizontal="center" vertical="center" wrapText="1"/>
    </xf>
    <xf numFmtId="49" fontId="101" fillId="0" borderId="16" xfId="358" applyNumberFormat="1" applyFont="1" applyBorder="1" applyAlignment="1">
      <alignment horizontal="center" vertical="center" wrapText="1"/>
    </xf>
    <xf numFmtId="0" fontId="101" fillId="0" borderId="3" xfId="358" applyFont="1" applyBorder="1" applyAlignment="1">
      <alignment horizontal="center" vertical="center" wrapText="1"/>
    </xf>
    <xf numFmtId="0" fontId="104" fillId="0" borderId="0" xfId="358" applyFont="1" applyAlignment="1">
      <alignment horizontal="center" vertical="center" wrapText="1"/>
    </xf>
    <xf numFmtId="0" fontId="105" fillId="0" borderId="13" xfId="358" applyFont="1" applyBorder="1" applyAlignment="1">
      <alignment horizontal="center" vertical="center" wrapText="1"/>
    </xf>
    <xf numFmtId="0" fontId="106" fillId="0" borderId="3" xfId="358" applyFont="1" applyBorder="1" applyAlignment="1">
      <alignment horizontal="center" vertical="center" wrapText="1"/>
    </xf>
    <xf numFmtId="0" fontId="107" fillId="0" borderId="3" xfId="358" applyFont="1" applyBorder="1" applyAlignment="1">
      <alignment horizontal="center" vertical="center" wrapText="1"/>
    </xf>
    <xf numFmtId="0" fontId="101" fillId="0" borderId="16" xfId="358" applyFont="1" applyBorder="1" applyAlignment="1">
      <alignment horizontal="center" vertical="center" wrapText="1"/>
    </xf>
    <xf numFmtId="0" fontId="101" fillId="0" borderId="18" xfId="358" applyFont="1" applyBorder="1" applyAlignment="1">
      <alignment horizontal="center" vertical="center" wrapText="1"/>
    </xf>
    <xf numFmtId="0" fontId="101" fillId="0" borderId="33" xfId="358" applyFont="1" applyBorder="1" applyAlignment="1">
      <alignment horizontal="center" vertical="center" wrapText="1"/>
    </xf>
    <xf numFmtId="0" fontId="101" fillId="0" borderId="23" xfId="358" applyFont="1" applyBorder="1" applyAlignment="1">
      <alignment horizontal="center" vertical="center" wrapText="1"/>
    </xf>
    <xf numFmtId="0" fontId="86" fillId="0" borderId="14" xfId="0" applyFont="1" applyBorder="1" applyAlignment="1">
      <alignment horizontal="center" vertical="center"/>
    </xf>
    <xf numFmtId="0" fontId="86" fillId="0" borderId="15" xfId="0" applyFont="1" applyBorder="1" applyAlignment="1">
      <alignment horizontal="center" vertical="center"/>
    </xf>
    <xf numFmtId="0" fontId="86" fillId="0" borderId="16" xfId="0" applyFont="1" applyBorder="1" applyAlignment="1">
      <alignment horizontal="center" vertical="center"/>
    </xf>
    <xf numFmtId="0" fontId="13" fillId="0" borderId="24" xfId="0" applyFont="1" applyBorder="1" applyAlignment="1">
      <alignment horizontal="justify" vertical="top" wrapText="1"/>
    </xf>
    <xf numFmtId="0" fontId="13" fillId="0" borderId="25" xfId="0" applyFont="1" applyBorder="1" applyAlignment="1">
      <alignment horizontal="justify" vertical="top" wrapText="1"/>
    </xf>
    <xf numFmtId="0" fontId="13" fillId="0" borderId="20" xfId="0" applyFont="1" applyBorder="1" applyAlignment="1">
      <alignment horizontal="justify" vertical="top" wrapText="1"/>
    </xf>
    <xf numFmtId="0" fontId="13" fillId="0" borderId="26" xfId="0" applyFont="1" applyBorder="1" applyAlignment="1">
      <alignment horizontal="justify" vertical="top" wrapText="1"/>
    </xf>
    <xf numFmtId="0" fontId="13" fillId="0" borderId="27" xfId="0" applyFont="1" applyBorder="1" applyAlignment="1">
      <alignment horizontal="justify" vertical="top" wrapText="1"/>
    </xf>
    <xf numFmtId="0" fontId="13" fillId="0" borderId="28" xfId="0" applyFont="1" applyBorder="1" applyAlignment="1">
      <alignment horizontal="justify" vertical="top" wrapText="1"/>
    </xf>
    <xf numFmtId="0" fontId="13" fillId="0" borderId="19" xfId="0" applyFont="1" applyBorder="1" applyAlignment="1">
      <alignment horizontal="justify" vertical="top" wrapText="1"/>
    </xf>
    <xf numFmtId="0" fontId="119" fillId="39" borderId="34" xfId="0" applyFont="1" applyFill="1" applyBorder="1" applyAlignment="1">
      <alignment horizontal="center" vertical="center" wrapText="1"/>
    </xf>
    <xf numFmtId="0" fontId="119" fillId="39" borderId="35" xfId="0" applyFont="1" applyFill="1" applyBorder="1" applyAlignment="1">
      <alignment horizontal="center" vertical="center" wrapText="1"/>
    </xf>
    <xf numFmtId="0" fontId="119" fillId="39" borderId="39" xfId="0" applyFont="1" applyFill="1" applyBorder="1" applyAlignment="1">
      <alignment horizontal="center" vertical="center" wrapText="1"/>
    </xf>
    <xf numFmtId="4" fontId="132" fillId="0" borderId="3" xfId="354" applyNumberFormat="1" applyFont="1" applyBorder="1" applyAlignment="1">
      <alignment horizontal="center" vertical="center" wrapText="1"/>
    </xf>
    <xf numFmtId="0" fontId="124" fillId="0" borderId="13" xfId="354" applyFont="1" applyBorder="1" applyAlignment="1">
      <alignment horizontal="center" vertical="center"/>
    </xf>
    <xf numFmtId="0" fontId="132" fillId="0" borderId="3" xfId="354" applyFont="1" applyBorder="1" applyAlignment="1">
      <alignment horizontal="center" vertical="center" wrapText="1"/>
    </xf>
    <xf numFmtId="0" fontId="111" fillId="0" borderId="0" xfId="0" applyFont="1" applyFill="1" applyBorder="1" applyAlignment="1" applyProtection="1">
      <alignment vertical="center"/>
      <protection locked="0"/>
    </xf>
    <xf numFmtId="0" fontId="111" fillId="0" borderId="0" xfId="0" applyFont="1" applyFill="1" applyAlignment="1">
      <alignment vertical="center"/>
    </xf>
    <xf numFmtId="0" fontId="111" fillId="0" borderId="0" xfId="0" applyFont="1" applyFill="1" applyBorder="1" applyAlignment="1">
      <alignment vertical="center"/>
    </xf>
    <xf numFmtId="0" fontId="108" fillId="0" borderId="0" xfId="0" applyFont="1" applyFill="1" applyBorder="1" applyAlignment="1">
      <alignment vertical="center"/>
    </xf>
    <xf numFmtId="178" fontId="111" fillId="0" borderId="0" xfId="0" applyNumberFormat="1" applyFont="1" applyFill="1" applyBorder="1" applyAlignment="1">
      <alignment vertical="center"/>
    </xf>
    <xf numFmtId="185" fontId="111" fillId="0" borderId="0" xfId="0" applyNumberFormat="1" applyFont="1" applyFill="1" applyBorder="1" applyAlignment="1">
      <alignment vertical="center"/>
    </xf>
  </cellXfs>
  <cellStyles count="361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rmal_GSE DCF_Model_31_07_09 final" xfId="182"/>
    <cellStyle name="Note" xfId="183"/>
    <cellStyle name="Number-Cells" xfId="184"/>
    <cellStyle name="Number-Cells-Column2" xfId="185"/>
    <cellStyle name="Number-Cells-Column5" xfId="186"/>
    <cellStyle name="Output" xfId="187"/>
    <cellStyle name="Row-Header" xfId="188"/>
    <cellStyle name="Row-Header 2" xfId="189"/>
    <cellStyle name="Title" xfId="190"/>
    <cellStyle name="Total" xfId="191"/>
    <cellStyle name="Warning Text" xfId="192"/>
    <cellStyle name="Акцент1 2" xfId="193"/>
    <cellStyle name="Акцент1 3" xfId="194"/>
    <cellStyle name="Акцент2 2" xfId="195"/>
    <cellStyle name="Акцент2 3" xfId="196"/>
    <cellStyle name="Акцент3 2" xfId="197"/>
    <cellStyle name="Акцент3 3" xfId="198"/>
    <cellStyle name="Акцент4 2" xfId="199"/>
    <cellStyle name="Акцент4 3" xfId="200"/>
    <cellStyle name="Акцент5 2" xfId="201"/>
    <cellStyle name="Акцент5 3" xfId="202"/>
    <cellStyle name="Акцент6 2" xfId="203"/>
    <cellStyle name="Акцент6 3" xfId="204"/>
    <cellStyle name="Ввод  2" xfId="205"/>
    <cellStyle name="Ввод  3" xfId="206"/>
    <cellStyle name="Вывод 2" xfId="207"/>
    <cellStyle name="Вывод 3" xfId="208"/>
    <cellStyle name="Вычисление 2" xfId="209"/>
    <cellStyle name="Вычисление 3" xfId="210"/>
    <cellStyle name="Денежный 2" xfId="211"/>
    <cellStyle name="Заголовок 1 2" xfId="212"/>
    <cellStyle name="Заголовок 1 3" xfId="213"/>
    <cellStyle name="Заголовок 2 2" xfId="214"/>
    <cellStyle name="Заголовок 2 3" xfId="215"/>
    <cellStyle name="Заголовок 3 2" xfId="216"/>
    <cellStyle name="Заголовок 3 3" xfId="217"/>
    <cellStyle name="Заголовок 4 2" xfId="218"/>
    <cellStyle name="Заголовок 4 3" xfId="219"/>
    <cellStyle name="Звичайний 2" xfId="356"/>
    <cellStyle name="Звичайний 3" xfId="357"/>
    <cellStyle name="Итог 2" xfId="220"/>
    <cellStyle name="Итог 3" xfId="221"/>
    <cellStyle name="Контрольная ячейка 2" xfId="222"/>
    <cellStyle name="Контрольная ячейка 3" xfId="223"/>
    <cellStyle name="Название 2" xfId="224"/>
    <cellStyle name="Название 3" xfId="225"/>
    <cellStyle name="Нейтральный 2" xfId="226"/>
    <cellStyle name="Нейтральный 3" xfId="227"/>
    <cellStyle name="Обычный" xfId="0" builtinId="0"/>
    <cellStyle name="Обычный 10" xfId="228"/>
    <cellStyle name="Обычный 11" xfId="229"/>
    <cellStyle name="Обычный 12" xfId="230"/>
    <cellStyle name="Обычный 13" xfId="231"/>
    <cellStyle name="Обычный 14" xfId="232"/>
    <cellStyle name="Обычный 15" xfId="233"/>
    <cellStyle name="Обычный 16" xfId="234"/>
    <cellStyle name="Обычный 17" xfId="235"/>
    <cellStyle name="Обычный 18" xfId="236"/>
    <cellStyle name="Обычный 19" xfId="354"/>
    <cellStyle name="Обычный 2" xfId="237"/>
    <cellStyle name="Обычный 2 10" xfId="238"/>
    <cellStyle name="Обычный 2 11" xfId="239"/>
    <cellStyle name="Обычный 2 12" xfId="240"/>
    <cellStyle name="Обычный 2 13" xfId="241"/>
    <cellStyle name="Обычный 2 14" xfId="242"/>
    <cellStyle name="Обычный 2 15" xfId="243"/>
    <cellStyle name="Обычный 2 16" xfId="244"/>
    <cellStyle name="Обычный 2 2" xfId="245"/>
    <cellStyle name="Обычный 2 2 2" xfId="246"/>
    <cellStyle name="Обычный 2 2 3" xfId="247"/>
    <cellStyle name="Обычный 2 2_Расшифровка прочих" xfId="248"/>
    <cellStyle name="Обычный 2 3" xfId="249"/>
    <cellStyle name="Обычный 2 4" xfId="250"/>
    <cellStyle name="Обычный 2 5" xfId="251"/>
    <cellStyle name="Обычный 2 6" xfId="252"/>
    <cellStyle name="Обычный 2 7" xfId="253"/>
    <cellStyle name="Обычный 2 8" xfId="254"/>
    <cellStyle name="Обычный 2 9" xfId="255"/>
    <cellStyle name="Обычный 2_2604-2010" xfId="256"/>
    <cellStyle name="Обычный 20" xfId="358"/>
    <cellStyle name="Обычный 3" xfId="257"/>
    <cellStyle name="Обычный 3 10" xfId="258"/>
    <cellStyle name="Обычный 3 11" xfId="259"/>
    <cellStyle name="Обычный 3 12" xfId="260"/>
    <cellStyle name="Обычный 3 13" xfId="261"/>
    <cellStyle name="Обычный 3 14" xfId="262"/>
    <cellStyle name="Обычный 3 2" xfId="263"/>
    <cellStyle name="Обычный 3 3" xfId="264"/>
    <cellStyle name="Обычный 3 4" xfId="265"/>
    <cellStyle name="Обычный 3 5" xfId="266"/>
    <cellStyle name="Обычный 3 6" xfId="267"/>
    <cellStyle name="Обычный 3 7" xfId="268"/>
    <cellStyle name="Обычный 3 8" xfId="269"/>
    <cellStyle name="Обычный 3 9" xfId="270"/>
    <cellStyle name="Обычный 3_Дефицит_7 млрд_0608_бс" xfId="271"/>
    <cellStyle name="Обычный 4" xfId="272"/>
    <cellStyle name="Обычный 5" xfId="273"/>
    <cellStyle name="Обычный 5 2" xfId="274"/>
    <cellStyle name="Обычный 6" xfId="275"/>
    <cellStyle name="Обычный 6 2" xfId="276"/>
    <cellStyle name="Обычный 6 3" xfId="277"/>
    <cellStyle name="Обычный 6 4" xfId="278"/>
    <cellStyle name="Обычный 6_Дефицит_7 млрд_0608_бс" xfId="279"/>
    <cellStyle name="Обычный 7" xfId="280"/>
    <cellStyle name="Обычный 7 2" xfId="281"/>
    <cellStyle name="Обычный 8" xfId="282"/>
    <cellStyle name="Обычный 9" xfId="283"/>
    <cellStyle name="Обычный 9 2" xfId="284"/>
    <cellStyle name="Обычный_I. Фін результат" xfId="360"/>
    <cellStyle name="Плохой 2" xfId="285"/>
    <cellStyle name="Плохой 3" xfId="286"/>
    <cellStyle name="Пояснение 2" xfId="287"/>
    <cellStyle name="Пояснение 3" xfId="288"/>
    <cellStyle name="Примечание 2" xfId="289"/>
    <cellStyle name="Примечание 3" xfId="290"/>
    <cellStyle name="Процентный" xfId="359" builtinId="5"/>
    <cellStyle name="Процентный 2" xfId="291"/>
    <cellStyle name="Процентный 2 10" xfId="292"/>
    <cellStyle name="Процентный 2 11" xfId="293"/>
    <cellStyle name="Процентный 2 12" xfId="294"/>
    <cellStyle name="Процентный 2 13" xfId="295"/>
    <cellStyle name="Процентный 2 14" xfId="296"/>
    <cellStyle name="Процентный 2 15" xfId="297"/>
    <cellStyle name="Процентный 2 16" xfId="298"/>
    <cellStyle name="Процентный 2 2" xfId="299"/>
    <cellStyle name="Процентный 2 3" xfId="300"/>
    <cellStyle name="Процентный 2 4" xfId="301"/>
    <cellStyle name="Процентный 2 5" xfId="302"/>
    <cellStyle name="Процентный 2 6" xfId="303"/>
    <cellStyle name="Процентный 2 7" xfId="304"/>
    <cellStyle name="Процентный 2 8" xfId="305"/>
    <cellStyle name="Процентный 2 9" xfId="306"/>
    <cellStyle name="Процентный 3" xfId="307"/>
    <cellStyle name="Процентный 4" xfId="308"/>
    <cellStyle name="Процентный 4 2" xfId="309"/>
    <cellStyle name="Процентный 5" xfId="355"/>
    <cellStyle name="Связанная ячейка 2" xfId="310"/>
    <cellStyle name="Связанная ячейка 3" xfId="311"/>
    <cellStyle name="Стиль 1" xfId="312"/>
    <cellStyle name="Стиль 1 2" xfId="313"/>
    <cellStyle name="Стиль 1 3" xfId="314"/>
    <cellStyle name="Стиль 1 4" xfId="315"/>
    <cellStyle name="Стиль 1 5" xfId="316"/>
    <cellStyle name="Стиль 1 6" xfId="317"/>
    <cellStyle name="Стиль 1 7" xfId="318"/>
    <cellStyle name="Текст предупреждения 2" xfId="319"/>
    <cellStyle name="Текст предупреждения 3" xfId="320"/>
    <cellStyle name="Тысячи [0]_1.62" xfId="321"/>
    <cellStyle name="Тысячи_1.62" xfId="322"/>
    <cellStyle name="Финансовый" xfId="323" builtinId="3"/>
    <cellStyle name="Финансовый 2" xfId="324"/>
    <cellStyle name="Финансовый 2 10" xfId="325"/>
    <cellStyle name="Финансовый 2 11" xfId="326"/>
    <cellStyle name="Финансовый 2 12" xfId="327"/>
    <cellStyle name="Финансовый 2 13" xfId="328"/>
    <cellStyle name="Финансовый 2 14" xfId="329"/>
    <cellStyle name="Финансовый 2 15" xfId="330"/>
    <cellStyle name="Финансовый 2 16" xfId="331"/>
    <cellStyle name="Финансовый 2 17" xfId="332"/>
    <cellStyle name="Финансовый 2 2" xfId="333"/>
    <cellStyle name="Финансовый 2 3" xfId="334"/>
    <cellStyle name="Финансовый 2 4" xfId="335"/>
    <cellStyle name="Финансовый 2 5" xfId="336"/>
    <cellStyle name="Финансовый 2 6" xfId="337"/>
    <cellStyle name="Финансовый 2 7" xfId="338"/>
    <cellStyle name="Финансовый 2 8" xfId="339"/>
    <cellStyle name="Финансовый 2 9" xfId="340"/>
    <cellStyle name="Финансовый 3" xfId="341"/>
    <cellStyle name="Финансовый 3 2" xfId="342"/>
    <cellStyle name="Финансовый 4" xfId="343"/>
    <cellStyle name="Финансовый 4 2" xfId="344"/>
    <cellStyle name="Финансовый 4 3" xfId="345"/>
    <cellStyle name="Финансовый 5" xfId="346"/>
    <cellStyle name="Финансовый 6" xfId="347"/>
    <cellStyle name="Финансовый 7" xfId="348"/>
    <cellStyle name="Хороший 2" xfId="349"/>
    <cellStyle name="Хороший 3" xfId="350"/>
    <cellStyle name="числовой" xfId="351"/>
    <cellStyle name="Ю" xfId="352"/>
    <cellStyle name="Ю-FreeSet_10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9" Type="http://schemas.openxmlformats.org/officeDocument/2006/relationships/externalLink" Target="externalLinks/externalLink23.xml"/><Relationship Id="rId21" Type="http://schemas.openxmlformats.org/officeDocument/2006/relationships/externalLink" Target="externalLinks/externalLink5.xml"/><Relationship Id="rId34" Type="http://schemas.openxmlformats.org/officeDocument/2006/relationships/externalLink" Target="externalLinks/externalLink18.xml"/><Relationship Id="rId42" Type="http://schemas.openxmlformats.org/officeDocument/2006/relationships/externalLink" Target="externalLinks/externalLink26.xml"/><Relationship Id="rId47" Type="http://schemas.openxmlformats.org/officeDocument/2006/relationships/externalLink" Target="externalLinks/externalLink31.xml"/><Relationship Id="rId50" Type="http://schemas.openxmlformats.org/officeDocument/2006/relationships/externalLink" Target="externalLinks/externalLink34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externalLink" Target="externalLinks/externalLink17.xml"/><Relationship Id="rId38" Type="http://schemas.openxmlformats.org/officeDocument/2006/relationships/externalLink" Target="externalLinks/externalLink22.xml"/><Relationship Id="rId46" Type="http://schemas.openxmlformats.org/officeDocument/2006/relationships/externalLink" Target="externalLinks/externalLink30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25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externalLink" Target="externalLinks/externalLink16.xml"/><Relationship Id="rId37" Type="http://schemas.openxmlformats.org/officeDocument/2006/relationships/externalLink" Target="externalLinks/externalLink21.xml"/><Relationship Id="rId40" Type="http://schemas.openxmlformats.org/officeDocument/2006/relationships/externalLink" Target="externalLinks/externalLink24.xml"/><Relationship Id="rId45" Type="http://schemas.openxmlformats.org/officeDocument/2006/relationships/externalLink" Target="externalLinks/externalLink29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36" Type="http://schemas.openxmlformats.org/officeDocument/2006/relationships/externalLink" Target="externalLinks/externalLink20.xml"/><Relationship Id="rId49" Type="http://schemas.openxmlformats.org/officeDocument/2006/relationships/externalLink" Target="externalLinks/externalLink3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externalLink" Target="externalLinks/externalLink15.xml"/><Relationship Id="rId44" Type="http://schemas.openxmlformats.org/officeDocument/2006/relationships/externalLink" Target="externalLinks/externalLink28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4.xml"/><Relationship Id="rId35" Type="http://schemas.openxmlformats.org/officeDocument/2006/relationships/externalLink" Target="externalLinks/externalLink19.xml"/><Relationship Id="rId43" Type="http://schemas.openxmlformats.org/officeDocument/2006/relationships/externalLink" Target="externalLinks/externalLink27.xml"/><Relationship Id="rId48" Type="http://schemas.openxmlformats.org/officeDocument/2006/relationships/externalLink" Target="externalLinks/externalLink32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5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Лист1"/>
      <sheetName val="МТР все 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Лист1"/>
      <sheetName val="ТРП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_Структура по елементах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H236"/>
  <sheetViews>
    <sheetView windowProtection="1" topLeftCell="AD123" zoomScale="77" zoomScaleNormal="77" workbookViewId="0">
      <selection activeCell="I68" sqref="I68"/>
    </sheetView>
  </sheetViews>
  <sheetFormatPr defaultRowHeight="15"/>
  <cols>
    <col min="1" max="1" width="48.140625" style="663" customWidth="1"/>
    <col min="2" max="2" width="10" style="663" customWidth="1"/>
    <col min="3" max="3" width="14" style="663" customWidth="1"/>
    <col min="4" max="4" width="8.85546875" style="662" customWidth="1"/>
    <col min="5" max="5" width="2.140625" style="662" customWidth="1"/>
    <col min="6" max="6" width="6.28515625" style="662" customWidth="1"/>
    <col min="7" max="7" width="7.85546875" style="662" customWidth="1"/>
    <col min="8" max="8" width="16.140625" style="662" hidden="1" customWidth="1"/>
    <col min="9" max="9" width="16.140625" style="662" customWidth="1"/>
    <col min="10" max="10" width="50.28515625" style="662" customWidth="1"/>
    <col min="11" max="11" width="13.85546875" style="798" customWidth="1"/>
    <col min="12" max="12" width="16.28515625" style="803" customWidth="1"/>
    <col min="13" max="13" width="9.140625" style="662" customWidth="1"/>
    <col min="14" max="14" width="14" style="803" customWidth="1"/>
    <col min="15" max="15" width="9.140625" style="662" customWidth="1"/>
    <col min="16" max="16" width="13.5703125" style="803" customWidth="1"/>
    <col min="17" max="17" width="12.28515625" style="662" customWidth="1"/>
    <col min="18" max="18" width="13.140625" style="806" customWidth="1"/>
    <col min="19" max="19" width="13.140625" style="663" customWidth="1"/>
    <col min="20" max="20" width="14.5703125" style="663" customWidth="1"/>
    <col min="21" max="23" width="15.85546875" style="659" customWidth="1"/>
    <col min="24" max="24" width="15.7109375" style="659" customWidth="1"/>
    <col min="25" max="25" width="13.28515625" style="660" customWidth="1"/>
    <col min="26" max="26" width="14.7109375" style="660" customWidth="1"/>
    <col min="27" max="29" width="16" style="659" customWidth="1"/>
    <col min="30" max="30" width="14.7109375" style="680" customWidth="1"/>
    <col min="31" max="31" width="14.140625" style="660" customWidth="1"/>
    <col min="32" max="33" width="14.140625" style="659" customWidth="1"/>
    <col min="34" max="34" width="13.7109375" style="659" customWidth="1"/>
    <col min="35" max="36" width="13.7109375" style="660" customWidth="1"/>
    <col min="37" max="38" width="13.7109375" style="659" customWidth="1"/>
    <col min="39" max="39" width="6.140625" style="661" customWidth="1"/>
    <col min="40" max="40" width="11.140625" style="662" customWidth="1"/>
    <col min="41" max="44" width="16.140625" style="680" customWidth="1"/>
    <col min="45" max="46" width="15.85546875" style="804" customWidth="1"/>
    <col min="47" max="47" width="14.85546875" style="804" customWidth="1"/>
    <col min="48" max="48" width="15.42578125" style="804" customWidth="1"/>
    <col min="49" max="53" width="16.28515625" style="805" customWidth="1"/>
    <col min="54" max="56" width="14.5703125" style="663" customWidth="1"/>
    <col min="57" max="57" width="18.28515625" style="663" customWidth="1"/>
    <col min="58" max="60" width="9.140625" style="663"/>
    <col min="61" max="16384" width="9.140625" style="308"/>
  </cols>
  <sheetData>
    <row r="1" spans="1:60" ht="69.75" customHeight="1" thickBot="1">
      <c r="A1" s="651"/>
      <c r="B1" s="651"/>
      <c r="C1" s="651"/>
      <c r="D1" s="652"/>
      <c r="E1" s="652"/>
      <c r="F1" s="652"/>
      <c r="G1" s="652"/>
      <c r="H1" s="652"/>
      <c r="I1" s="969" t="s">
        <v>1151</v>
      </c>
      <c r="J1" s="652">
        <v>1993</v>
      </c>
      <c r="K1" s="656"/>
      <c r="L1" s="654">
        <f>J1/12</f>
        <v>166.08333333333334</v>
      </c>
      <c r="M1" s="956" t="s">
        <v>734</v>
      </c>
      <c r="N1" s="957"/>
      <c r="O1" s="957"/>
      <c r="P1" s="958"/>
      <c r="Q1" s="652"/>
      <c r="R1" s="657"/>
      <c r="S1" s="658"/>
      <c r="T1" s="658"/>
      <c r="U1" s="659" t="s">
        <v>731</v>
      </c>
      <c r="X1" s="681">
        <v>1921</v>
      </c>
      <c r="Y1" s="682">
        <v>1921</v>
      </c>
      <c r="Z1" s="682">
        <f>Y1/X1</f>
        <v>1</v>
      </c>
      <c r="AD1" s="682">
        <v>2007</v>
      </c>
      <c r="AE1" s="682">
        <f>ROUND(AD1/Y1,2)</f>
        <v>1.04</v>
      </c>
      <c r="AH1" s="659">
        <v>2102</v>
      </c>
      <c r="AI1" s="682">
        <f>ROUND((AD1*2+AH1)/3,2)</f>
        <v>2038.67</v>
      </c>
      <c r="AJ1" s="682">
        <f>ROUND(AI1/AD1,3)</f>
        <v>1.016</v>
      </c>
      <c r="AO1" s="971" t="s">
        <v>735</v>
      </c>
      <c r="AP1" s="971"/>
      <c r="AQ1" s="971"/>
      <c r="AR1" s="971"/>
      <c r="AS1" s="972" t="s">
        <v>736</v>
      </c>
      <c r="AT1" s="972"/>
      <c r="AU1" s="972"/>
      <c r="AV1" s="972"/>
      <c r="AW1" s="973" t="s">
        <v>737</v>
      </c>
      <c r="AX1" s="973"/>
      <c r="AY1" s="973"/>
      <c r="AZ1" s="973"/>
      <c r="BA1" s="828"/>
      <c r="BB1" s="663">
        <f>X1*6+AD1*5+AH1</f>
        <v>23663</v>
      </c>
      <c r="BC1" s="663">
        <f>BB1/12</f>
        <v>1971.9166666666667</v>
      </c>
    </row>
    <row r="2" spans="1:60" ht="77.25" customHeight="1">
      <c r="A2" s="651" t="s">
        <v>518</v>
      </c>
      <c r="B2" s="651"/>
      <c r="C2" s="651"/>
      <c r="D2" s="652" t="s">
        <v>738</v>
      </c>
      <c r="E2" s="652" t="s">
        <v>739</v>
      </c>
      <c r="F2" s="652" t="s">
        <v>740</v>
      </c>
      <c r="G2" s="652" t="s">
        <v>519</v>
      </c>
      <c r="H2" s="652" t="s">
        <v>741</v>
      </c>
      <c r="I2" s="970"/>
      <c r="J2" s="652" t="s">
        <v>742</v>
      </c>
      <c r="K2" s="656" t="s">
        <v>521</v>
      </c>
      <c r="L2" s="654" t="s">
        <v>521</v>
      </c>
      <c r="M2" s="652" t="s">
        <v>522</v>
      </c>
      <c r="N2" s="654" t="s">
        <v>523</v>
      </c>
      <c r="O2" s="652" t="s">
        <v>524</v>
      </c>
      <c r="P2" s="654" t="s">
        <v>525</v>
      </c>
      <c r="Q2" s="652" t="s">
        <v>1113</v>
      </c>
      <c r="R2" s="664" t="s">
        <v>1112</v>
      </c>
      <c r="S2" s="665"/>
      <c r="T2" s="665"/>
      <c r="U2" s="666" t="s">
        <v>1117</v>
      </c>
      <c r="V2" s="666" t="s">
        <v>1110</v>
      </c>
      <c r="W2" s="666" t="s">
        <v>1111</v>
      </c>
      <c r="X2" s="666" t="s">
        <v>1118</v>
      </c>
      <c r="Y2" s="667" t="s">
        <v>521</v>
      </c>
      <c r="Z2" s="667" t="s">
        <v>1114</v>
      </c>
      <c r="AA2" s="666" t="s">
        <v>1115</v>
      </c>
      <c r="AB2" s="666" t="s">
        <v>1116</v>
      </c>
      <c r="AC2" s="666" t="s">
        <v>1119</v>
      </c>
      <c r="AD2" s="667" t="s">
        <v>521</v>
      </c>
      <c r="AE2" s="667" t="s">
        <v>1114</v>
      </c>
      <c r="AF2" s="666" t="s">
        <v>1115</v>
      </c>
      <c r="AG2" s="668" t="s">
        <v>1116</v>
      </c>
      <c r="AH2" s="666" t="s">
        <v>747</v>
      </c>
      <c r="AI2" s="667" t="s">
        <v>521</v>
      </c>
      <c r="AJ2" s="667" t="s">
        <v>1114</v>
      </c>
      <c r="AK2" s="666" t="s">
        <v>1115</v>
      </c>
      <c r="AL2" s="666" t="s">
        <v>1116</v>
      </c>
      <c r="AM2" s="661">
        <v>0.04</v>
      </c>
      <c r="AN2" s="669" t="s">
        <v>748</v>
      </c>
      <c r="AO2" s="670" t="s">
        <v>749</v>
      </c>
      <c r="AP2" s="670" t="s">
        <v>750</v>
      </c>
      <c r="AQ2" s="670" t="s">
        <v>751</v>
      </c>
      <c r="AR2" s="670" t="s">
        <v>752</v>
      </c>
      <c r="AS2" s="671" t="s">
        <v>749</v>
      </c>
      <c r="AT2" s="671" t="s">
        <v>750</v>
      </c>
      <c r="AU2" s="671" t="s">
        <v>751</v>
      </c>
      <c r="AV2" s="671" t="s">
        <v>752</v>
      </c>
      <c r="AW2" s="672" t="s">
        <v>749</v>
      </c>
      <c r="AX2" s="673" t="s">
        <v>750</v>
      </c>
      <c r="AY2" s="673" t="s">
        <v>751</v>
      </c>
      <c r="AZ2" s="674" t="s">
        <v>752</v>
      </c>
      <c r="BA2" s="800"/>
      <c r="BB2" s="663" t="s">
        <v>956</v>
      </c>
      <c r="BC2" s="663" t="s">
        <v>1120</v>
      </c>
      <c r="BD2" s="663" t="s">
        <v>1121</v>
      </c>
      <c r="BE2" s="663" t="s">
        <v>957</v>
      </c>
    </row>
    <row r="3" spans="1:60" ht="15.75">
      <c r="A3" s="675">
        <v>1</v>
      </c>
      <c r="B3" s="675"/>
      <c r="C3" s="675"/>
      <c r="D3" s="676">
        <v>2</v>
      </c>
      <c r="E3" s="676">
        <v>3</v>
      </c>
      <c r="F3" s="676">
        <v>4</v>
      </c>
      <c r="G3" s="676">
        <v>5</v>
      </c>
      <c r="H3" s="676">
        <v>6</v>
      </c>
      <c r="I3" s="676"/>
      <c r="J3" s="676">
        <v>7</v>
      </c>
      <c r="K3" s="678">
        <v>8</v>
      </c>
      <c r="L3" s="677"/>
      <c r="M3" s="676">
        <v>9</v>
      </c>
      <c r="N3" s="677">
        <v>10</v>
      </c>
      <c r="O3" s="676">
        <v>11</v>
      </c>
      <c r="P3" s="677">
        <v>12</v>
      </c>
      <c r="Q3" s="676">
        <v>13</v>
      </c>
      <c r="R3" s="679">
        <v>14</v>
      </c>
      <c r="S3" s="658"/>
      <c r="T3" s="658"/>
      <c r="AD3" s="680">
        <v>14</v>
      </c>
      <c r="AG3" s="659">
        <v>14</v>
      </c>
      <c r="AH3" s="681"/>
      <c r="AI3" s="682"/>
      <c r="AJ3" s="682"/>
      <c r="AK3" s="681"/>
      <c r="AL3" s="681"/>
      <c r="AO3" s="670"/>
      <c r="AP3" s="670"/>
      <c r="AQ3" s="670"/>
      <c r="AR3" s="670"/>
      <c r="AS3" s="671"/>
      <c r="AT3" s="671"/>
      <c r="AU3" s="671"/>
      <c r="AV3" s="671"/>
      <c r="AW3" s="683"/>
      <c r="AX3" s="684"/>
      <c r="AY3" s="684"/>
      <c r="AZ3" s="685"/>
      <c r="BA3" s="828"/>
    </row>
    <row r="4" spans="1:60" s="401" customFormat="1" ht="21" hidden="1" customHeight="1">
      <c r="A4" s="686" t="s">
        <v>753</v>
      </c>
      <c r="B4" s="686" t="s">
        <v>754</v>
      </c>
      <c r="C4" s="686" t="s">
        <v>755</v>
      </c>
      <c r="D4" s="686">
        <v>8332</v>
      </c>
      <c r="E4" s="686"/>
      <c r="F4" s="686"/>
      <c r="G4" s="686">
        <v>1</v>
      </c>
      <c r="H4" s="686">
        <v>1</v>
      </c>
      <c r="I4" s="686"/>
      <c r="J4" s="687">
        <v>26.72</v>
      </c>
      <c r="K4" s="687">
        <f>J4*166.08</f>
        <v>4437.6576000000005</v>
      </c>
      <c r="L4" s="687">
        <f>ROUND(J4*$L$1,2)</f>
        <v>4437.75</v>
      </c>
      <c r="M4" s="686">
        <v>47</v>
      </c>
      <c r="N4" s="688">
        <f>ROUND(L4*M4/100,2)</f>
        <v>2085.7399999999998</v>
      </c>
      <c r="O4" s="686">
        <v>70</v>
      </c>
      <c r="P4" s="687">
        <f>ROUND(L4*O4/100,2)</f>
        <v>3106.43</v>
      </c>
      <c r="Q4" s="689">
        <f>ROUND(L4+N4+P4,2)</f>
        <v>9629.92</v>
      </c>
      <c r="R4" s="686">
        <f>ROUND(G4*Q4,2)</f>
        <v>9629.92</v>
      </c>
      <c r="S4" s="686">
        <f>P4*G4</f>
        <v>3106.43</v>
      </c>
      <c r="T4" s="690">
        <f>K4/J4</f>
        <v>166.08</v>
      </c>
      <c r="U4" s="671">
        <f>ROUND(V4+W4,2)</f>
        <v>28889.759999999998</v>
      </c>
      <c r="V4" s="671">
        <f>ROUND(G4*L4*3,2)</f>
        <v>13313.25</v>
      </c>
      <c r="W4" s="671">
        <f>ROUND(G4*3*(N4+P4),2)</f>
        <v>15576.51</v>
      </c>
      <c r="X4" s="671">
        <f>AA4+AB4</f>
        <v>28889.760000000002</v>
      </c>
      <c r="Y4" s="691">
        <f>L4*Z4</f>
        <v>4437.75</v>
      </c>
      <c r="Z4" s="691">
        <v>1</v>
      </c>
      <c r="AA4" s="671">
        <f>V4*Z4</f>
        <v>13313.25</v>
      </c>
      <c r="AB4" s="671">
        <f>W4*Z4</f>
        <v>15576.51</v>
      </c>
      <c r="AC4" s="671">
        <f>ROUND(AF4+AG4,2)</f>
        <v>30045.35</v>
      </c>
      <c r="AD4" s="689">
        <f>ROUND(Y4*AE4,2)</f>
        <v>4615.26</v>
      </c>
      <c r="AE4" s="691">
        <f>AE1</f>
        <v>1.04</v>
      </c>
      <c r="AF4" s="671">
        <f>ROUND(AA4*AE4,2)</f>
        <v>13845.78</v>
      </c>
      <c r="AG4" s="692">
        <f>ROUND(AB4*AE4,2)</f>
        <v>16199.57</v>
      </c>
      <c r="AH4" s="671">
        <f>ROUND(AK4+AL4,2)</f>
        <v>30526.07</v>
      </c>
      <c r="AI4" s="691">
        <f>ROUND(AD4*AJ4,2)</f>
        <v>4689.1000000000004</v>
      </c>
      <c r="AJ4" s="691">
        <f>AJ1</f>
        <v>1.016</v>
      </c>
      <c r="AK4" s="671">
        <f>ROUND(AJ4*AF4,2)</f>
        <v>14067.31</v>
      </c>
      <c r="AL4" s="671">
        <f>ROUND(AJ4*AG4,2)</f>
        <v>16458.759999999998</v>
      </c>
      <c r="AM4" s="693">
        <v>0.04</v>
      </c>
      <c r="AN4" s="694">
        <f t="shared" ref="AN4:AN35" si="0">G4*AM4</f>
        <v>0.04</v>
      </c>
      <c r="AO4" s="691">
        <f>ROUND(U4/G4*AN4,2)</f>
        <v>1155.5899999999999</v>
      </c>
      <c r="AP4" s="691">
        <f>ROUND(X4/G4*AN4,2)</f>
        <v>1155.5899999999999</v>
      </c>
      <c r="AQ4" s="691">
        <f>ROUND(AC4/G4*AN4,2)</f>
        <v>1201.81</v>
      </c>
      <c r="AR4" s="691">
        <f>ROUND(AH4/G4*AN4,2)</f>
        <v>1221.04</v>
      </c>
      <c r="AS4" s="671">
        <f>U4-AO4</f>
        <v>27734.17</v>
      </c>
      <c r="AT4" s="671">
        <f>X4-AP4</f>
        <v>27734.170000000002</v>
      </c>
      <c r="AU4" s="671">
        <f>AC4-AQ4</f>
        <v>28843.539999999997</v>
      </c>
      <c r="AV4" s="671">
        <f>AH4-AR4</f>
        <v>29305.03</v>
      </c>
      <c r="AW4" s="695">
        <f>ROUND(AO4*BG4+AS4*BH4,2)</f>
        <v>6198.7</v>
      </c>
      <c r="AX4" s="696">
        <f>ROUND(AP4*BG4+AT4*BH4,2)</f>
        <v>6198.7</v>
      </c>
      <c r="AY4" s="696">
        <f>ROUND(AQ4*BG4+AU4*BH4,2)</f>
        <v>6446.65</v>
      </c>
      <c r="AZ4" s="697">
        <f>ROUND(AR4*BG4+AV4*BH4,2)</f>
        <v>6549.8</v>
      </c>
      <c r="BA4" s="832"/>
      <c r="BB4" s="698">
        <f>ROUND(U4+X4+AC4+AH4,2)</f>
        <v>118350.94</v>
      </c>
      <c r="BC4" s="694">
        <f>ROUND(V4+AF4+AK4+AA4,2)</f>
        <v>54539.59</v>
      </c>
      <c r="BD4" s="694">
        <f>ROUND(W4+AG4+AL4+AB4,2)</f>
        <v>63811.35</v>
      </c>
      <c r="BE4" s="694">
        <f t="shared" ref="BE4:BE35" si="1">BB4/12/G4</f>
        <v>9862.5783333333329</v>
      </c>
      <c r="BF4" s="694"/>
      <c r="BG4" s="699">
        <v>8.4099999999999994E-2</v>
      </c>
      <c r="BH4" s="700">
        <v>0.22</v>
      </c>
    </row>
    <row r="5" spans="1:60" ht="21" customHeight="1">
      <c r="A5" s="651" t="s">
        <v>642</v>
      </c>
      <c r="B5" s="651" t="s">
        <v>754</v>
      </c>
      <c r="C5" s="651" t="s">
        <v>755</v>
      </c>
      <c r="D5" s="652">
        <v>8332</v>
      </c>
      <c r="E5" s="652"/>
      <c r="F5" s="652">
        <f>ROUND(J4*166.03,2)</f>
        <v>4436.32</v>
      </c>
      <c r="G5" s="652">
        <v>11</v>
      </c>
      <c r="H5" s="652">
        <v>1</v>
      </c>
      <c r="I5" s="652">
        <v>5</v>
      </c>
      <c r="J5" s="654">
        <v>26.72</v>
      </c>
      <c r="K5" s="654">
        <v>4438.13</v>
      </c>
      <c r="L5" s="687">
        <f t="shared" ref="L5:L68" si="2">ROUND(J5*$L$1,2)</f>
        <v>4437.75</v>
      </c>
      <c r="M5" s="652">
        <v>12</v>
      </c>
      <c r="N5" s="688">
        <f>ROUND(L5*M5/100,2)</f>
        <v>532.53</v>
      </c>
      <c r="O5" s="652">
        <v>70</v>
      </c>
      <c r="P5" s="687">
        <f>ROUND(L5*O5/100,2)</f>
        <v>3106.43</v>
      </c>
      <c r="Q5" s="689">
        <f t="shared" ref="Q5:Q68" si="3">ROUND(L5+N5+P5,2)</f>
        <v>8076.71</v>
      </c>
      <c r="R5" s="686">
        <f t="shared" ref="R5:R68" si="4">ROUND(G5*Q5,2)</f>
        <v>88843.81</v>
      </c>
      <c r="S5" s="651">
        <f t="shared" ref="S5:S79" si="5">P5*G5</f>
        <v>34170.729999999996</v>
      </c>
      <c r="T5" s="701">
        <f>K5/J5</f>
        <v>166.09767964071858</v>
      </c>
      <c r="U5" s="671">
        <f t="shared" ref="U5:U68" si="6">ROUND(V5+W5,2)</f>
        <v>266531.43</v>
      </c>
      <c r="V5" s="671">
        <f t="shared" ref="V5:V68" si="7">ROUND(G5*L5*3,2)</f>
        <v>146445.75</v>
      </c>
      <c r="W5" s="671">
        <f t="shared" ref="W5:W68" si="8">ROUND(G5*3*(N5+P5),2)</f>
        <v>120085.68</v>
      </c>
      <c r="X5" s="671">
        <f t="shared" ref="X5:X68" si="9">AA5+AB5</f>
        <v>266531.43</v>
      </c>
      <c r="Y5" s="691">
        <f t="shared" ref="Y5:Y68" si="10">L5*Z5</f>
        <v>4437.75</v>
      </c>
      <c r="Z5" s="691">
        <v>1</v>
      </c>
      <c r="AA5" s="671">
        <f t="shared" ref="AA5:AA68" si="11">V5*Z5</f>
        <v>146445.75</v>
      </c>
      <c r="AB5" s="671">
        <f t="shared" ref="AB5:AB68" si="12">W5*Z5</f>
        <v>120085.68</v>
      </c>
      <c r="AC5" s="671">
        <f t="shared" ref="AC5:AC68" si="13">ROUND(AF5+AG5,2)</f>
        <v>277192.69</v>
      </c>
      <c r="AD5" s="689">
        <f t="shared" ref="AD5:AD68" si="14">ROUND(Y5*AE5,2)</f>
        <v>4615.26</v>
      </c>
      <c r="AE5" s="691">
        <f>AE4</f>
        <v>1.04</v>
      </c>
      <c r="AF5" s="671">
        <f t="shared" ref="AF5:AF68" si="15">ROUND(AA5*AE5,2)</f>
        <v>152303.57999999999</v>
      </c>
      <c r="AG5" s="692">
        <f t="shared" ref="AG5:AG68" si="16">ROUND(AB5*AE5,2)</f>
        <v>124889.11</v>
      </c>
      <c r="AH5" s="671">
        <f t="shared" ref="AH5:AH68" si="17">ROUND(AK5+AL5,2)</f>
        <v>281627.78000000003</v>
      </c>
      <c r="AI5" s="691">
        <f t="shared" ref="AI5:AI68" si="18">ROUND(AD5*AJ5,2)</f>
        <v>4689.1000000000004</v>
      </c>
      <c r="AJ5" s="691">
        <f>AJ4</f>
        <v>1.016</v>
      </c>
      <c r="AK5" s="671">
        <f t="shared" ref="AK5:AK68" si="19">ROUND(AJ5*AF5,2)</f>
        <v>154740.44</v>
      </c>
      <c r="AL5" s="671">
        <f t="shared" ref="AL5:AL68" si="20">ROUND(AJ5*AG5,2)</f>
        <v>126887.34</v>
      </c>
      <c r="AM5" s="661">
        <v>0.04</v>
      </c>
      <c r="AN5" s="662">
        <f t="shared" si="0"/>
        <v>0.44</v>
      </c>
      <c r="AO5" s="691">
        <f t="shared" ref="AO5:AO68" si="21">ROUND(U5/G5*AN5,2)</f>
        <v>10661.26</v>
      </c>
      <c r="AP5" s="691">
        <f t="shared" ref="AP5:AP68" si="22">ROUND(X5/G5*AN5,2)</f>
        <v>10661.26</v>
      </c>
      <c r="AQ5" s="691">
        <f t="shared" ref="AQ5:AQ68" si="23">ROUND(AC5/G5*AN5,2)</f>
        <v>11087.71</v>
      </c>
      <c r="AR5" s="691">
        <f t="shared" ref="AR5:AR68" si="24">ROUND(AH5/G5*AN5,2)</f>
        <v>11265.11</v>
      </c>
      <c r="AS5" s="671">
        <f t="shared" ref="AS5:AS68" si="25">U5-AO5</f>
        <v>255870.16999999998</v>
      </c>
      <c r="AT5" s="671">
        <f t="shared" ref="AT5:AT68" si="26">X5-AP5</f>
        <v>255870.16999999998</v>
      </c>
      <c r="AU5" s="671">
        <f t="shared" ref="AU5:AU68" si="27">AC5-AQ5</f>
        <v>266104.98</v>
      </c>
      <c r="AV5" s="671">
        <f t="shared" ref="AV5:AV68" si="28">AH5-AR5</f>
        <v>270362.67000000004</v>
      </c>
      <c r="AW5" s="695">
        <f>ROUND(AO5*BG5+AS5*BH5,2)</f>
        <v>57188.05</v>
      </c>
      <c r="AX5" s="696">
        <f t="shared" ref="AX5:AX68" si="29">ROUND(AP5*BG5+AT5*BH5,2)</f>
        <v>57188.05</v>
      </c>
      <c r="AY5" s="696">
        <f t="shared" ref="AY5:AY68" si="30">ROUND(AQ5*BG5+AU5*BH5,2)</f>
        <v>59475.57</v>
      </c>
      <c r="AZ5" s="697">
        <f t="shared" ref="AZ5:AZ68" si="31">ROUND(AR5*BG5+AV5*BH5,2)</f>
        <v>60427.18</v>
      </c>
      <c r="BA5" s="832">
        <f>(U5+X5+AC5/120*140+AH5/120*140)/G5*I5</f>
        <v>538645.48863636353</v>
      </c>
      <c r="BB5" s="663">
        <f t="shared" ref="BB5:BB36" si="32">U5+X5+AE5+AH5</f>
        <v>814691.68</v>
      </c>
      <c r="BC5" s="694">
        <f t="shared" ref="BC5:BC68" si="33">ROUND(V5+AF5+AK5+AA5,2)</f>
        <v>599935.52</v>
      </c>
      <c r="BD5" s="694">
        <f t="shared" ref="BD5:BD68" si="34">ROUND(W5+AG5+AL5+AB5,2)</f>
        <v>491947.81</v>
      </c>
      <c r="BE5" s="663">
        <f t="shared" si="1"/>
        <v>6171.9066666666677</v>
      </c>
      <c r="BG5" s="699">
        <v>8.4099999999999994E-2</v>
      </c>
      <c r="BH5" s="700">
        <v>0.22</v>
      </c>
    </row>
    <row r="6" spans="1:60" ht="21" hidden="1" customHeight="1">
      <c r="A6" s="651" t="s">
        <v>756</v>
      </c>
      <c r="B6" s="651" t="s">
        <v>754</v>
      </c>
      <c r="C6" s="651" t="s">
        <v>755</v>
      </c>
      <c r="D6" s="652">
        <v>8332</v>
      </c>
      <c r="E6" s="652"/>
      <c r="F6" s="652"/>
      <c r="G6" s="652">
        <v>1</v>
      </c>
      <c r="H6" s="652">
        <v>1</v>
      </c>
      <c r="I6" s="652"/>
      <c r="J6" s="654">
        <v>26.72</v>
      </c>
      <c r="K6" s="654">
        <v>4438.13</v>
      </c>
      <c r="L6" s="687">
        <f t="shared" si="2"/>
        <v>4437.75</v>
      </c>
      <c r="M6" s="652">
        <v>47</v>
      </c>
      <c r="N6" s="688">
        <f>ROUND(L6*M6/100,2)</f>
        <v>2085.7399999999998</v>
      </c>
      <c r="O6" s="652">
        <v>70</v>
      </c>
      <c r="P6" s="687">
        <f t="shared" ref="P6:P69" si="35">ROUND(L6*O6/100,2)</f>
        <v>3106.43</v>
      </c>
      <c r="Q6" s="689">
        <f t="shared" si="3"/>
        <v>9629.92</v>
      </c>
      <c r="R6" s="686">
        <f t="shared" si="4"/>
        <v>9629.92</v>
      </c>
      <c r="S6" s="651">
        <f t="shared" si="5"/>
        <v>3106.43</v>
      </c>
      <c r="T6" s="651"/>
      <c r="U6" s="671">
        <f t="shared" si="6"/>
        <v>28889.759999999998</v>
      </c>
      <c r="V6" s="671">
        <f t="shared" si="7"/>
        <v>13313.25</v>
      </c>
      <c r="W6" s="671">
        <f t="shared" si="8"/>
        <v>15576.51</v>
      </c>
      <c r="X6" s="671">
        <f t="shared" si="9"/>
        <v>28889.760000000002</v>
      </c>
      <c r="Y6" s="691">
        <f t="shared" si="10"/>
        <v>4437.75</v>
      </c>
      <c r="Z6" s="691">
        <v>1</v>
      </c>
      <c r="AA6" s="671">
        <f>V6*Z6</f>
        <v>13313.25</v>
      </c>
      <c r="AB6" s="671">
        <f t="shared" si="12"/>
        <v>15576.51</v>
      </c>
      <c r="AC6" s="671">
        <f>ROUND(AF6+AG6,2)</f>
        <v>30045.35</v>
      </c>
      <c r="AD6" s="689">
        <f>ROUND(Y6*AE6,2)</f>
        <v>4615.26</v>
      </c>
      <c r="AE6" s="691">
        <f t="shared" ref="AE6:AE69" si="36">AE5</f>
        <v>1.04</v>
      </c>
      <c r="AF6" s="671">
        <f>ROUND(AA6*AE6,2)</f>
        <v>13845.78</v>
      </c>
      <c r="AG6" s="692">
        <f t="shared" si="16"/>
        <v>16199.57</v>
      </c>
      <c r="AH6" s="671">
        <f>ROUND(AK6+AL6,2)</f>
        <v>30526.07</v>
      </c>
      <c r="AI6" s="691">
        <f>ROUND(AD6*AJ6,2)</f>
        <v>4689.1000000000004</v>
      </c>
      <c r="AJ6" s="691">
        <f t="shared" ref="AJ6:AJ69" si="37">AJ5</f>
        <v>1.016</v>
      </c>
      <c r="AK6" s="671">
        <f>ROUND(AJ6*AF6,2)</f>
        <v>14067.31</v>
      </c>
      <c r="AL6" s="671">
        <f>ROUND(AJ6*AG6,2)</f>
        <v>16458.759999999998</v>
      </c>
      <c r="AM6" s="661">
        <v>0.04</v>
      </c>
      <c r="AN6" s="662">
        <f t="shared" si="0"/>
        <v>0.04</v>
      </c>
      <c r="AO6" s="691">
        <f t="shared" si="21"/>
        <v>1155.5899999999999</v>
      </c>
      <c r="AP6" s="691">
        <f t="shared" si="22"/>
        <v>1155.5899999999999</v>
      </c>
      <c r="AQ6" s="691">
        <f t="shared" si="23"/>
        <v>1201.81</v>
      </c>
      <c r="AR6" s="691">
        <f t="shared" si="24"/>
        <v>1221.04</v>
      </c>
      <c r="AS6" s="671">
        <f t="shared" si="25"/>
        <v>27734.17</v>
      </c>
      <c r="AT6" s="671">
        <f t="shared" si="26"/>
        <v>27734.170000000002</v>
      </c>
      <c r="AU6" s="671">
        <f t="shared" si="27"/>
        <v>28843.539999999997</v>
      </c>
      <c r="AV6" s="671">
        <f t="shared" si="28"/>
        <v>29305.03</v>
      </c>
      <c r="AW6" s="695">
        <f t="shared" ref="AW6:AW68" si="38">ROUND(AO6*BG6+AS6*BH6,2)</f>
        <v>6198.7</v>
      </c>
      <c r="AX6" s="696">
        <f t="shared" si="29"/>
        <v>6198.7</v>
      </c>
      <c r="AY6" s="696">
        <f t="shared" si="30"/>
        <v>6446.65</v>
      </c>
      <c r="AZ6" s="697">
        <f t="shared" si="31"/>
        <v>6549.8</v>
      </c>
      <c r="BA6" s="832"/>
      <c r="BB6" s="663">
        <f t="shared" si="32"/>
        <v>88306.63</v>
      </c>
      <c r="BC6" s="694">
        <f t="shared" si="33"/>
        <v>54539.59</v>
      </c>
      <c r="BD6" s="694">
        <f t="shared" si="34"/>
        <v>63811.35</v>
      </c>
      <c r="BE6" s="663">
        <f t="shared" si="1"/>
        <v>7358.8858333333337</v>
      </c>
      <c r="BG6" s="699">
        <v>8.4099999999999994E-2</v>
      </c>
      <c r="BH6" s="700">
        <v>0.22</v>
      </c>
    </row>
    <row r="7" spans="1:60" ht="21" hidden="1" customHeight="1">
      <c r="A7" s="651" t="s">
        <v>642</v>
      </c>
      <c r="B7" s="651" t="s">
        <v>754</v>
      </c>
      <c r="C7" s="651" t="s">
        <v>755</v>
      </c>
      <c r="D7" s="652">
        <v>8332</v>
      </c>
      <c r="E7" s="652"/>
      <c r="F7" s="652"/>
      <c r="G7" s="652">
        <v>17</v>
      </c>
      <c r="H7" s="652">
        <v>1</v>
      </c>
      <c r="I7" s="652"/>
      <c r="J7" s="654">
        <v>26.72</v>
      </c>
      <c r="K7" s="654">
        <v>4438.13</v>
      </c>
      <c r="L7" s="687">
        <f t="shared" si="2"/>
        <v>4437.75</v>
      </c>
      <c r="M7" s="652">
        <v>12</v>
      </c>
      <c r="N7" s="688">
        <f>ROUND(L7*M7/100,2)</f>
        <v>532.53</v>
      </c>
      <c r="O7" s="652">
        <v>70</v>
      </c>
      <c r="P7" s="687">
        <f t="shared" si="35"/>
        <v>3106.43</v>
      </c>
      <c r="Q7" s="689">
        <f t="shared" si="3"/>
        <v>8076.71</v>
      </c>
      <c r="R7" s="686">
        <f t="shared" si="4"/>
        <v>137304.07</v>
      </c>
      <c r="S7" s="651">
        <f>P7*G7</f>
        <v>52809.31</v>
      </c>
      <c r="T7" s="651"/>
      <c r="U7" s="671">
        <f t="shared" si="6"/>
        <v>411912.21</v>
      </c>
      <c r="V7" s="671">
        <f t="shared" si="7"/>
        <v>226325.25</v>
      </c>
      <c r="W7" s="671">
        <f t="shared" si="8"/>
        <v>185586.96</v>
      </c>
      <c r="X7" s="671">
        <f>AA7+AB7</f>
        <v>411912.20999999996</v>
      </c>
      <c r="Y7" s="691">
        <f t="shared" si="10"/>
        <v>4437.75</v>
      </c>
      <c r="Z7" s="691">
        <v>1</v>
      </c>
      <c r="AA7" s="671">
        <f t="shared" si="11"/>
        <v>226325.25</v>
      </c>
      <c r="AB7" s="671">
        <f t="shared" si="12"/>
        <v>185586.96</v>
      </c>
      <c r="AC7" s="671">
        <f t="shared" si="13"/>
        <v>428388.7</v>
      </c>
      <c r="AD7" s="689">
        <f t="shared" si="14"/>
        <v>4615.26</v>
      </c>
      <c r="AE7" s="691">
        <f t="shared" si="36"/>
        <v>1.04</v>
      </c>
      <c r="AF7" s="671">
        <f>ROUND(AA7*AE7,2)</f>
        <v>235378.26</v>
      </c>
      <c r="AG7" s="692">
        <f t="shared" si="16"/>
        <v>193010.44</v>
      </c>
      <c r="AH7" s="671">
        <f t="shared" si="17"/>
        <v>435242.92</v>
      </c>
      <c r="AI7" s="691">
        <f t="shared" si="18"/>
        <v>4689.1000000000004</v>
      </c>
      <c r="AJ7" s="691">
        <f t="shared" si="37"/>
        <v>1.016</v>
      </c>
      <c r="AK7" s="671">
        <f t="shared" si="19"/>
        <v>239144.31</v>
      </c>
      <c r="AL7" s="671">
        <f t="shared" si="20"/>
        <v>196098.61</v>
      </c>
      <c r="AM7" s="661">
        <v>0.04</v>
      </c>
      <c r="AN7" s="662">
        <f t="shared" si="0"/>
        <v>0.68</v>
      </c>
      <c r="AO7" s="691">
        <f t="shared" si="21"/>
        <v>16476.490000000002</v>
      </c>
      <c r="AP7" s="691">
        <f t="shared" si="22"/>
        <v>16476.490000000002</v>
      </c>
      <c r="AQ7" s="691">
        <f t="shared" si="23"/>
        <v>17135.55</v>
      </c>
      <c r="AR7" s="691">
        <f t="shared" si="24"/>
        <v>17409.72</v>
      </c>
      <c r="AS7" s="671">
        <f t="shared" si="25"/>
        <v>395435.72000000003</v>
      </c>
      <c r="AT7" s="671">
        <f t="shared" si="26"/>
        <v>395435.72</v>
      </c>
      <c r="AU7" s="671">
        <f t="shared" si="27"/>
        <v>411253.15</v>
      </c>
      <c r="AV7" s="671">
        <f t="shared" si="28"/>
        <v>417833.19999999995</v>
      </c>
      <c r="AW7" s="695">
        <f t="shared" si="38"/>
        <v>88381.53</v>
      </c>
      <c r="AX7" s="696">
        <f t="shared" si="29"/>
        <v>88381.53</v>
      </c>
      <c r="AY7" s="696">
        <f t="shared" si="30"/>
        <v>91916.79</v>
      </c>
      <c r="AZ7" s="697">
        <f t="shared" si="31"/>
        <v>93387.46</v>
      </c>
      <c r="BA7" s="832"/>
      <c r="BB7" s="663">
        <f t="shared" si="32"/>
        <v>1259068.3799999999</v>
      </c>
      <c r="BC7" s="694">
        <f t="shared" si="33"/>
        <v>927173.07</v>
      </c>
      <c r="BD7" s="694">
        <f t="shared" si="34"/>
        <v>760282.97</v>
      </c>
      <c r="BE7" s="663">
        <f t="shared" si="1"/>
        <v>6171.9038235294111</v>
      </c>
      <c r="BG7" s="699">
        <v>8.4099999999999994E-2</v>
      </c>
      <c r="BH7" s="700">
        <v>0.22</v>
      </c>
    </row>
    <row r="8" spans="1:60" ht="21" hidden="1" customHeight="1">
      <c r="A8" s="651" t="s">
        <v>757</v>
      </c>
      <c r="B8" s="651" t="s">
        <v>754</v>
      </c>
      <c r="C8" s="651" t="s">
        <v>755</v>
      </c>
      <c r="D8" s="652">
        <v>8332</v>
      </c>
      <c r="E8" s="652"/>
      <c r="F8" s="652"/>
      <c r="G8" s="652">
        <v>1</v>
      </c>
      <c r="H8" s="652">
        <v>1</v>
      </c>
      <c r="I8" s="652"/>
      <c r="J8" s="654">
        <v>26.72</v>
      </c>
      <c r="K8" s="654">
        <v>4438.13</v>
      </c>
      <c r="L8" s="687">
        <f>ROUND(J8*$L$1,2)</f>
        <v>4437.75</v>
      </c>
      <c r="M8" s="652">
        <v>37</v>
      </c>
      <c r="N8" s="688">
        <f t="shared" ref="N8:N68" si="39">ROUND(L8*M8/100,2)</f>
        <v>1641.97</v>
      </c>
      <c r="O8" s="652">
        <v>70</v>
      </c>
      <c r="P8" s="687">
        <f t="shared" si="35"/>
        <v>3106.43</v>
      </c>
      <c r="Q8" s="689">
        <f t="shared" si="3"/>
        <v>9186.15</v>
      </c>
      <c r="R8" s="686">
        <f t="shared" si="4"/>
        <v>9186.15</v>
      </c>
      <c r="S8" s="651">
        <f t="shared" si="5"/>
        <v>3106.43</v>
      </c>
      <c r="T8" s="651"/>
      <c r="U8" s="671">
        <f t="shared" si="6"/>
        <v>27558.45</v>
      </c>
      <c r="V8" s="671">
        <f t="shared" si="7"/>
        <v>13313.25</v>
      </c>
      <c r="W8" s="671">
        <f t="shared" si="8"/>
        <v>14245.2</v>
      </c>
      <c r="X8" s="671">
        <f t="shared" si="9"/>
        <v>27558.45</v>
      </c>
      <c r="Y8" s="691">
        <f t="shared" si="10"/>
        <v>4437.75</v>
      </c>
      <c r="Z8" s="691">
        <v>1</v>
      </c>
      <c r="AA8" s="671">
        <f t="shared" si="11"/>
        <v>13313.25</v>
      </c>
      <c r="AB8" s="671">
        <f t="shared" si="12"/>
        <v>14245.2</v>
      </c>
      <c r="AC8" s="671">
        <f t="shared" si="13"/>
        <v>28660.79</v>
      </c>
      <c r="AD8" s="689">
        <f t="shared" si="14"/>
        <v>4615.26</v>
      </c>
      <c r="AE8" s="691">
        <f t="shared" si="36"/>
        <v>1.04</v>
      </c>
      <c r="AF8" s="671">
        <f t="shared" si="15"/>
        <v>13845.78</v>
      </c>
      <c r="AG8" s="692">
        <f>ROUND(AB8*AE8,2)</f>
        <v>14815.01</v>
      </c>
      <c r="AH8" s="671">
        <f t="shared" si="17"/>
        <v>29119.360000000001</v>
      </c>
      <c r="AI8" s="691">
        <f t="shared" si="18"/>
        <v>4689.1000000000004</v>
      </c>
      <c r="AJ8" s="691">
        <f t="shared" si="37"/>
        <v>1.016</v>
      </c>
      <c r="AK8" s="671">
        <f t="shared" si="19"/>
        <v>14067.31</v>
      </c>
      <c r="AL8" s="671">
        <f t="shared" si="20"/>
        <v>15052.05</v>
      </c>
      <c r="AM8" s="661">
        <v>0.04</v>
      </c>
      <c r="AN8" s="662">
        <f t="shared" si="0"/>
        <v>0.04</v>
      </c>
      <c r="AO8" s="691">
        <f t="shared" si="21"/>
        <v>1102.3399999999999</v>
      </c>
      <c r="AP8" s="691">
        <f t="shared" si="22"/>
        <v>1102.3399999999999</v>
      </c>
      <c r="AQ8" s="691">
        <f t="shared" si="23"/>
        <v>1146.43</v>
      </c>
      <c r="AR8" s="691">
        <f t="shared" si="24"/>
        <v>1164.77</v>
      </c>
      <c r="AS8" s="671">
        <f t="shared" si="25"/>
        <v>26456.11</v>
      </c>
      <c r="AT8" s="671">
        <f t="shared" si="26"/>
        <v>26456.11</v>
      </c>
      <c r="AU8" s="671">
        <f t="shared" si="27"/>
        <v>27514.36</v>
      </c>
      <c r="AV8" s="671">
        <f t="shared" si="28"/>
        <v>27954.59</v>
      </c>
      <c r="AW8" s="695">
        <f t="shared" si="38"/>
        <v>5913.05</v>
      </c>
      <c r="AX8" s="696">
        <f t="shared" si="29"/>
        <v>5913.05</v>
      </c>
      <c r="AY8" s="696">
        <f t="shared" si="30"/>
        <v>6149.57</v>
      </c>
      <c r="AZ8" s="697">
        <f t="shared" si="31"/>
        <v>6247.97</v>
      </c>
      <c r="BA8" s="832"/>
      <c r="BB8" s="663">
        <f t="shared" si="32"/>
        <v>84237.3</v>
      </c>
      <c r="BC8" s="694">
        <f t="shared" si="33"/>
        <v>54539.59</v>
      </c>
      <c r="BD8" s="694">
        <f t="shared" si="34"/>
        <v>58357.46</v>
      </c>
      <c r="BE8" s="663">
        <f t="shared" si="1"/>
        <v>7019.7750000000005</v>
      </c>
      <c r="BG8" s="699">
        <v>8.4099999999999994E-2</v>
      </c>
      <c r="BH8" s="700">
        <v>0.22</v>
      </c>
    </row>
    <row r="9" spans="1:60" ht="21" hidden="1" customHeight="1">
      <c r="A9" s="651" t="s">
        <v>642</v>
      </c>
      <c r="B9" s="651" t="s">
        <v>754</v>
      </c>
      <c r="C9" s="651" t="s">
        <v>755</v>
      </c>
      <c r="D9" s="652">
        <v>8332</v>
      </c>
      <c r="E9" s="652"/>
      <c r="F9" s="652"/>
      <c r="G9" s="652">
        <v>10</v>
      </c>
      <c r="H9" s="652">
        <v>1</v>
      </c>
      <c r="I9" s="652"/>
      <c r="J9" s="654">
        <v>26.72</v>
      </c>
      <c r="K9" s="654">
        <v>4438.13</v>
      </c>
      <c r="L9" s="687">
        <f t="shared" si="2"/>
        <v>4437.75</v>
      </c>
      <c r="M9" s="652">
        <v>12</v>
      </c>
      <c r="N9" s="688">
        <f t="shared" si="39"/>
        <v>532.53</v>
      </c>
      <c r="O9" s="652">
        <v>70</v>
      </c>
      <c r="P9" s="687">
        <f t="shared" si="35"/>
        <v>3106.43</v>
      </c>
      <c r="Q9" s="689">
        <f t="shared" si="3"/>
        <v>8076.71</v>
      </c>
      <c r="R9" s="686">
        <f t="shared" si="4"/>
        <v>80767.100000000006</v>
      </c>
      <c r="S9" s="651">
        <f t="shared" si="5"/>
        <v>31064.3</v>
      </c>
      <c r="T9" s="651"/>
      <c r="U9" s="671">
        <f t="shared" si="6"/>
        <v>242301.3</v>
      </c>
      <c r="V9" s="671">
        <f t="shared" si="7"/>
        <v>133132.5</v>
      </c>
      <c r="W9" s="671">
        <f t="shared" si="8"/>
        <v>109168.8</v>
      </c>
      <c r="X9" s="671">
        <f t="shared" si="9"/>
        <v>242301.3</v>
      </c>
      <c r="Y9" s="691">
        <f t="shared" si="10"/>
        <v>4437.75</v>
      </c>
      <c r="Z9" s="691">
        <v>1</v>
      </c>
      <c r="AA9" s="671">
        <f t="shared" si="11"/>
        <v>133132.5</v>
      </c>
      <c r="AB9" s="671">
        <f t="shared" si="12"/>
        <v>109168.8</v>
      </c>
      <c r="AC9" s="671">
        <f t="shared" si="13"/>
        <v>251993.35</v>
      </c>
      <c r="AD9" s="689">
        <f t="shared" si="14"/>
        <v>4615.26</v>
      </c>
      <c r="AE9" s="691">
        <f t="shared" si="36"/>
        <v>1.04</v>
      </c>
      <c r="AF9" s="671">
        <f t="shared" si="15"/>
        <v>138457.79999999999</v>
      </c>
      <c r="AG9" s="692">
        <f t="shared" si="16"/>
        <v>113535.55</v>
      </c>
      <c r="AH9" s="671">
        <f t="shared" si="17"/>
        <v>256025.24</v>
      </c>
      <c r="AI9" s="691">
        <f t="shared" si="18"/>
        <v>4689.1000000000004</v>
      </c>
      <c r="AJ9" s="691">
        <f t="shared" si="37"/>
        <v>1.016</v>
      </c>
      <c r="AK9" s="671">
        <f t="shared" si="19"/>
        <v>140673.12</v>
      </c>
      <c r="AL9" s="671">
        <f t="shared" si="20"/>
        <v>115352.12</v>
      </c>
      <c r="AM9" s="661">
        <v>0.04</v>
      </c>
      <c r="AN9" s="662">
        <f t="shared" si="0"/>
        <v>0.4</v>
      </c>
      <c r="AO9" s="691">
        <f t="shared" si="21"/>
        <v>9692.0499999999993</v>
      </c>
      <c r="AP9" s="691">
        <f t="shared" si="22"/>
        <v>9692.0499999999993</v>
      </c>
      <c r="AQ9" s="691">
        <f t="shared" si="23"/>
        <v>10079.73</v>
      </c>
      <c r="AR9" s="691">
        <f t="shared" si="24"/>
        <v>10241.01</v>
      </c>
      <c r="AS9" s="671">
        <f t="shared" si="25"/>
        <v>232609.25</v>
      </c>
      <c r="AT9" s="671">
        <f t="shared" si="26"/>
        <v>232609.25</v>
      </c>
      <c r="AU9" s="671">
        <f t="shared" si="27"/>
        <v>241913.62</v>
      </c>
      <c r="AV9" s="671">
        <f t="shared" si="28"/>
        <v>245784.22999999998</v>
      </c>
      <c r="AW9" s="695">
        <f t="shared" si="38"/>
        <v>51989.14</v>
      </c>
      <c r="AX9" s="696">
        <f t="shared" si="29"/>
        <v>51989.14</v>
      </c>
      <c r="AY9" s="696">
        <f t="shared" si="30"/>
        <v>54068.7</v>
      </c>
      <c r="AZ9" s="697">
        <f t="shared" si="31"/>
        <v>54933.8</v>
      </c>
      <c r="BA9" s="832"/>
      <c r="BB9" s="663">
        <f t="shared" si="32"/>
        <v>740628.87999999989</v>
      </c>
      <c r="BC9" s="694">
        <f t="shared" si="33"/>
        <v>545395.92000000004</v>
      </c>
      <c r="BD9" s="694">
        <f t="shared" si="34"/>
        <v>447225.27</v>
      </c>
      <c r="BE9" s="663">
        <f t="shared" si="1"/>
        <v>6171.9073333333326</v>
      </c>
      <c r="BG9" s="699">
        <v>8.4099999999999994E-2</v>
      </c>
      <c r="BH9" s="700">
        <v>0.22</v>
      </c>
    </row>
    <row r="10" spans="1:60" ht="21" hidden="1" customHeight="1">
      <c r="A10" s="651" t="s">
        <v>758</v>
      </c>
      <c r="B10" s="651" t="s">
        <v>754</v>
      </c>
      <c r="C10" s="651" t="s">
        <v>755</v>
      </c>
      <c r="D10" s="652">
        <v>8332</v>
      </c>
      <c r="E10" s="652"/>
      <c r="F10" s="652"/>
      <c r="G10" s="652">
        <v>1</v>
      </c>
      <c r="H10" s="652">
        <v>1</v>
      </c>
      <c r="I10" s="652"/>
      <c r="J10" s="654">
        <v>26.72</v>
      </c>
      <c r="K10" s="654">
        <v>4438.13</v>
      </c>
      <c r="L10" s="687">
        <f t="shared" si="2"/>
        <v>4437.75</v>
      </c>
      <c r="M10" s="652">
        <v>37</v>
      </c>
      <c r="N10" s="688">
        <f t="shared" si="39"/>
        <v>1641.97</v>
      </c>
      <c r="O10" s="652">
        <v>70</v>
      </c>
      <c r="P10" s="687">
        <f t="shared" si="35"/>
        <v>3106.43</v>
      </c>
      <c r="Q10" s="689">
        <f t="shared" si="3"/>
        <v>9186.15</v>
      </c>
      <c r="R10" s="686">
        <f t="shared" si="4"/>
        <v>9186.15</v>
      </c>
      <c r="S10" s="651">
        <f t="shared" si="5"/>
        <v>3106.43</v>
      </c>
      <c r="T10" s="651"/>
      <c r="U10" s="671">
        <f t="shared" si="6"/>
        <v>27558.45</v>
      </c>
      <c r="V10" s="671">
        <f t="shared" si="7"/>
        <v>13313.25</v>
      </c>
      <c r="W10" s="671">
        <f>ROUND(G10*3*(N10+P10),2)</f>
        <v>14245.2</v>
      </c>
      <c r="X10" s="671">
        <f t="shared" si="9"/>
        <v>27558.45</v>
      </c>
      <c r="Y10" s="691">
        <f t="shared" si="10"/>
        <v>4437.75</v>
      </c>
      <c r="Z10" s="691">
        <v>1</v>
      </c>
      <c r="AA10" s="671">
        <f t="shared" si="11"/>
        <v>13313.25</v>
      </c>
      <c r="AB10" s="671">
        <f t="shared" si="12"/>
        <v>14245.2</v>
      </c>
      <c r="AC10" s="671">
        <f t="shared" si="13"/>
        <v>28660.79</v>
      </c>
      <c r="AD10" s="689">
        <f t="shared" si="14"/>
        <v>4615.26</v>
      </c>
      <c r="AE10" s="691">
        <f t="shared" si="36"/>
        <v>1.04</v>
      </c>
      <c r="AF10" s="671">
        <f t="shared" si="15"/>
        <v>13845.78</v>
      </c>
      <c r="AG10" s="692">
        <f t="shared" si="16"/>
        <v>14815.01</v>
      </c>
      <c r="AH10" s="671">
        <f t="shared" si="17"/>
        <v>29119.360000000001</v>
      </c>
      <c r="AI10" s="691">
        <f t="shared" si="18"/>
        <v>4689.1000000000004</v>
      </c>
      <c r="AJ10" s="691">
        <f t="shared" si="37"/>
        <v>1.016</v>
      </c>
      <c r="AK10" s="671">
        <f t="shared" si="19"/>
        <v>14067.31</v>
      </c>
      <c r="AL10" s="671">
        <f t="shared" si="20"/>
        <v>15052.05</v>
      </c>
      <c r="AM10" s="661">
        <v>0.04</v>
      </c>
      <c r="AN10" s="662">
        <f t="shared" si="0"/>
        <v>0.04</v>
      </c>
      <c r="AO10" s="691">
        <f t="shared" si="21"/>
        <v>1102.3399999999999</v>
      </c>
      <c r="AP10" s="691">
        <f t="shared" si="22"/>
        <v>1102.3399999999999</v>
      </c>
      <c r="AQ10" s="691">
        <f t="shared" si="23"/>
        <v>1146.43</v>
      </c>
      <c r="AR10" s="691">
        <f t="shared" si="24"/>
        <v>1164.77</v>
      </c>
      <c r="AS10" s="671">
        <f t="shared" si="25"/>
        <v>26456.11</v>
      </c>
      <c r="AT10" s="671">
        <f t="shared" si="26"/>
        <v>26456.11</v>
      </c>
      <c r="AU10" s="671">
        <f t="shared" si="27"/>
        <v>27514.36</v>
      </c>
      <c r="AV10" s="671">
        <f t="shared" si="28"/>
        <v>27954.59</v>
      </c>
      <c r="AW10" s="695">
        <f t="shared" si="38"/>
        <v>5913.05</v>
      </c>
      <c r="AX10" s="696">
        <f t="shared" si="29"/>
        <v>5913.05</v>
      </c>
      <c r="AY10" s="696">
        <f t="shared" si="30"/>
        <v>6149.57</v>
      </c>
      <c r="AZ10" s="697">
        <f t="shared" si="31"/>
        <v>6247.97</v>
      </c>
      <c r="BA10" s="832"/>
      <c r="BB10" s="663">
        <f t="shared" si="32"/>
        <v>84237.3</v>
      </c>
      <c r="BC10" s="694">
        <f t="shared" si="33"/>
        <v>54539.59</v>
      </c>
      <c r="BD10" s="694">
        <f t="shared" si="34"/>
        <v>58357.46</v>
      </c>
      <c r="BE10" s="663">
        <f t="shared" si="1"/>
        <v>7019.7750000000005</v>
      </c>
      <c r="BG10" s="699">
        <v>8.4099999999999994E-2</v>
      </c>
      <c r="BH10" s="700">
        <v>0.22</v>
      </c>
    </row>
    <row r="11" spans="1:60" ht="21" hidden="1" customHeight="1">
      <c r="A11" s="651" t="s">
        <v>642</v>
      </c>
      <c r="B11" s="651" t="s">
        <v>754</v>
      </c>
      <c r="C11" s="651" t="s">
        <v>755</v>
      </c>
      <c r="D11" s="652">
        <v>8332</v>
      </c>
      <c r="E11" s="652"/>
      <c r="F11" s="652"/>
      <c r="G11" s="652">
        <v>25</v>
      </c>
      <c r="H11" s="652">
        <v>1</v>
      </c>
      <c r="I11" s="652"/>
      <c r="J11" s="654">
        <v>26.72</v>
      </c>
      <c r="K11" s="654">
        <v>4438.13</v>
      </c>
      <c r="L11" s="687">
        <f t="shared" si="2"/>
        <v>4437.75</v>
      </c>
      <c r="M11" s="652">
        <v>12</v>
      </c>
      <c r="N11" s="688">
        <f>ROUND(L11*M11/100,2)</f>
        <v>532.53</v>
      </c>
      <c r="O11" s="652">
        <v>70</v>
      </c>
      <c r="P11" s="687">
        <f>ROUND(L11*O11/100,2)</f>
        <v>3106.43</v>
      </c>
      <c r="Q11" s="689">
        <f t="shared" si="3"/>
        <v>8076.71</v>
      </c>
      <c r="R11" s="686">
        <f t="shared" si="4"/>
        <v>201917.75</v>
      </c>
      <c r="S11" s="651">
        <f t="shared" si="5"/>
        <v>77660.75</v>
      </c>
      <c r="T11" s="651"/>
      <c r="U11" s="671">
        <f t="shared" si="6"/>
        <v>605753.25</v>
      </c>
      <c r="V11" s="671">
        <f t="shared" si="7"/>
        <v>332831.25</v>
      </c>
      <c r="W11" s="671">
        <f t="shared" si="8"/>
        <v>272922</v>
      </c>
      <c r="X11" s="671">
        <f t="shared" si="9"/>
        <v>605753.25</v>
      </c>
      <c r="Y11" s="691">
        <f t="shared" si="10"/>
        <v>4437.75</v>
      </c>
      <c r="Z11" s="691">
        <v>1</v>
      </c>
      <c r="AA11" s="671">
        <f t="shared" si="11"/>
        <v>332831.25</v>
      </c>
      <c r="AB11" s="671">
        <f t="shared" si="12"/>
        <v>272922</v>
      </c>
      <c r="AC11" s="671">
        <f t="shared" si="13"/>
        <v>629983.38</v>
      </c>
      <c r="AD11" s="689">
        <f t="shared" si="14"/>
        <v>4615.26</v>
      </c>
      <c r="AE11" s="691">
        <f t="shared" si="36"/>
        <v>1.04</v>
      </c>
      <c r="AF11" s="671">
        <f t="shared" si="15"/>
        <v>346144.5</v>
      </c>
      <c r="AG11" s="692">
        <f t="shared" si="16"/>
        <v>283838.88</v>
      </c>
      <c r="AH11" s="671">
        <f t="shared" si="17"/>
        <v>640063.11</v>
      </c>
      <c r="AI11" s="691">
        <f t="shared" si="18"/>
        <v>4689.1000000000004</v>
      </c>
      <c r="AJ11" s="691">
        <f t="shared" si="37"/>
        <v>1.016</v>
      </c>
      <c r="AK11" s="671">
        <f t="shared" si="19"/>
        <v>351682.81</v>
      </c>
      <c r="AL11" s="671">
        <f t="shared" si="20"/>
        <v>288380.3</v>
      </c>
      <c r="AM11" s="661">
        <v>0.04</v>
      </c>
      <c r="AN11" s="662">
        <f t="shared" si="0"/>
        <v>1</v>
      </c>
      <c r="AO11" s="691">
        <f t="shared" si="21"/>
        <v>24230.13</v>
      </c>
      <c r="AP11" s="691">
        <f t="shared" si="22"/>
        <v>24230.13</v>
      </c>
      <c r="AQ11" s="691">
        <f t="shared" si="23"/>
        <v>25199.34</v>
      </c>
      <c r="AR11" s="691">
        <f t="shared" si="24"/>
        <v>25602.52</v>
      </c>
      <c r="AS11" s="671">
        <f t="shared" si="25"/>
        <v>581523.12</v>
      </c>
      <c r="AT11" s="671">
        <f t="shared" si="26"/>
        <v>581523.12</v>
      </c>
      <c r="AU11" s="671">
        <f t="shared" si="27"/>
        <v>604784.04</v>
      </c>
      <c r="AV11" s="671">
        <f t="shared" si="28"/>
        <v>614460.59</v>
      </c>
      <c r="AW11" s="695">
        <f t="shared" si="38"/>
        <v>129972.84</v>
      </c>
      <c r="AX11" s="696">
        <f t="shared" si="29"/>
        <v>129972.84</v>
      </c>
      <c r="AY11" s="696">
        <f t="shared" si="30"/>
        <v>135171.75</v>
      </c>
      <c r="AZ11" s="697">
        <f t="shared" si="31"/>
        <v>137334.5</v>
      </c>
      <c r="BA11" s="832"/>
      <c r="BB11" s="663">
        <f t="shared" si="32"/>
        <v>1851570.65</v>
      </c>
      <c r="BC11" s="694">
        <f t="shared" si="33"/>
        <v>1363489.81</v>
      </c>
      <c r="BD11" s="694">
        <f t="shared" si="34"/>
        <v>1118063.18</v>
      </c>
      <c r="BE11" s="663">
        <f t="shared" si="1"/>
        <v>6171.9021666666667</v>
      </c>
      <c r="BG11" s="699">
        <v>8.4099999999999994E-2</v>
      </c>
      <c r="BH11" s="700">
        <v>0.22</v>
      </c>
    </row>
    <row r="12" spans="1:60" ht="21" hidden="1" customHeight="1">
      <c r="A12" s="651" t="s">
        <v>537</v>
      </c>
      <c r="B12" s="651" t="s">
        <v>754</v>
      </c>
      <c r="C12" s="651" t="s">
        <v>755</v>
      </c>
      <c r="D12" s="652">
        <v>8332</v>
      </c>
      <c r="E12" s="652"/>
      <c r="F12" s="652"/>
      <c r="G12" s="652">
        <v>24</v>
      </c>
      <c r="H12" s="652">
        <v>1</v>
      </c>
      <c r="I12" s="652"/>
      <c r="J12" s="654">
        <v>26.72</v>
      </c>
      <c r="K12" s="654">
        <v>4438.13</v>
      </c>
      <c r="L12" s="687">
        <f t="shared" si="2"/>
        <v>4437.75</v>
      </c>
      <c r="M12" s="652">
        <v>12</v>
      </c>
      <c r="N12" s="688">
        <f t="shared" si="39"/>
        <v>532.53</v>
      </c>
      <c r="O12" s="652">
        <v>70</v>
      </c>
      <c r="P12" s="687">
        <f t="shared" si="35"/>
        <v>3106.43</v>
      </c>
      <c r="Q12" s="689">
        <f t="shared" si="3"/>
        <v>8076.71</v>
      </c>
      <c r="R12" s="686">
        <f t="shared" si="4"/>
        <v>193841.04</v>
      </c>
      <c r="S12" s="651">
        <f t="shared" si="5"/>
        <v>74554.319999999992</v>
      </c>
      <c r="T12" s="651"/>
      <c r="U12" s="671">
        <f t="shared" si="6"/>
        <v>581523.12</v>
      </c>
      <c r="V12" s="671">
        <f t="shared" si="7"/>
        <v>319518</v>
      </c>
      <c r="W12" s="671">
        <f t="shared" si="8"/>
        <v>262005.12</v>
      </c>
      <c r="X12" s="671">
        <f t="shared" si="9"/>
        <v>581523.12</v>
      </c>
      <c r="Y12" s="691">
        <f t="shared" si="10"/>
        <v>4437.75</v>
      </c>
      <c r="Z12" s="691">
        <v>1</v>
      </c>
      <c r="AA12" s="671">
        <f t="shared" si="11"/>
        <v>319518</v>
      </c>
      <c r="AB12" s="671">
        <f t="shared" si="12"/>
        <v>262005.12</v>
      </c>
      <c r="AC12" s="671">
        <f t="shared" si="13"/>
        <v>604784.04</v>
      </c>
      <c r="AD12" s="689">
        <f t="shared" si="14"/>
        <v>4615.26</v>
      </c>
      <c r="AE12" s="691">
        <f t="shared" si="36"/>
        <v>1.04</v>
      </c>
      <c r="AF12" s="671">
        <f t="shared" si="15"/>
        <v>332298.71999999997</v>
      </c>
      <c r="AG12" s="692">
        <f t="shared" si="16"/>
        <v>272485.32</v>
      </c>
      <c r="AH12" s="671">
        <f t="shared" si="17"/>
        <v>614460.59</v>
      </c>
      <c r="AI12" s="691">
        <f t="shared" si="18"/>
        <v>4689.1000000000004</v>
      </c>
      <c r="AJ12" s="691">
        <f t="shared" si="37"/>
        <v>1.016</v>
      </c>
      <c r="AK12" s="671">
        <f t="shared" si="19"/>
        <v>337615.5</v>
      </c>
      <c r="AL12" s="671">
        <f t="shared" si="20"/>
        <v>276845.09000000003</v>
      </c>
      <c r="AM12" s="661">
        <v>0.04</v>
      </c>
      <c r="AN12" s="662">
        <f t="shared" si="0"/>
        <v>0.96</v>
      </c>
      <c r="AO12" s="691">
        <f t="shared" si="21"/>
        <v>23260.92</v>
      </c>
      <c r="AP12" s="691">
        <f t="shared" si="22"/>
        <v>23260.92</v>
      </c>
      <c r="AQ12" s="691">
        <f t="shared" si="23"/>
        <v>24191.360000000001</v>
      </c>
      <c r="AR12" s="691">
        <f t="shared" si="24"/>
        <v>24578.42</v>
      </c>
      <c r="AS12" s="671">
        <f t="shared" si="25"/>
        <v>558262.19999999995</v>
      </c>
      <c r="AT12" s="671">
        <f t="shared" si="26"/>
        <v>558262.19999999995</v>
      </c>
      <c r="AU12" s="671">
        <f t="shared" si="27"/>
        <v>580592.68000000005</v>
      </c>
      <c r="AV12" s="671">
        <f t="shared" si="28"/>
        <v>589882.16999999993</v>
      </c>
      <c r="AW12" s="695">
        <f t="shared" si="38"/>
        <v>124773.93</v>
      </c>
      <c r="AX12" s="696">
        <f t="shared" si="29"/>
        <v>124773.93</v>
      </c>
      <c r="AY12" s="696">
        <f t="shared" si="30"/>
        <v>129764.88</v>
      </c>
      <c r="AZ12" s="697">
        <f t="shared" si="31"/>
        <v>131841.12</v>
      </c>
      <c r="BA12" s="832"/>
      <c r="BB12" s="663">
        <f t="shared" si="32"/>
        <v>1777507.87</v>
      </c>
      <c r="BC12" s="694">
        <f t="shared" si="33"/>
        <v>1308950.22</v>
      </c>
      <c r="BD12" s="694">
        <f t="shared" si="34"/>
        <v>1073340.6499999999</v>
      </c>
      <c r="BE12" s="663">
        <f t="shared" si="1"/>
        <v>6171.9023263888894</v>
      </c>
      <c r="BG12" s="699">
        <v>8.4099999999999994E-2</v>
      </c>
      <c r="BH12" s="700">
        <v>0.22</v>
      </c>
    </row>
    <row r="13" spans="1:60" ht="21" hidden="1" customHeight="1">
      <c r="A13" s="651" t="s">
        <v>538</v>
      </c>
      <c r="B13" s="651" t="s">
        <v>754</v>
      </c>
      <c r="C13" s="651" t="s">
        <v>755</v>
      </c>
      <c r="D13" s="652">
        <v>8332</v>
      </c>
      <c r="E13" s="652"/>
      <c r="F13" s="652"/>
      <c r="G13" s="652">
        <v>1</v>
      </c>
      <c r="H13" s="652">
        <v>1</v>
      </c>
      <c r="I13" s="652"/>
      <c r="J13" s="654">
        <v>26.72</v>
      </c>
      <c r="K13" s="654">
        <v>4438.13</v>
      </c>
      <c r="L13" s="687">
        <f t="shared" si="2"/>
        <v>4437.75</v>
      </c>
      <c r="M13" s="652">
        <v>47</v>
      </c>
      <c r="N13" s="688">
        <f t="shared" si="39"/>
        <v>2085.7399999999998</v>
      </c>
      <c r="O13" s="652">
        <v>70</v>
      </c>
      <c r="P13" s="687">
        <f t="shared" si="35"/>
        <v>3106.43</v>
      </c>
      <c r="Q13" s="689">
        <f t="shared" si="3"/>
        <v>9629.92</v>
      </c>
      <c r="R13" s="686">
        <f t="shared" si="4"/>
        <v>9629.92</v>
      </c>
      <c r="S13" s="651">
        <f t="shared" si="5"/>
        <v>3106.43</v>
      </c>
      <c r="T13" s="651"/>
      <c r="U13" s="671">
        <f t="shared" si="6"/>
        <v>28889.759999999998</v>
      </c>
      <c r="V13" s="671">
        <f t="shared" si="7"/>
        <v>13313.25</v>
      </c>
      <c r="W13" s="671">
        <f t="shared" si="8"/>
        <v>15576.51</v>
      </c>
      <c r="X13" s="671">
        <f t="shared" si="9"/>
        <v>28889.760000000002</v>
      </c>
      <c r="Y13" s="691">
        <f t="shared" si="10"/>
        <v>4437.75</v>
      </c>
      <c r="Z13" s="691">
        <v>1</v>
      </c>
      <c r="AA13" s="671">
        <f t="shared" si="11"/>
        <v>13313.25</v>
      </c>
      <c r="AB13" s="671">
        <f t="shared" si="12"/>
        <v>15576.51</v>
      </c>
      <c r="AC13" s="671">
        <f t="shared" si="13"/>
        <v>30045.35</v>
      </c>
      <c r="AD13" s="689">
        <f t="shared" si="14"/>
        <v>4615.26</v>
      </c>
      <c r="AE13" s="691">
        <f t="shared" si="36"/>
        <v>1.04</v>
      </c>
      <c r="AF13" s="671">
        <f t="shared" si="15"/>
        <v>13845.78</v>
      </c>
      <c r="AG13" s="692">
        <f t="shared" si="16"/>
        <v>16199.57</v>
      </c>
      <c r="AH13" s="671">
        <f t="shared" si="17"/>
        <v>30526.07</v>
      </c>
      <c r="AI13" s="691">
        <f t="shared" si="18"/>
        <v>4689.1000000000004</v>
      </c>
      <c r="AJ13" s="691">
        <f t="shared" si="37"/>
        <v>1.016</v>
      </c>
      <c r="AK13" s="671">
        <f t="shared" si="19"/>
        <v>14067.31</v>
      </c>
      <c r="AL13" s="671">
        <f t="shared" si="20"/>
        <v>16458.759999999998</v>
      </c>
      <c r="AM13" s="661">
        <v>0.04</v>
      </c>
      <c r="AN13" s="662">
        <f t="shared" si="0"/>
        <v>0.04</v>
      </c>
      <c r="AO13" s="691">
        <f t="shared" si="21"/>
        <v>1155.5899999999999</v>
      </c>
      <c r="AP13" s="691">
        <f t="shared" si="22"/>
        <v>1155.5899999999999</v>
      </c>
      <c r="AQ13" s="691">
        <f t="shared" si="23"/>
        <v>1201.81</v>
      </c>
      <c r="AR13" s="691">
        <f t="shared" si="24"/>
        <v>1221.04</v>
      </c>
      <c r="AS13" s="671">
        <f t="shared" si="25"/>
        <v>27734.17</v>
      </c>
      <c r="AT13" s="671">
        <f t="shared" si="26"/>
        <v>27734.170000000002</v>
      </c>
      <c r="AU13" s="671">
        <f t="shared" si="27"/>
        <v>28843.539999999997</v>
      </c>
      <c r="AV13" s="671">
        <f t="shared" si="28"/>
        <v>29305.03</v>
      </c>
      <c r="AW13" s="695">
        <f t="shared" si="38"/>
        <v>6198.7</v>
      </c>
      <c r="AX13" s="696">
        <f t="shared" si="29"/>
        <v>6198.7</v>
      </c>
      <c r="AY13" s="696">
        <f t="shared" si="30"/>
        <v>6446.65</v>
      </c>
      <c r="AZ13" s="697">
        <f t="shared" si="31"/>
        <v>6549.8</v>
      </c>
      <c r="BA13" s="832"/>
      <c r="BB13" s="663">
        <f t="shared" si="32"/>
        <v>88306.63</v>
      </c>
      <c r="BC13" s="694">
        <f t="shared" si="33"/>
        <v>54539.59</v>
      </c>
      <c r="BD13" s="694">
        <f t="shared" si="34"/>
        <v>63811.35</v>
      </c>
      <c r="BE13" s="663">
        <f t="shared" si="1"/>
        <v>7358.8858333333337</v>
      </c>
      <c r="BG13" s="699">
        <v>8.4099999999999994E-2</v>
      </c>
      <c r="BH13" s="700">
        <v>0.22</v>
      </c>
    </row>
    <row r="14" spans="1:60" ht="21" customHeight="1">
      <c r="A14" s="651" t="s">
        <v>539</v>
      </c>
      <c r="B14" s="651" t="s">
        <v>754</v>
      </c>
      <c r="C14" s="651" t="s">
        <v>755</v>
      </c>
      <c r="D14" s="652">
        <v>8332</v>
      </c>
      <c r="E14" s="652"/>
      <c r="F14" s="652"/>
      <c r="G14" s="652">
        <v>1</v>
      </c>
      <c r="H14" s="652">
        <v>3</v>
      </c>
      <c r="I14" s="652">
        <f>G14</f>
        <v>1</v>
      </c>
      <c r="J14" s="654">
        <v>32.85</v>
      </c>
      <c r="K14" s="654">
        <v>5455.38</v>
      </c>
      <c r="L14" s="687">
        <f t="shared" si="2"/>
        <v>5455.84</v>
      </c>
      <c r="M14" s="652">
        <v>67</v>
      </c>
      <c r="N14" s="688">
        <f t="shared" si="39"/>
        <v>3655.41</v>
      </c>
      <c r="O14" s="652">
        <v>70</v>
      </c>
      <c r="P14" s="687">
        <f t="shared" si="35"/>
        <v>3819.09</v>
      </c>
      <c r="Q14" s="689">
        <f t="shared" si="3"/>
        <v>12930.34</v>
      </c>
      <c r="R14" s="686">
        <f t="shared" si="4"/>
        <v>12930.34</v>
      </c>
      <c r="S14" s="651">
        <f t="shared" si="5"/>
        <v>3819.09</v>
      </c>
      <c r="T14" s="651"/>
      <c r="U14" s="671">
        <f t="shared" si="6"/>
        <v>38791.019999999997</v>
      </c>
      <c r="V14" s="671">
        <f t="shared" si="7"/>
        <v>16367.52</v>
      </c>
      <c r="W14" s="671">
        <f t="shared" si="8"/>
        <v>22423.5</v>
      </c>
      <c r="X14" s="671">
        <f t="shared" si="9"/>
        <v>38791.020000000004</v>
      </c>
      <c r="Y14" s="691">
        <f t="shared" si="10"/>
        <v>5455.84</v>
      </c>
      <c r="Z14" s="691">
        <v>1</v>
      </c>
      <c r="AA14" s="671">
        <f t="shared" si="11"/>
        <v>16367.52</v>
      </c>
      <c r="AB14" s="671">
        <f t="shared" si="12"/>
        <v>22423.5</v>
      </c>
      <c r="AC14" s="671">
        <f t="shared" si="13"/>
        <v>40342.660000000003</v>
      </c>
      <c r="AD14" s="689">
        <f t="shared" si="14"/>
        <v>5674.07</v>
      </c>
      <c r="AE14" s="691">
        <f t="shared" si="36"/>
        <v>1.04</v>
      </c>
      <c r="AF14" s="671">
        <f t="shared" si="15"/>
        <v>17022.22</v>
      </c>
      <c r="AG14" s="692">
        <f t="shared" si="16"/>
        <v>23320.44</v>
      </c>
      <c r="AH14" s="671">
        <f t="shared" si="17"/>
        <v>40988.15</v>
      </c>
      <c r="AI14" s="691">
        <f t="shared" si="18"/>
        <v>5764.86</v>
      </c>
      <c r="AJ14" s="691">
        <f t="shared" si="37"/>
        <v>1.016</v>
      </c>
      <c r="AK14" s="671">
        <f t="shared" si="19"/>
        <v>17294.580000000002</v>
      </c>
      <c r="AL14" s="671">
        <f t="shared" si="20"/>
        <v>23693.57</v>
      </c>
      <c r="AM14" s="661">
        <v>0.04</v>
      </c>
      <c r="AN14" s="662">
        <f t="shared" si="0"/>
        <v>0.04</v>
      </c>
      <c r="AO14" s="691">
        <f t="shared" si="21"/>
        <v>1551.64</v>
      </c>
      <c r="AP14" s="691">
        <f t="shared" si="22"/>
        <v>1551.64</v>
      </c>
      <c r="AQ14" s="691">
        <f t="shared" si="23"/>
        <v>1613.71</v>
      </c>
      <c r="AR14" s="691">
        <f t="shared" si="24"/>
        <v>1639.53</v>
      </c>
      <c r="AS14" s="671">
        <f t="shared" si="25"/>
        <v>37239.379999999997</v>
      </c>
      <c r="AT14" s="671">
        <f t="shared" si="26"/>
        <v>37239.380000000005</v>
      </c>
      <c r="AU14" s="671">
        <f t="shared" si="27"/>
        <v>38728.950000000004</v>
      </c>
      <c r="AV14" s="671">
        <f t="shared" si="28"/>
        <v>39348.620000000003</v>
      </c>
      <c r="AW14" s="695">
        <f t="shared" si="38"/>
        <v>8323.16</v>
      </c>
      <c r="AX14" s="696">
        <f t="shared" si="29"/>
        <v>8323.16</v>
      </c>
      <c r="AY14" s="696">
        <f t="shared" si="30"/>
        <v>8656.08</v>
      </c>
      <c r="AZ14" s="697">
        <f t="shared" si="31"/>
        <v>8794.58</v>
      </c>
      <c r="BA14" s="832"/>
      <c r="BB14" s="663">
        <f t="shared" si="32"/>
        <v>118571.23000000001</v>
      </c>
      <c r="BC14" s="694">
        <f t="shared" si="33"/>
        <v>67051.839999999997</v>
      </c>
      <c r="BD14" s="694">
        <f t="shared" si="34"/>
        <v>91861.01</v>
      </c>
      <c r="BE14" s="663">
        <f t="shared" si="1"/>
        <v>9880.9358333333348</v>
      </c>
      <c r="BG14" s="699">
        <v>8.4099999999999994E-2</v>
      </c>
      <c r="BH14" s="700">
        <v>0.22</v>
      </c>
    </row>
    <row r="15" spans="1:60" ht="21" customHeight="1">
      <c r="A15" s="651" t="s">
        <v>540</v>
      </c>
      <c r="B15" s="651" t="s">
        <v>754</v>
      </c>
      <c r="C15" s="651" t="s">
        <v>755</v>
      </c>
      <c r="D15" s="652">
        <v>8332</v>
      </c>
      <c r="E15" s="652"/>
      <c r="F15" s="652"/>
      <c r="G15" s="652">
        <v>1</v>
      </c>
      <c r="H15" s="652">
        <v>2</v>
      </c>
      <c r="I15" s="652">
        <f t="shared" ref="I15:I16" si="40">G15</f>
        <v>1</v>
      </c>
      <c r="J15" s="654">
        <v>29.56</v>
      </c>
      <c r="K15" s="654">
        <v>4909.5</v>
      </c>
      <c r="L15" s="687">
        <f t="shared" si="2"/>
        <v>4909.42</v>
      </c>
      <c r="M15" s="652">
        <v>20</v>
      </c>
      <c r="N15" s="688">
        <f t="shared" si="39"/>
        <v>981.88</v>
      </c>
      <c r="O15" s="652">
        <v>70</v>
      </c>
      <c r="P15" s="687">
        <f t="shared" si="35"/>
        <v>3436.59</v>
      </c>
      <c r="Q15" s="689">
        <f t="shared" si="3"/>
        <v>9327.89</v>
      </c>
      <c r="R15" s="686">
        <f t="shared" si="4"/>
        <v>9327.89</v>
      </c>
      <c r="S15" s="651">
        <f t="shared" si="5"/>
        <v>3436.59</v>
      </c>
      <c r="T15" s="651"/>
      <c r="U15" s="671">
        <f t="shared" si="6"/>
        <v>27983.67</v>
      </c>
      <c r="V15" s="671">
        <f t="shared" si="7"/>
        <v>14728.26</v>
      </c>
      <c r="W15" s="671">
        <f t="shared" si="8"/>
        <v>13255.41</v>
      </c>
      <c r="X15" s="671">
        <f t="shared" si="9"/>
        <v>27983.67</v>
      </c>
      <c r="Y15" s="691">
        <f t="shared" si="10"/>
        <v>4909.42</v>
      </c>
      <c r="Z15" s="691">
        <v>1</v>
      </c>
      <c r="AA15" s="671">
        <f t="shared" si="11"/>
        <v>14728.26</v>
      </c>
      <c r="AB15" s="671">
        <f t="shared" si="12"/>
        <v>13255.41</v>
      </c>
      <c r="AC15" s="671">
        <f t="shared" si="13"/>
        <v>29103.02</v>
      </c>
      <c r="AD15" s="689">
        <f t="shared" si="14"/>
        <v>5105.8</v>
      </c>
      <c r="AE15" s="691">
        <f t="shared" si="36"/>
        <v>1.04</v>
      </c>
      <c r="AF15" s="671">
        <f t="shared" si="15"/>
        <v>15317.39</v>
      </c>
      <c r="AG15" s="692">
        <f t="shared" si="16"/>
        <v>13785.63</v>
      </c>
      <c r="AH15" s="671">
        <f t="shared" si="17"/>
        <v>29568.67</v>
      </c>
      <c r="AI15" s="691">
        <f t="shared" si="18"/>
        <v>5187.49</v>
      </c>
      <c r="AJ15" s="691">
        <f t="shared" si="37"/>
        <v>1.016</v>
      </c>
      <c r="AK15" s="671">
        <f t="shared" si="19"/>
        <v>15562.47</v>
      </c>
      <c r="AL15" s="671">
        <f t="shared" si="20"/>
        <v>14006.2</v>
      </c>
      <c r="AM15" s="661">
        <v>0.04</v>
      </c>
      <c r="AN15" s="662">
        <f t="shared" si="0"/>
        <v>0.04</v>
      </c>
      <c r="AO15" s="691">
        <f t="shared" si="21"/>
        <v>1119.3499999999999</v>
      </c>
      <c r="AP15" s="691">
        <f t="shared" si="22"/>
        <v>1119.3499999999999</v>
      </c>
      <c r="AQ15" s="691">
        <f t="shared" si="23"/>
        <v>1164.1199999999999</v>
      </c>
      <c r="AR15" s="691">
        <f t="shared" si="24"/>
        <v>1182.75</v>
      </c>
      <c r="AS15" s="671">
        <f t="shared" si="25"/>
        <v>26864.32</v>
      </c>
      <c r="AT15" s="671">
        <f t="shared" si="26"/>
        <v>26864.32</v>
      </c>
      <c r="AU15" s="671">
        <f t="shared" si="27"/>
        <v>27938.9</v>
      </c>
      <c r="AV15" s="671">
        <f t="shared" si="28"/>
        <v>28385.919999999998</v>
      </c>
      <c r="AW15" s="695">
        <f t="shared" si="38"/>
        <v>6004.29</v>
      </c>
      <c r="AX15" s="696">
        <f t="shared" si="29"/>
        <v>6004.29</v>
      </c>
      <c r="AY15" s="696">
        <f t="shared" si="30"/>
        <v>6244.46</v>
      </c>
      <c r="AZ15" s="697">
        <f t="shared" si="31"/>
        <v>6344.37</v>
      </c>
      <c r="BA15" s="832"/>
      <c r="BB15" s="663">
        <f t="shared" si="32"/>
        <v>85537.049999999988</v>
      </c>
      <c r="BC15" s="694">
        <f t="shared" si="33"/>
        <v>60336.38</v>
      </c>
      <c r="BD15" s="694">
        <f t="shared" si="34"/>
        <v>54302.65</v>
      </c>
      <c r="BE15" s="663">
        <f t="shared" si="1"/>
        <v>7128.0874999999987</v>
      </c>
      <c r="BG15" s="699">
        <v>8.4099999999999994E-2</v>
      </c>
      <c r="BH15" s="700">
        <v>0.22</v>
      </c>
    </row>
    <row r="16" spans="1:60" ht="21" customHeight="1">
      <c r="A16" s="651" t="s">
        <v>540</v>
      </c>
      <c r="B16" s="651" t="s">
        <v>754</v>
      </c>
      <c r="C16" s="651" t="s">
        <v>755</v>
      </c>
      <c r="D16" s="652">
        <v>8332</v>
      </c>
      <c r="E16" s="652"/>
      <c r="F16" s="652"/>
      <c r="G16" s="652">
        <v>13</v>
      </c>
      <c r="H16" s="652">
        <v>3</v>
      </c>
      <c r="I16" s="652">
        <f t="shared" si="40"/>
        <v>13</v>
      </c>
      <c r="J16" s="654">
        <v>32.85</v>
      </c>
      <c r="K16" s="654">
        <v>5455.38</v>
      </c>
      <c r="L16" s="687">
        <f t="shared" si="2"/>
        <v>5455.84</v>
      </c>
      <c r="M16" s="652">
        <v>32</v>
      </c>
      <c r="N16" s="688">
        <f t="shared" si="39"/>
        <v>1745.87</v>
      </c>
      <c r="O16" s="652">
        <v>70</v>
      </c>
      <c r="P16" s="687">
        <f t="shared" si="35"/>
        <v>3819.09</v>
      </c>
      <c r="Q16" s="689">
        <f t="shared" si="3"/>
        <v>11020.8</v>
      </c>
      <c r="R16" s="686">
        <f t="shared" si="4"/>
        <v>143270.39999999999</v>
      </c>
      <c r="S16" s="651">
        <f t="shared" si="5"/>
        <v>49648.17</v>
      </c>
      <c r="T16" s="651"/>
      <c r="U16" s="671">
        <f t="shared" si="6"/>
        <v>429811.20000000001</v>
      </c>
      <c r="V16" s="671">
        <f t="shared" si="7"/>
        <v>212777.76</v>
      </c>
      <c r="W16" s="671">
        <f t="shared" si="8"/>
        <v>217033.44</v>
      </c>
      <c r="X16" s="671">
        <f t="shared" si="9"/>
        <v>429811.20000000001</v>
      </c>
      <c r="Y16" s="691">
        <f t="shared" si="10"/>
        <v>5455.84</v>
      </c>
      <c r="Z16" s="691">
        <v>1</v>
      </c>
      <c r="AA16" s="671">
        <f t="shared" si="11"/>
        <v>212777.76</v>
      </c>
      <c r="AB16" s="671">
        <f t="shared" si="12"/>
        <v>217033.44</v>
      </c>
      <c r="AC16" s="671">
        <f t="shared" si="13"/>
        <v>447003.65</v>
      </c>
      <c r="AD16" s="689">
        <f t="shared" si="14"/>
        <v>5674.07</v>
      </c>
      <c r="AE16" s="691">
        <f t="shared" si="36"/>
        <v>1.04</v>
      </c>
      <c r="AF16" s="671">
        <f t="shared" si="15"/>
        <v>221288.87</v>
      </c>
      <c r="AG16" s="692">
        <f t="shared" si="16"/>
        <v>225714.78</v>
      </c>
      <c r="AH16" s="671">
        <f t="shared" si="17"/>
        <v>454155.71</v>
      </c>
      <c r="AI16" s="691">
        <f t="shared" si="18"/>
        <v>5764.86</v>
      </c>
      <c r="AJ16" s="691">
        <f t="shared" si="37"/>
        <v>1.016</v>
      </c>
      <c r="AK16" s="671">
        <f t="shared" si="19"/>
        <v>224829.49</v>
      </c>
      <c r="AL16" s="671">
        <f t="shared" si="20"/>
        <v>229326.22</v>
      </c>
      <c r="AM16" s="661">
        <v>0.04</v>
      </c>
      <c r="AN16" s="662">
        <f t="shared" si="0"/>
        <v>0.52</v>
      </c>
      <c r="AO16" s="691">
        <f t="shared" si="21"/>
        <v>17192.45</v>
      </c>
      <c r="AP16" s="691">
        <f t="shared" si="22"/>
        <v>17192.45</v>
      </c>
      <c r="AQ16" s="691">
        <f t="shared" si="23"/>
        <v>17880.150000000001</v>
      </c>
      <c r="AR16" s="691">
        <f t="shared" si="24"/>
        <v>18166.23</v>
      </c>
      <c r="AS16" s="671">
        <f t="shared" si="25"/>
        <v>412618.75</v>
      </c>
      <c r="AT16" s="671">
        <f t="shared" si="26"/>
        <v>412618.75</v>
      </c>
      <c r="AU16" s="671">
        <f t="shared" si="27"/>
        <v>429123.5</v>
      </c>
      <c r="AV16" s="671">
        <f t="shared" si="28"/>
        <v>435989.48000000004</v>
      </c>
      <c r="AW16" s="695">
        <f t="shared" si="38"/>
        <v>92222.01</v>
      </c>
      <c r="AX16" s="696">
        <f t="shared" si="29"/>
        <v>92222.01</v>
      </c>
      <c r="AY16" s="696">
        <f t="shared" si="30"/>
        <v>95910.89</v>
      </c>
      <c r="AZ16" s="697">
        <f t="shared" si="31"/>
        <v>97445.47</v>
      </c>
      <c r="BA16" s="832"/>
      <c r="BB16" s="663">
        <f t="shared" si="32"/>
        <v>1313779.1500000001</v>
      </c>
      <c r="BC16" s="694">
        <f t="shared" si="33"/>
        <v>871673.88</v>
      </c>
      <c r="BD16" s="694">
        <f t="shared" si="34"/>
        <v>889107.88</v>
      </c>
      <c r="BE16" s="663">
        <f t="shared" si="1"/>
        <v>8421.6612179487183</v>
      </c>
      <c r="BG16" s="699">
        <v>8.4099999999999994E-2</v>
      </c>
      <c r="BH16" s="700">
        <v>0.22</v>
      </c>
    </row>
    <row r="17" spans="1:60" ht="21" hidden="1" customHeight="1">
      <c r="A17" s="651" t="s">
        <v>541</v>
      </c>
      <c r="B17" s="651" t="s">
        <v>754</v>
      </c>
      <c r="C17" s="651" t="s">
        <v>755</v>
      </c>
      <c r="D17" s="652">
        <v>8332</v>
      </c>
      <c r="E17" s="652"/>
      <c r="F17" s="652"/>
      <c r="G17" s="652">
        <v>2</v>
      </c>
      <c r="H17" s="652">
        <v>2</v>
      </c>
      <c r="I17" s="652"/>
      <c r="J17" s="654">
        <v>29.56</v>
      </c>
      <c r="K17" s="654">
        <v>4909.5</v>
      </c>
      <c r="L17" s="687">
        <f t="shared" si="2"/>
        <v>4909.42</v>
      </c>
      <c r="M17" s="652">
        <v>12</v>
      </c>
      <c r="N17" s="688">
        <f t="shared" si="39"/>
        <v>589.13</v>
      </c>
      <c r="O17" s="652">
        <v>70</v>
      </c>
      <c r="P17" s="687">
        <f t="shared" si="35"/>
        <v>3436.59</v>
      </c>
      <c r="Q17" s="689">
        <f t="shared" si="3"/>
        <v>8935.14</v>
      </c>
      <c r="R17" s="686">
        <f t="shared" si="4"/>
        <v>17870.28</v>
      </c>
      <c r="S17" s="651">
        <f t="shared" si="5"/>
        <v>6873.18</v>
      </c>
      <c r="T17" s="651"/>
      <c r="U17" s="671">
        <f t="shared" si="6"/>
        <v>53610.84</v>
      </c>
      <c r="V17" s="671">
        <f t="shared" si="7"/>
        <v>29456.52</v>
      </c>
      <c r="W17" s="671">
        <f t="shared" si="8"/>
        <v>24154.32</v>
      </c>
      <c r="X17" s="671">
        <f t="shared" si="9"/>
        <v>53610.84</v>
      </c>
      <c r="Y17" s="691">
        <f t="shared" si="10"/>
        <v>4909.42</v>
      </c>
      <c r="Z17" s="691">
        <v>1</v>
      </c>
      <c r="AA17" s="671">
        <f t="shared" si="11"/>
        <v>29456.52</v>
      </c>
      <c r="AB17" s="671">
        <f t="shared" si="12"/>
        <v>24154.32</v>
      </c>
      <c r="AC17" s="671">
        <f t="shared" si="13"/>
        <v>55755.27</v>
      </c>
      <c r="AD17" s="689">
        <f t="shared" si="14"/>
        <v>5105.8</v>
      </c>
      <c r="AE17" s="691">
        <f t="shared" si="36"/>
        <v>1.04</v>
      </c>
      <c r="AF17" s="671">
        <f t="shared" si="15"/>
        <v>30634.78</v>
      </c>
      <c r="AG17" s="692">
        <f t="shared" si="16"/>
        <v>25120.49</v>
      </c>
      <c r="AH17" s="671">
        <f t="shared" si="17"/>
        <v>56647.360000000001</v>
      </c>
      <c r="AI17" s="691">
        <f t="shared" si="18"/>
        <v>5187.49</v>
      </c>
      <c r="AJ17" s="691">
        <f t="shared" si="37"/>
        <v>1.016</v>
      </c>
      <c r="AK17" s="671">
        <f t="shared" si="19"/>
        <v>31124.94</v>
      </c>
      <c r="AL17" s="671">
        <f t="shared" si="20"/>
        <v>25522.42</v>
      </c>
      <c r="AM17" s="661">
        <v>0.04</v>
      </c>
      <c r="AN17" s="662">
        <f t="shared" si="0"/>
        <v>0.08</v>
      </c>
      <c r="AO17" s="691">
        <f t="shared" si="21"/>
        <v>2144.4299999999998</v>
      </c>
      <c r="AP17" s="691">
        <f t="shared" si="22"/>
        <v>2144.4299999999998</v>
      </c>
      <c r="AQ17" s="691">
        <f t="shared" si="23"/>
        <v>2230.21</v>
      </c>
      <c r="AR17" s="691">
        <f t="shared" si="24"/>
        <v>2265.89</v>
      </c>
      <c r="AS17" s="671">
        <f t="shared" si="25"/>
        <v>51466.409999999996</v>
      </c>
      <c r="AT17" s="671">
        <f t="shared" si="26"/>
        <v>51466.409999999996</v>
      </c>
      <c r="AU17" s="671">
        <f t="shared" si="27"/>
        <v>53525.06</v>
      </c>
      <c r="AV17" s="671">
        <f t="shared" si="28"/>
        <v>54381.47</v>
      </c>
      <c r="AW17" s="695">
        <f t="shared" si="38"/>
        <v>11502.96</v>
      </c>
      <c r="AX17" s="696">
        <f t="shared" si="29"/>
        <v>11502.96</v>
      </c>
      <c r="AY17" s="696">
        <f t="shared" si="30"/>
        <v>11963.07</v>
      </c>
      <c r="AZ17" s="697">
        <f t="shared" si="31"/>
        <v>12154.48</v>
      </c>
      <c r="BA17" s="832"/>
      <c r="BB17" s="663">
        <f t="shared" si="32"/>
        <v>163870.07999999999</v>
      </c>
      <c r="BC17" s="694">
        <f t="shared" si="33"/>
        <v>120672.76</v>
      </c>
      <c r="BD17" s="694">
        <f t="shared" si="34"/>
        <v>98951.55</v>
      </c>
      <c r="BE17" s="663">
        <f t="shared" si="1"/>
        <v>6827.9199999999992</v>
      </c>
      <c r="BG17" s="699">
        <v>8.4099999999999994E-2</v>
      </c>
      <c r="BH17" s="700">
        <v>0.22</v>
      </c>
    </row>
    <row r="18" spans="1:60" ht="21" hidden="1" customHeight="1">
      <c r="A18" s="651" t="s">
        <v>541</v>
      </c>
      <c r="B18" s="651" t="s">
        <v>754</v>
      </c>
      <c r="C18" s="651" t="s">
        <v>755</v>
      </c>
      <c r="D18" s="652">
        <v>8332</v>
      </c>
      <c r="E18" s="652"/>
      <c r="F18" s="652"/>
      <c r="G18" s="652">
        <v>12</v>
      </c>
      <c r="H18" s="652">
        <v>3</v>
      </c>
      <c r="I18" s="652"/>
      <c r="J18" s="654">
        <v>32.85</v>
      </c>
      <c r="K18" s="654">
        <v>5455.38</v>
      </c>
      <c r="L18" s="687">
        <f t="shared" si="2"/>
        <v>5455.84</v>
      </c>
      <c r="M18" s="652">
        <v>24</v>
      </c>
      <c r="N18" s="688">
        <f t="shared" si="39"/>
        <v>1309.4000000000001</v>
      </c>
      <c r="O18" s="652">
        <v>70</v>
      </c>
      <c r="P18" s="687">
        <f t="shared" si="35"/>
        <v>3819.09</v>
      </c>
      <c r="Q18" s="689">
        <f t="shared" si="3"/>
        <v>10584.33</v>
      </c>
      <c r="R18" s="686">
        <f t="shared" si="4"/>
        <v>127011.96</v>
      </c>
      <c r="S18" s="651">
        <f t="shared" si="5"/>
        <v>45829.08</v>
      </c>
      <c r="T18" s="651"/>
      <c r="U18" s="671">
        <f t="shared" si="6"/>
        <v>381035.88</v>
      </c>
      <c r="V18" s="671">
        <f t="shared" si="7"/>
        <v>196410.23999999999</v>
      </c>
      <c r="W18" s="671">
        <f t="shared" si="8"/>
        <v>184625.64</v>
      </c>
      <c r="X18" s="671">
        <f t="shared" si="9"/>
        <v>381035.88</v>
      </c>
      <c r="Y18" s="691">
        <f t="shared" si="10"/>
        <v>5455.84</v>
      </c>
      <c r="Z18" s="691">
        <v>1</v>
      </c>
      <c r="AA18" s="671">
        <f t="shared" si="11"/>
        <v>196410.23999999999</v>
      </c>
      <c r="AB18" s="671">
        <f t="shared" si="12"/>
        <v>184625.64</v>
      </c>
      <c r="AC18" s="671">
        <f t="shared" si="13"/>
        <v>396277.32</v>
      </c>
      <c r="AD18" s="689">
        <f t="shared" si="14"/>
        <v>5674.07</v>
      </c>
      <c r="AE18" s="691">
        <f t="shared" si="36"/>
        <v>1.04</v>
      </c>
      <c r="AF18" s="671">
        <f t="shared" si="15"/>
        <v>204266.65</v>
      </c>
      <c r="AG18" s="692">
        <f t="shared" si="16"/>
        <v>192010.67</v>
      </c>
      <c r="AH18" s="671">
        <f t="shared" si="17"/>
        <v>402617.76</v>
      </c>
      <c r="AI18" s="691">
        <f t="shared" si="18"/>
        <v>5764.86</v>
      </c>
      <c r="AJ18" s="691">
        <f t="shared" si="37"/>
        <v>1.016</v>
      </c>
      <c r="AK18" s="671">
        <f t="shared" si="19"/>
        <v>207534.92</v>
      </c>
      <c r="AL18" s="671">
        <f t="shared" si="20"/>
        <v>195082.84</v>
      </c>
      <c r="AM18" s="661">
        <v>0.04</v>
      </c>
      <c r="AN18" s="662">
        <f t="shared" si="0"/>
        <v>0.48</v>
      </c>
      <c r="AO18" s="691">
        <f t="shared" si="21"/>
        <v>15241.44</v>
      </c>
      <c r="AP18" s="691">
        <f t="shared" si="22"/>
        <v>15241.44</v>
      </c>
      <c r="AQ18" s="691">
        <f t="shared" si="23"/>
        <v>15851.09</v>
      </c>
      <c r="AR18" s="691">
        <f t="shared" si="24"/>
        <v>16104.71</v>
      </c>
      <c r="AS18" s="671">
        <f t="shared" si="25"/>
        <v>365794.44</v>
      </c>
      <c r="AT18" s="671">
        <f t="shared" si="26"/>
        <v>365794.44</v>
      </c>
      <c r="AU18" s="671">
        <f t="shared" si="27"/>
        <v>380426.23</v>
      </c>
      <c r="AV18" s="671">
        <f t="shared" si="28"/>
        <v>386513.05</v>
      </c>
      <c r="AW18" s="695">
        <f t="shared" si="38"/>
        <v>81756.58</v>
      </c>
      <c r="AX18" s="696">
        <f t="shared" si="29"/>
        <v>81756.58</v>
      </c>
      <c r="AY18" s="696">
        <f t="shared" si="30"/>
        <v>85026.85</v>
      </c>
      <c r="AZ18" s="697">
        <f t="shared" si="31"/>
        <v>86387.28</v>
      </c>
      <c r="BA18" s="832"/>
      <c r="BB18" s="663">
        <f t="shared" si="32"/>
        <v>1164690.56</v>
      </c>
      <c r="BC18" s="694">
        <f t="shared" si="33"/>
        <v>804622.05</v>
      </c>
      <c r="BD18" s="694">
        <f t="shared" si="34"/>
        <v>756344.79</v>
      </c>
      <c r="BE18" s="663">
        <f t="shared" si="1"/>
        <v>8088.1288888888894</v>
      </c>
      <c r="BG18" s="699">
        <v>8.4099999999999994E-2</v>
      </c>
      <c r="BH18" s="700">
        <v>0.22</v>
      </c>
    </row>
    <row r="19" spans="1:60" ht="40.5" customHeight="1">
      <c r="A19" s="651" t="s">
        <v>542</v>
      </c>
      <c r="B19" s="651" t="s">
        <v>754</v>
      </c>
      <c r="C19" s="651" t="s">
        <v>755</v>
      </c>
      <c r="D19" s="652">
        <v>8332</v>
      </c>
      <c r="E19" s="652">
        <v>3</v>
      </c>
      <c r="F19" s="652"/>
      <c r="G19" s="652">
        <v>3</v>
      </c>
      <c r="H19" s="652">
        <v>4</v>
      </c>
      <c r="I19" s="652">
        <v>1</v>
      </c>
      <c r="J19" s="654">
        <v>41</v>
      </c>
      <c r="K19" s="654">
        <v>6808.83</v>
      </c>
      <c r="L19" s="687">
        <f t="shared" si="2"/>
        <v>6809.42</v>
      </c>
      <c r="M19" s="652">
        <v>28</v>
      </c>
      <c r="N19" s="688">
        <f t="shared" si="39"/>
        <v>1906.64</v>
      </c>
      <c r="O19" s="652">
        <v>20</v>
      </c>
      <c r="P19" s="687">
        <f t="shared" si="35"/>
        <v>1361.88</v>
      </c>
      <c r="Q19" s="689">
        <f t="shared" si="3"/>
        <v>10077.94</v>
      </c>
      <c r="R19" s="686">
        <f t="shared" si="4"/>
        <v>30233.82</v>
      </c>
      <c r="S19" s="651">
        <f t="shared" si="5"/>
        <v>4085.6400000000003</v>
      </c>
      <c r="T19" s="651"/>
      <c r="U19" s="671">
        <f t="shared" si="6"/>
        <v>90701.46</v>
      </c>
      <c r="V19" s="671">
        <f t="shared" si="7"/>
        <v>61284.78</v>
      </c>
      <c r="W19" s="671">
        <f t="shared" si="8"/>
        <v>29416.68</v>
      </c>
      <c r="X19" s="671">
        <f t="shared" si="9"/>
        <v>90701.459999999992</v>
      </c>
      <c r="Y19" s="691">
        <f t="shared" si="10"/>
        <v>6809.42</v>
      </c>
      <c r="Z19" s="691">
        <v>1</v>
      </c>
      <c r="AA19" s="671">
        <f t="shared" si="11"/>
        <v>61284.78</v>
      </c>
      <c r="AB19" s="671">
        <f t="shared" si="12"/>
        <v>29416.68</v>
      </c>
      <c r="AC19" s="671">
        <f t="shared" si="13"/>
        <v>94329.52</v>
      </c>
      <c r="AD19" s="689">
        <f t="shared" si="14"/>
        <v>7081.8</v>
      </c>
      <c r="AE19" s="691">
        <f t="shared" si="36"/>
        <v>1.04</v>
      </c>
      <c r="AF19" s="671">
        <f t="shared" si="15"/>
        <v>63736.17</v>
      </c>
      <c r="AG19" s="692">
        <f t="shared" si="16"/>
        <v>30593.35</v>
      </c>
      <c r="AH19" s="671">
        <f t="shared" si="17"/>
        <v>95838.79</v>
      </c>
      <c r="AI19" s="691">
        <f t="shared" si="18"/>
        <v>7195.11</v>
      </c>
      <c r="AJ19" s="691">
        <f t="shared" si="37"/>
        <v>1.016</v>
      </c>
      <c r="AK19" s="671">
        <f t="shared" si="19"/>
        <v>64755.95</v>
      </c>
      <c r="AL19" s="671">
        <f t="shared" si="20"/>
        <v>31082.84</v>
      </c>
      <c r="AM19" s="661">
        <v>0.04</v>
      </c>
      <c r="AN19" s="662">
        <f t="shared" si="0"/>
        <v>0.12</v>
      </c>
      <c r="AO19" s="691">
        <f t="shared" si="21"/>
        <v>3628.06</v>
      </c>
      <c r="AP19" s="691">
        <f t="shared" si="22"/>
        <v>3628.06</v>
      </c>
      <c r="AQ19" s="691">
        <f t="shared" si="23"/>
        <v>3773.18</v>
      </c>
      <c r="AR19" s="691">
        <f t="shared" si="24"/>
        <v>3833.55</v>
      </c>
      <c r="AS19" s="671">
        <f t="shared" si="25"/>
        <v>87073.400000000009</v>
      </c>
      <c r="AT19" s="671">
        <f t="shared" si="26"/>
        <v>87073.4</v>
      </c>
      <c r="AU19" s="671">
        <f t="shared" si="27"/>
        <v>90556.340000000011</v>
      </c>
      <c r="AV19" s="671">
        <f t="shared" si="28"/>
        <v>92005.239999999991</v>
      </c>
      <c r="AW19" s="695">
        <f t="shared" si="38"/>
        <v>19461.27</v>
      </c>
      <c r="AX19" s="696">
        <f t="shared" si="29"/>
        <v>19461.27</v>
      </c>
      <c r="AY19" s="696">
        <f t="shared" si="30"/>
        <v>20239.72</v>
      </c>
      <c r="AZ19" s="697">
        <f t="shared" si="31"/>
        <v>20563.55</v>
      </c>
      <c r="BA19" s="832"/>
      <c r="BB19" s="663">
        <f t="shared" si="32"/>
        <v>277242.75</v>
      </c>
      <c r="BC19" s="694">
        <f t="shared" si="33"/>
        <v>251061.68</v>
      </c>
      <c r="BD19" s="694">
        <f t="shared" si="34"/>
        <v>120509.55</v>
      </c>
      <c r="BE19" s="663">
        <f t="shared" si="1"/>
        <v>7701.1875</v>
      </c>
      <c r="BG19" s="699">
        <v>8.4099999999999994E-2</v>
      </c>
      <c r="BH19" s="700">
        <v>0.22</v>
      </c>
    </row>
    <row r="20" spans="1:60" ht="21" customHeight="1">
      <c r="A20" s="651" t="s">
        <v>543</v>
      </c>
      <c r="B20" s="651" t="s">
        <v>754</v>
      </c>
      <c r="C20" s="651" t="s">
        <v>755</v>
      </c>
      <c r="D20" s="652">
        <v>8332</v>
      </c>
      <c r="E20" s="652">
        <v>1</v>
      </c>
      <c r="F20" s="652"/>
      <c r="G20" s="652">
        <v>1</v>
      </c>
      <c r="H20" s="652">
        <v>5</v>
      </c>
      <c r="I20" s="652">
        <v>1</v>
      </c>
      <c r="J20" s="654">
        <v>46.76</v>
      </c>
      <c r="K20" s="654">
        <v>7765.43</v>
      </c>
      <c r="L20" s="687">
        <f t="shared" si="2"/>
        <v>7766.06</v>
      </c>
      <c r="M20" s="652">
        <v>32</v>
      </c>
      <c r="N20" s="688">
        <f t="shared" si="39"/>
        <v>2485.14</v>
      </c>
      <c r="O20" s="652">
        <v>20</v>
      </c>
      <c r="P20" s="687">
        <f t="shared" si="35"/>
        <v>1553.21</v>
      </c>
      <c r="Q20" s="689">
        <f t="shared" si="3"/>
        <v>11804.41</v>
      </c>
      <c r="R20" s="686">
        <f t="shared" si="4"/>
        <v>11804.41</v>
      </c>
      <c r="S20" s="651">
        <f t="shared" si="5"/>
        <v>1553.21</v>
      </c>
      <c r="T20" s="651"/>
      <c r="U20" s="671">
        <f t="shared" si="6"/>
        <v>35413.230000000003</v>
      </c>
      <c r="V20" s="671">
        <f t="shared" si="7"/>
        <v>23298.18</v>
      </c>
      <c r="W20" s="671">
        <f t="shared" si="8"/>
        <v>12115.05</v>
      </c>
      <c r="X20" s="671">
        <f t="shared" si="9"/>
        <v>35413.229999999996</v>
      </c>
      <c r="Y20" s="691">
        <f t="shared" si="10"/>
        <v>7766.06</v>
      </c>
      <c r="Z20" s="691">
        <v>1</v>
      </c>
      <c r="AA20" s="671">
        <f t="shared" si="11"/>
        <v>23298.18</v>
      </c>
      <c r="AB20" s="671">
        <f t="shared" si="12"/>
        <v>12115.05</v>
      </c>
      <c r="AC20" s="671">
        <f t="shared" si="13"/>
        <v>36829.760000000002</v>
      </c>
      <c r="AD20" s="689">
        <f t="shared" si="14"/>
        <v>8076.7</v>
      </c>
      <c r="AE20" s="691">
        <f t="shared" si="36"/>
        <v>1.04</v>
      </c>
      <c r="AF20" s="671">
        <f t="shared" si="15"/>
        <v>24230.11</v>
      </c>
      <c r="AG20" s="692">
        <f t="shared" si="16"/>
        <v>12599.65</v>
      </c>
      <c r="AH20" s="671">
        <f t="shared" si="17"/>
        <v>37419.03</v>
      </c>
      <c r="AI20" s="691">
        <f t="shared" si="18"/>
        <v>8205.93</v>
      </c>
      <c r="AJ20" s="691">
        <f t="shared" si="37"/>
        <v>1.016</v>
      </c>
      <c r="AK20" s="671">
        <f t="shared" si="19"/>
        <v>24617.79</v>
      </c>
      <c r="AL20" s="671">
        <f t="shared" si="20"/>
        <v>12801.24</v>
      </c>
      <c r="AM20" s="661">
        <v>0.04</v>
      </c>
      <c r="AN20" s="662">
        <f t="shared" si="0"/>
        <v>0.04</v>
      </c>
      <c r="AO20" s="691">
        <f t="shared" si="21"/>
        <v>1416.53</v>
      </c>
      <c r="AP20" s="691">
        <f t="shared" si="22"/>
        <v>1416.53</v>
      </c>
      <c r="AQ20" s="691">
        <f t="shared" si="23"/>
        <v>1473.19</v>
      </c>
      <c r="AR20" s="691">
        <f t="shared" si="24"/>
        <v>1496.76</v>
      </c>
      <c r="AS20" s="671">
        <f t="shared" si="25"/>
        <v>33996.700000000004</v>
      </c>
      <c r="AT20" s="671">
        <f t="shared" si="26"/>
        <v>33996.699999999997</v>
      </c>
      <c r="AU20" s="671">
        <f t="shared" si="27"/>
        <v>35356.57</v>
      </c>
      <c r="AV20" s="671">
        <f t="shared" si="28"/>
        <v>35922.269999999997</v>
      </c>
      <c r="AW20" s="695">
        <f t="shared" si="38"/>
        <v>7598.4</v>
      </c>
      <c r="AX20" s="696">
        <f t="shared" si="29"/>
        <v>7598.4</v>
      </c>
      <c r="AY20" s="696">
        <f t="shared" si="30"/>
        <v>7902.34</v>
      </c>
      <c r="AZ20" s="697">
        <f t="shared" si="31"/>
        <v>8028.78</v>
      </c>
      <c r="BA20" s="832"/>
      <c r="BB20" s="663">
        <f t="shared" si="32"/>
        <v>108246.52999999998</v>
      </c>
      <c r="BC20" s="694">
        <f t="shared" si="33"/>
        <v>95444.26</v>
      </c>
      <c r="BD20" s="694">
        <f t="shared" si="34"/>
        <v>49630.99</v>
      </c>
      <c r="BE20" s="663">
        <f t="shared" si="1"/>
        <v>9020.5441666666648</v>
      </c>
      <c r="BG20" s="699">
        <v>8.4099999999999994E-2</v>
      </c>
      <c r="BH20" s="700">
        <v>0.22</v>
      </c>
    </row>
    <row r="21" spans="1:60" ht="27.75" hidden="1" customHeight="1">
      <c r="A21" s="651" t="s">
        <v>545</v>
      </c>
      <c r="B21" s="651" t="s">
        <v>754</v>
      </c>
      <c r="C21" s="651" t="s">
        <v>755</v>
      </c>
      <c r="D21" s="652">
        <v>8322</v>
      </c>
      <c r="E21" s="652">
        <v>1</v>
      </c>
      <c r="F21" s="652" t="s">
        <v>759</v>
      </c>
      <c r="G21" s="652">
        <v>1</v>
      </c>
      <c r="H21" s="652">
        <v>3</v>
      </c>
      <c r="I21" s="652"/>
      <c r="J21" s="654">
        <v>43.31</v>
      </c>
      <c r="K21" s="654">
        <v>7193.55</v>
      </c>
      <c r="L21" s="687">
        <f t="shared" si="2"/>
        <v>7193.07</v>
      </c>
      <c r="M21" s="652">
        <v>26.7</v>
      </c>
      <c r="N21" s="688">
        <f t="shared" si="39"/>
        <v>1920.55</v>
      </c>
      <c r="O21" s="652">
        <v>25</v>
      </c>
      <c r="P21" s="687">
        <f t="shared" si="35"/>
        <v>1798.27</v>
      </c>
      <c r="Q21" s="689">
        <f t="shared" si="3"/>
        <v>10911.89</v>
      </c>
      <c r="R21" s="686">
        <f t="shared" si="4"/>
        <v>10911.89</v>
      </c>
      <c r="S21" s="651">
        <f t="shared" si="5"/>
        <v>1798.27</v>
      </c>
      <c r="T21" s="651"/>
      <c r="U21" s="671">
        <f t="shared" si="6"/>
        <v>32735.67</v>
      </c>
      <c r="V21" s="671">
        <f t="shared" si="7"/>
        <v>21579.21</v>
      </c>
      <c r="W21" s="671">
        <f t="shared" si="8"/>
        <v>11156.46</v>
      </c>
      <c r="X21" s="671">
        <f t="shared" si="9"/>
        <v>32735.67</v>
      </c>
      <c r="Y21" s="691">
        <f t="shared" si="10"/>
        <v>7193.07</v>
      </c>
      <c r="Z21" s="691">
        <v>1</v>
      </c>
      <c r="AA21" s="671">
        <f t="shared" si="11"/>
        <v>21579.21</v>
      </c>
      <c r="AB21" s="671">
        <f t="shared" si="12"/>
        <v>11156.46</v>
      </c>
      <c r="AC21" s="671">
        <f t="shared" si="13"/>
        <v>34045.1</v>
      </c>
      <c r="AD21" s="689">
        <f t="shared" si="14"/>
        <v>7480.79</v>
      </c>
      <c r="AE21" s="691">
        <f t="shared" si="36"/>
        <v>1.04</v>
      </c>
      <c r="AF21" s="671">
        <f t="shared" si="15"/>
        <v>22442.38</v>
      </c>
      <c r="AG21" s="692">
        <f t="shared" si="16"/>
        <v>11602.72</v>
      </c>
      <c r="AH21" s="671">
        <f t="shared" si="17"/>
        <v>34589.82</v>
      </c>
      <c r="AI21" s="691">
        <f t="shared" si="18"/>
        <v>7600.48</v>
      </c>
      <c r="AJ21" s="691">
        <f t="shared" si="37"/>
        <v>1.016</v>
      </c>
      <c r="AK21" s="671">
        <f t="shared" si="19"/>
        <v>22801.46</v>
      </c>
      <c r="AL21" s="671">
        <f t="shared" si="20"/>
        <v>11788.36</v>
      </c>
      <c r="AM21" s="661">
        <v>0.04</v>
      </c>
      <c r="AN21" s="662">
        <f t="shared" si="0"/>
        <v>0.04</v>
      </c>
      <c r="AO21" s="691">
        <f t="shared" si="21"/>
        <v>1309.43</v>
      </c>
      <c r="AP21" s="691">
        <f t="shared" si="22"/>
        <v>1309.43</v>
      </c>
      <c r="AQ21" s="691">
        <f t="shared" si="23"/>
        <v>1361.8</v>
      </c>
      <c r="AR21" s="691">
        <f t="shared" si="24"/>
        <v>1383.59</v>
      </c>
      <c r="AS21" s="671">
        <f t="shared" si="25"/>
        <v>31426.239999999998</v>
      </c>
      <c r="AT21" s="671">
        <f t="shared" si="26"/>
        <v>31426.239999999998</v>
      </c>
      <c r="AU21" s="671">
        <f t="shared" si="27"/>
        <v>32683.3</v>
      </c>
      <c r="AV21" s="671">
        <f t="shared" si="28"/>
        <v>33206.230000000003</v>
      </c>
      <c r="AW21" s="695">
        <f t="shared" si="38"/>
        <v>7023.9</v>
      </c>
      <c r="AX21" s="696">
        <f t="shared" si="29"/>
        <v>7023.9</v>
      </c>
      <c r="AY21" s="696">
        <f t="shared" si="30"/>
        <v>7304.85</v>
      </c>
      <c r="AZ21" s="697">
        <f t="shared" si="31"/>
        <v>7421.73</v>
      </c>
      <c r="BA21" s="832"/>
      <c r="BB21" s="663">
        <f t="shared" si="32"/>
        <v>100062.2</v>
      </c>
      <c r="BC21" s="694">
        <f t="shared" si="33"/>
        <v>88402.26</v>
      </c>
      <c r="BD21" s="694">
        <f t="shared" si="34"/>
        <v>45704</v>
      </c>
      <c r="BE21" s="663">
        <f t="shared" si="1"/>
        <v>8338.5166666666664</v>
      </c>
      <c r="BG21" s="699">
        <v>8.4099999999999994E-2</v>
      </c>
      <c r="BH21" s="700">
        <v>0.22</v>
      </c>
    </row>
    <row r="22" spans="1:60" ht="38.25" hidden="1" customHeight="1">
      <c r="A22" s="651" t="s">
        <v>546</v>
      </c>
      <c r="B22" s="651" t="s">
        <v>754</v>
      </c>
      <c r="C22" s="651" t="s">
        <v>755</v>
      </c>
      <c r="D22" s="652">
        <v>8322</v>
      </c>
      <c r="E22" s="652">
        <v>1</v>
      </c>
      <c r="F22" s="652" t="s">
        <v>760</v>
      </c>
      <c r="G22" s="652">
        <v>2</v>
      </c>
      <c r="H22" s="652">
        <v>3</v>
      </c>
      <c r="I22" s="652"/>
      <c r="J22" s="654">
        <v>44.94</v>
      </c>
      <c r="K22" s="654">
        <v>7463.89</v>
      </c>
      <c r="L22" s="687">
        <f t="shared" si="2"/>
        <v>7463.79</v>
      </c>
      <c r="M22" s="652">
        <v>26.7</v>
      </c>
      <c r="N22" s="688">
        <f t="shared" si="39"/>
        <v>1992.83</v>
      </c>
      <c r="O22" s="652">
        <v>25</v>
      </c>
      <c r="P22" s="687">
        <f t="shared" si="35"/>
        <v>1865.95</v>
      </c>
      <c r="Q22" s="689">
        <f t="shared" si="3"/>
        <v>11322.57</v>
      </c>
      <c r="R22" s="686">
        <f t="shared" si="4"/>
        <v>22645.14</v>
      </c>
      <c r="S22" s="651">
        <f t="shared" si="5"/>
        <v>3731.9</v>
      </c>
      <c r="T22" s="651"/>
      <c r="U22" s="671">
        <f t="shared" si="6"/>
        <v>67935.42</v>
      </c>
      <c r="V22" s="671">
        <f t="shared" si="7"/>
        <v>44782.74</v>
      </c>
      <c r="W22" s="671">
        <f t="shared" si="8"/>
        <v>23152.68</v>
      </c>
      <c r="X22" s="671">
        <f t="shared" si="9"/>
        <v>67935.42</v>
      </c>
      <c r="Y22" s="691">
        <f t="shared" si="10"/>
        <v>7463.79</v>
      </c>
      <c r="Z22" s="691">
        <v>1</v>
      </c>
      <c r="AA22" s="671">
        <f t="shared" si="11"/>
        <v>44782.74</v>
      </c>
      <c r="AB22" s="671">
        <f t="shared" si="12"/>
        <v>23152.68</v>
      </c>
      <c r="AC22" s="671">
        <f t="shared" si="13"/>
        <v>70652.84</v>
      </c>
      <c r="AD22" s="689">
        <f t="shared" si="14"/>
        <v>7762.34</v>
      </c>
      <c r="AE22" s="691">
        <f t="shared" si="36"/>
        <v>1.04</v>
      </c>
      <c r="AF22" s="671">
        <f t="shared" si="15"/>
        <v>46574.05</v>
      </c>
      <c r="AG22" s="692">
        <f t="shared" si="16"/>
        <v>24078.79</v>
      </c>
      <c r="AH22" s="671">
        <f t="shared" si="17"/>
        <v>71783.28</v>
      </c>
      <c r="AI22" s="691">
        <f t="shared" si="18"/>
        <v>7886.54</v>
      </c>
      <c r="AJ22" s="691">
        <f t="shared" si="37"/>
        <v>1.016</v>
      </c>
      <c r="AK22" s="671">
        <f t="shared" si="19"/>
        <v>47319.23</v>
      </c>
      <c r="AL22" s="671">
        <f t="shared" si="20"/>
        <v>24464.05</v>
      </c>
      <c r="AM22" s="661">
        <v>0.04</v>
      </c>
      <c r="AN22" s="662">
        <f t="shared" si="0"/>
        <v>0.08</v>
      </c>
      <c r="AO22" s="691">
        <f t="shared" si="21"/>
        <v>2717.42</v>
      </c>
      <c r="AP22" s="691">
        <f t="shared" si="22"/>
        <v>2717.42</v>
      </c>
      <c r="AQ22" s="691">
        <f t="shared" si="23"/>
        <v>2826.11</v>
      </c>
      <c r="AR22" s="691">
        <f t="shared" si="24"/>
        <v>2871.33</v>
      </c>
      <c r="AS22" s="671">
        <f t="shared" si="25"/>
        <v>65218</v>
      </c>
      <c r="AT22" s="671">
        <f t="shared" si="26"/>
        <v>65218</v>
      </c>
      <c r="AU22" s="671">
        <f t="shared" si="27"/>
        <v>67826.73</v>
      </c>
      <c r="AV22" s="671">
        <f t="shared" si="28"/>
        <v>68911.95</v>
      </c>
      <c r="AW22" s="695">
        <f t="shared" si="38"/>
        <v>14576.5</v>
      </c>
      <c r="AX22" s="696">
        <f t="shared" si="29"/>
        <v>14576.5</v>
      </c>
      <c r="AY22" s="696">
        <f t="shared" si="30"/>
        <v>15159.56</v>
      </c>
      <c r="AZ22" s="697">
        <f t="shared" si="31"/>
        <v>15402.11</v>
      </c>
      <c r="BA22" s="832"/>
      <c r="BB22" s="663">
        <f t="shared" si="32"/>
        <v>207655.16</v>
      </c>
      <c r="BC22" s="694">
        <f t="shared" si="33"/>
        <v>183458.76</v>
      </c>
      <c r="BD22" s="694">
        <f t="shared" si="34"/>
        <v>94848.2</v>
      </c>
      <c r="BE22" s="663">
        <f t="shared" si="1"/>
        <v>8652.2983333333341</v>
      </c>
      <c r="BG22" s="699">
        <v>8.4099999999999994E-2</v>
      </c>
      <c r="BH22" s="700">
        <v>0.22</v>
      </c>
    </row>
    <row r="23" spans="1:60" s="401" customFormat="1" ht="21" hidden="1" customHeight="1">
      <c r="A23" s="686" t="s">
        <v>547</v>
      </c>
      <c r="B23" s="686" t="s">
        <v>754</v>
      </c>
      <c r="C23" s="686" t="s">
        <v>755</v>
      </c>
      <c r="D23" s="686">
        <v>8322</v>
      </c>
      <c r="E23" s="686">
        <v>1</v>
      </c>
      <c r="F23" s="686" t="s">
        <v>761</v>
      </c>
      <c r="G23" s="686">
        <v>4</v>
      </c>
      <c r="H23" s="686">
        <v>3</v>
      </c>
      <c r="I23" s="686"/>
      <c r="J23" s="687">
        <v>51.21</v>
      </c>
      <c r="K23" s="687">
        <v>8505.41</v>
      </c>
      <c r="L23" s="687">
        <f t="shared" si="2"/>
        <v>8505.1299999999992</v>
      </c>
      <c r="M23" s="686">
        <v>36.700000000000003</v>
      </c>
      <c r="N23" s="688">
        <f t="shared" si="39"/>
        <v>3121.38</v>
      </c>
      <c r="O23" s="686">
        <v>25</v>
      </c>
      <c r="P23" s="687">
        <f t="shared" si="35"/>
        <v>2126.2800000000002</v>
      </c>
      <c r="Q23" s="689">
        <f t="shared" si="3"/>
        <v>13752.79</v>
      </c>
      <c r="R23" s="686">
        <f t="shared" si="4"/>
        <v>55011.16</v>
      </c>
      <c r="S23" s="686">
        <f t="shared" si="5"/>
        <v>8505.1200000000008</v>
      </c>
      <c r="T23" s="686"/>
      <c r="U23" s="671">
        <f t="shared" si="6"/>
        <v>165033.48000000001</v>
      </c>
      <c r="V23" s="671">
        <f t="shared" si="7"/>
        <v>102061.56</v>
      </c>
      <c r="W23" s="671">
        <f t="shared" si="8"/>
        <v>62971.92</v>
      </c>
      <c r="X23" s="671">
        <f t="shared" si="9"/>
        <v>165033.47999999998</v>
      </c>
      <c r="Y23" s="691">
        <f t="shared" si="10"/>
        <v>8505.1299999999992</v>
      </c>
      <c r="Z23" s="691">
        <v>1</v>
      </c>
      <c r="AA23" s="671">
        <f t="shared" si="11"/>
        <v>102061.56</v>
      </c>
      <c r="AB23" s="671">
        <f t="shared" si="12"/>
        <v>62971.92</v>
      </c>
      <c r="AC23" s="671">
        <f t="shared" si="13"/>
        <v>171634.82</v>
      </c>
      <c r="AD23" s="689">
        <f t="shared" si="14"/>
        <v>8845.34</v>
      </c>
      <c r="AE23" s="691">
        <f t="shared" si="36"/>
        <v>1.04</v>
      </c>
      <c r="AF23" s="671">
        <f t="shared" si="15"/>
        <v>106144.02</v>
      </c>
      <c r="AG23" s="692">
        <f t="shared" si="16"/>
        <v>65490.8</v>
      </c>
      <c r="AH23" s="671">
        <f t="shared" si="17"/>
        <v>174380.97</v>
      </c>
      <c r="AI23" s="691">
        <f t="shared" si="18"/>
        <v>8986.8700000000008</v>
      </c>
      <c r="AJ23" s="691">
        <f t="shared" si="37"/>
        <v>1.016</v>
      </c>
      <c r="AK23" s="671">
        <f t="shared" si="19"/>
        <v>107842.32</v>
      </c>
      <c r="AL23" s="671">
        <f t="shared" si="20"/>
        <v>66538.649999999994</v>
      </c>
      <c r="AM23" s="693">
        <v>0.04</v>
      </c>
      <c r="AN23" s="694">
        <f t="shared" si="0"/>
        <v>0.16</v>
      </c>
      <c r="AO23" s="691">
        <f t="shared" si="21"/>
        <v>6601.34</v>
      </c>
      <c r="AP23" s="691">
        <f t="shared" si="22"/>
        <v>6601.34</v>
      </c>
      <c r="AQ23" s="691">
        <f t="shared" si="23"/>
        <v>6865.39</v>
      </c>
      <c r="AR23" s="691">
        <f t="shared" si="24"/>
        <v>6975.24</v>
      </c>
      <c r="AS23" s="671">
        <f t="shared" si="25"/>
        <v>158432.14000000001</v>
      </c>
      <c r="AT23" s="671">
        <f t="shared" si="26"/>
        <v>158432.13999999998</v>
      </c>
      <c r="AU23" s="671">
        <f t="shared" si="27"/>
        <v>164769.43</v>
      </c>
      <c r="AV23" s="671">
        <f t="shared" si="28"/>
        <v>167405.73000000001</v>
      </c>
      <c r="AW23" s="695">
        <f t="shared" si="38"/>
        <v>35410.239999999998</v>
      </c>
      <c r="AX23" s="696">
        <f t="shared" si="29"/>
        <v>35410.239999999998</v>
      </c>
      <c r="AY23" s="696">
        <f t="shared" si="30"/>
        <v>36826.65</v>
      </c>
      <c r="AZ23" s="697">
        <f t="shared" si="31"/>
        <v>37415.879999999997</v>
      </c>
      <c r="BA23" s="832"/>
      <c r="BB23" s="694">
        <f t="shared" si="32"/>
        <v>504448.97</v>
      </c>
      <c r="BC23" s="694">
        <f t="shared" si="33"/>
        <v>418109.46</v>
      </c>
      <c r="BD23" s="694">
        <f t="shared" si="34"/>
        <v>257973.29</v>
      </c>
      <c r="BE23" s="694">
        <f t="shared" si="1"/>
        <v>10509.353541666665</v>
      </c>
      <c r="BF23" s="694"/>
      <c r="BG23" s="699">
        <v>8.4099999999999994E-2</v>
      </c>
      <c r="BH23" s="700">
        <v>0.22</v>
      </c>
    </row>
    <row r="24" spans="1:60" s="401" customFormat="1" ht="21" hidden="1" customHeight="1">
      <c r="A24" s="686" t="s">
        <v>548</v>
      </c>
      <c r="B24" s="686" t="s">
        <v>754</v>
      </c>
      <c r="C24" s="686" t="s">
        <v>755</v>
      </c>
      <c r="D24" s="686">
        <v>8322</v>
      </c>
      <c r="E24" s="686">
        <v>1</v>
      </c>
      <c r="F24" s="686" t="s">
        <v>762</v>
      </c>
      <c r="G24" s="686">
        <v>1</v>
      </c>
      <c r="H24" s="686">
        <v>3</v>
      </c>
      <c r="I24" s="686"/>
      <c r="J24" s="687">
        <v>51.21</v>
      </c>
      <c r="K24" s="687">
        <v>8505.41</v>
      </c>
      <c r="L24" s="687">
        <f t="shared" si="2"/>
        <v>8505.1299999999992</v>
      </c>
      <c r="M24" s="686">
        <v>36.700000000000003</v>
      </c>
      <c r="N24" s="688">
        <f t="shared" si="39"/>
        <v>3121.38</v>
      </c>
      <c r="O24" s="686">
        <v>25</v>
      </c>
      <c r="P24" s="687">
        <f t="shared" si="35"/>
        <v>2126.2800000000002</v>
      </c>
      <c r="Q24" s="689">
        <f t="shared" si="3"/>
        <v>13752.79</v>
      </c>
      <c r="R24" s="686">
        <f t="shared" si="4"/>
        <v>13752.79</v>
      </c>
      <c r="S24" s="686">
        <f t="shared" si="5"/>
        <v>2126.2800000000002</v>
      </c>
      <c r="T24" s="686"/>
      <c r="U24" s="671">
        <f t="shared" si="6"/>
        <v>41258.370000000003</v>
      </c>
      <c r="V24" s="671">
        <f t="shared" si="7"/>
        <v>25515.39</v>
      </c>
      <c r="W24" s="671">
        <f t="shared" si="8"/>
        <v>15742.98</v>
      </c>
      <c r="X24" s="671">
        <f t="shared" si="9"/>
        <v>41258.369999999995</v>
      </c>
      <c r="Y24" s="691">
        <f t="shared" si="10"/>
        <v>8505.1299999999992</v>
      </c>
      <c r="Z24" s="691">
        <v>1</v>
      </c>
      <c r="AA24" s="671">
        <f t="shared" si="11"/>
        <v>25515.39</v>
      </c>
      <c r="AB24" s="671">
        <f t="shared" si="12"/>
        <v>15742.98</v>
      </c>
      <c r="AC24" s="671">
        <f t="shared" si="13"/>
        <v>42908.71</v>
      </c>
      <c r="AD24" s="689">
        <f t="shared" si="14"/>
        <v>8845.34</v>
      </c>
      <c r="AE24" s="691">
        <f t="shared" si="36"/>
        <v>1.04</v>
      </c>
      <c r="AF24" s="671">
        <f t="shared" si="15"/>
        <v>26536.01</v>
      </c>
      <c r="AG24" s="692">
        <f t="shared" si="16"/>
        <v>16372.7</v>
      </c>
      <c r="AH24" s="671">
        <f t="shared" si="17"/>
        <v>43595.25</v>
      </c>
      <c r="AI24" s="691">
        <f t="shared" si="18"/>
        <v>8986.8700000000008</v>
      </c>
      <c r="AJ24" s="691">
        <f t="shared" si="37"/>
        <v>1.016</v>
      </c>
      <c r="AK24" s="671">
        <f t="shared" si="19"/>
        <v>26960.59</v>
      </c>
      <c r="AL24" s="671">
        <f t="shared" si="20"/>
        <v>16634.66</v>
      </c>
      <c r="AM24" s="693">
        <v>0.04</v>
      </c>
      <c r="AN24" s="694">
        <f t="shared" si="0"/>
        <v>0.04</v>
      </c>
      <c r="AO24" s="691">
        <f t="shared" si="21"/>
        <v>1650.33</v>
      </c>
      <c r="AP24" s="691">
        <f t="shared" si="22"/>
        <v>1650.33</v>
      </c>
      <c r="AQ24" s="691">
        <f t="shared" si="23"/>
        <v>1716.35</v>
      </c>
      <c r="AR24" s="691">
        <f t="shared" si="24"/>
        <v>1743.81</v>
      </c>
      <c r="AS24" s="671">
        <f t="shared" si="25"/>
        <v>39608.04</v>
      </c>
      <c r="AT24" s="671">
        <f t="shared" si="26"/>
        <v>39608.039999999994</v>
      </c>
      <c r="AU24" s="671">
        <f t="shared" si="27"/>
        <v>41192.36</v>
      </c>
      <c r="AV24" s="671">
        <f t="shared" si="28"/>
        <v>41851.440000000002</v>
      </c>
      <c r="AW24" s="695">
        <f t="shared" si="38"/>
        <v>8852.56</v>
      </c>
      <c r="AX24" s="696">
        <f t="shared" si="29"/>
        <v>8852.56</v>
      </c>
      <c r="AY24" s="696">
        <f t="shared" si="30"/>
        <v>9206.66</v>
      </c>
      <c r="AZ24" s="697">
        <f t="shared" si="31"/>
        <v>9353.9699999999993</v>
      </c>
      <c r="BA24" s="832"/>
      <c r="BB24" s="694">
        <f t="shared" si="32"/>
        <v>126113.02999999998</v>
      </c>
      <c r="BC24" s="694">
        <f t="shared" si="33"/>
        <v>104527.38</v>
      </c>
      <c r="BD24" s="694">
        <f t="shared" si="34"/>
        <v>64493.32</v>
      </c>
      <c r="BE24" s="694">
        <f t="shared" si="1"/>
        <v>10509.419166666665</v>
      </c>
      <c r="BF24" s="694"/>
      <c r="BG24" s="699">
        <v>8.4099999999999994E-2</v>
      </c>
      <c r="BH24" s="700">
        <v>0.22</v>
      </c>
    </row>
    <row r="25" spans="1:60" ht="21" hidden="1" customHeight="1">
      <c r="A25" s="651" t="s">
        <v>549</v>
      </c>
      <c r="B25" s="651" t="s">
        <v>754</v>
      </c>
      <c r="C25" s="651" t="s">
        <v>755</v>
      </c>
      <c r="D25" s="652">
        <v>8322</v>
      </c>
      <c r="E25" s="652">
        <v>4</v>
      </c>
      <c r="F25" s="652" t="s">
        <v>763</v>
      </c>
      <c r="G25" s="652">
        <v>8</v>
      </c>
      <c r="H25" s="652">
        <v>3</v>
      </c>
      <c r="I25" s="652"/>
      <c r="J25" s="654">
        <v>44.94</v>
      </c>
      <c r="K25" s="654">
        <v>7463.89</v>
      </c>
      <c r="L25" s="687">
        <f t="shared" si="2"/>
        <v>7463.79</v>
      </c>
      <c r="M25" s="652">
        <v>36.700000000000003</v>
      </c>
      <c r="N25" s="688">
        <f t="shared" si="39"/>
        <v>2739.21</v>
      </c>
      <c r="O25" s="652">
        <v>25</v>
      </c>
      <c r="P25" s="687">
        <f t="shared" si="35"/>
        <v>1865.95</v>
      </c>
      <c r="Q25" s="689">
        <f t="shared" si="3"/>
        <v>12068.95</v>
      </c>
      <c r="R25" s="686">
        <f t="shared" si="4"/>
        <v>96551.6</v>
      </c>
      <c r="S25" s="651">
        <f t="shared" si="5"/>
        <v>14927.6</v>
      </c>
      <c r="T25" s="651">
        <f>AD25/R25</f>
        <v>8.0395767651701269E-2</v>
      </c>
      <c r="U25" s="671">
        <f t="shared" si="6"/>
        <v>289654.8</v>
      </c>
      <c r="V25" s="671">
        <f t="shared" si="7"/>
        <v>179130.96</v>
      </c>
      <c r="W25" s="671">
        <f t="shared" si="8"/>
        <v>110523.84</v>
      </c>
      <c r="X25" s="671">
        <f t="shared" si="9"/>
        <v>289654.8</v>
      </c>
      <c r="Y25" s="691">
        <f t="shared" si="10"/>
        <v>7463.79</v>
      </c>
      <c r="Z25" s="691">
        <v>1</v>
      </c>
      <c r="AA25" s="671">
        <f t="shared" si="11"/>
        <v>179130.96</v>
      </c>
      <c r="AB25" s="671">
        <f t="shared" si="12"/>
        <v>110523.84</v>
      </c>
      <c r="AC25" s="671">
        <f t="shared" si="13"/>
        <v>301240.99</v>
      </c>
      <c r="AD25" s="689">
        <f t="shared" si="14"/>
        <v>7762.34</v>
      </c>
      <c r="AE25" s="691">
        <f t="shared" si="36"/>
        <v>1.04</v>
      </c>
      <c r="AF25" s="671">
        <f t="shared" si="15"/>
        <v>186296.2</v>
      </c>
      <c r="AG25" s="692">
        <f t="shared" si="16"/>
        <v>114944.79</v>
      </c>
      <c r="AH25" s="671">
        <f t="shared" si="17"/>
        <v>306060.84999999998</v>
      </c>
      <c r="AI25" s="691">
        <f t="shared" si="18"/>
        <v>7886.54</v>
      </c>
      <c r="AJ25" s="691">
        <f t="shared" si="37"/>
        <v>1.016</v>
      </c>
      <c r="AK25" s="671">
        <f t="shared" si="19"/>
        <v>189276.94</v>
      </c>
      <c r="AL25" s="671">
        <f t="shared" si="20"/>
        <v>116783.91</v>
      </c>
      <c r="AM25" s="661">
        <v>0.04</v>
      </c>
      <c r="AN25" s="662">
        <f t="shared" si="0"/>
        <v>0.32</v>
      </c>
      <c r="AO25" s="691">
        <f t="shared" si="21"/>
        <v>11586.19</v>
      </c>
      <c r="AP25" s="691">
        <f t="shared" si="22"/>
        <v>11586.19</v>
      </c>
      <c r="AQ25" s="691">
        <f t="shared" si="23"/>
        <v>12049.64</v>
      </c>
      <c r="AR25" s="691">
        <f t="shared" si="24"/>
        <v>12242.43</v>
      </c>
      <c r="AS25" s="671">
        <f t="shared" si="25"/>
        <v>278068.61</v>
      </c>
      <c r="AT25" s="671">
        <f t="shared" si="26"/>
        <v>278068.61</v>
      </c>
      <c r="AU25" s="671">
        <f t="shared" si="27"/>
        <v>289191.34999999998</v>
      </c>
      <c r="AV25" s="671">
        <f t="shared" si="28"/>
        <v>293818.42</v>
      </c>
      <c r="AW25" s="695">
        <f t="shared" si="38"/>
        <v>62149.49</v>
      </c>
      <c r="AX25" s="696">
        <f t="shared" si="29"/>
        <v>62149.49</v>
      </c>
      <c r="AY25" s="696">
        <f t="shared" si="30"/>
        <v>64635.47</v>
      </c>
      <c r="AZ25" s="697">
        <f t="shared" si="31"/>
        <v>65669.64</v>
      </c>
      <c r="BA25" s="832"/>
      <c r="BB25" s="663">
        <f t="shared" si="32"/>
        <v>885371.49</v>
      </c>
      <c r="BC25" s="694">
        <f t="shared" si="33"/>
        <v>733835.06</v>
      </c>
      <c r="BD25" s="694">
        <f t="shared" si="34"/>
        <v>452776.38</v>
      </c>
      <c r="BE25" s="663">
        <f t="shared" si="1"/>
        <v>9222.6196875000005</v>
      </c>
      <c r="BG25" s="699">
        <v>8.4099999999999994E-2</v>
      </c>
      <c r="BH25" s="700">
        <v>0.22</v>
      </c>
    </row>
    <row r="26" spans="1:60" ht="21" hidden="1" customHeight="1">
      <c r="A26" s="651" t="s">
        <v>550</v>
      </c>
      <c r="B26" s="651" t="s">
        <v>754</v>
      </c>
      <c r="C26" s="651" t="s">
        <v>755</v>
      </c>
      <c r="D26" s="652">
        <v>8322</v>
      </c>
      <c r="E26" s="652">
        <v>2</v>
      </c>
      <c r="F26" s="652" t="s">
        <v>764</v>
      </c>
      <c r="G26" s="652">
        <v>4</v>
      </c>
      <c r="H26" s="652">
        <v>3</v>
      </c>
      <c r="I26" s="652"/>
      <c r="J26" s="654">
        <v>47.36</v>
      </c>
      <c r="K26" s="654">
        <v>7865.94</v>
      </c>
      <c r="L26" s="687">
        <f t="shared" si="2"/>
        <v>7865.71</v>
      </c>
      <c r="M26" s="652">
        <v>36.700000000000003</v>
      </c>
      <c r="N26" s="688">
        <f t="shared" si="39"/>
        <v>2886.72</v>
      </c>
      <c r="O26" s="652">
        <v>25</v>
      </c>
      <c r="P26" s="687">
        <f t="shared" si="35"/>
        <v>1966.43</v>
      </c>
      <c r="Q26" s="689">
        <f t="shared" si="3"/>
        <v>12718.86</v>
      </c>
      <c r="R26" s="686">
        <f t="shared" si="4"/>
        <v>50875.44</v>
      </c>
      <c r="S26" s="651">
        <f t="shared" si="5"/>
        <v>7865.72</v>
      </c>
      <c r="T26" s="651">
        <f>AE25/X25</f>
        <v>3.5904808068086567E-6</v>
      </c>
      <c r="U26" s="671">
        <f t="shared" si="6"/>
        <v>152626.32</v>
      </c>
      <c r="V26" s="671">
        <f t="shared" si="7"/>
        <v>94388.52</v>
      </c>
      <c r="W26" s="671">
        <f t="shared" si="8"/>
        <v>58237.8</v>
      </c>
      <c r="X26" s="671">
        <f t="shared" si="9"/>
        <v>152626.32</v>
      </c>
      <c r="Y26" s="691">
        <f t="shared" si="10"/>
        <v>7865.71</v>
      </c>
      <c r="Z26" s="691">
        <v>1</v>
      </c>
      <c r="AA26" s="671">
        <f t="shared" si="11"/>
        <v>94388.52</v>
      </c>
      <c r="AB26" s="671">
        <f t="shared" si="12"/>
        <v>58237.8</v>
      </c>
      <c r="AC26" s="671">
        <f t="shared" si="13"/>
        <v>158731.37</v>
      </c>
      <c r="AD26" s="689">
        <f t="shared" si="14"/>
        <v>8180.34</v>
      </c>
      <c r="AE26" s="691">
        <f t="shared" si="36"/>
        <v>1.04</v>
      </c>
      <c r="AF26" s="671">
        <f t="shared" si="15"/>
        <v>98164.06</v>
      </c>
      <c r="AG26" s="692">
        <f t="shared" si="16"/>
        <v>60567.31</v>
      </c>
      <c r="AH26" s="671">
        <f t="shared" si="17"/>
        <v>161271.07</v>
      </c>
      <c r="AI26" s="691">
        <f t="shared" si="18"/>
        <v>8311.23</v>
      </c>
      <c r="AJ26" s="691">
        <f t="shared" si="37"/>
        <v>1.016</v>
      </c>
      <c r="AK26" s="671">
        <f t="shared" si="19"/>
        <v>99734.68</v>
      </c>
      <c r="AL26" s="671">
        <f t="shared" si="20"/>
        <v>61536.39</v>
      </c>
      <c r="AM26" s="661">
        <v>0.04</v>
      </c>
      <c r="AN26" s="662">
        <f t="shared" si="0"/>
        <v>0.16</v>
      </c>
      <c r="AO26" s="691">
        <f t="shared" si="21"/>
        <v>6105.05</v>
      </c>
      <c r="AP26" s="691">
        <f t="shared" si="22"/>
        <v>6105.05</v>
      </c>
      <c r="AQ26" s="691">
        <f t="shared" si="23"/>
        <v>6349.25</v>
      </c>
      <c r="AR26" s="691">
        <f t="shared" si="24"/>
        <v>6450.84</v>
      </c>
      <c r="AS26" s="671">
        <f t="shared" si="25"/>
        <v>146521.27000000002</v>
      </c>
      <c r="AT26" s="671">
        <f t="shared" si="26"/>
        <v>146521.27000000002</v>
      </c>
      <c r="AU26" s="671">
        <f t="shared" si="27"/>
        <v>152382.12</v>
      </c>
      <c r="AV26" s="671">
        <f t="shared" si="28"/>
        <v>154820.23000000001</v>
      </c>
      <c r="AW26" s="695">
        <f t="shared" si="38"/>
        <v>32748.11</v>
      </c>
      <c r="AX26" s="696">
        <f t="shared" si="29"/>
        <v>32748.11</v>
      </c>
      <c r="AY26" s="696">
        <f t="shared" si="30"/>
        <v>34058.04</v>
      </c>
      <c r="AZ26" s="697">
        <f t="shared" si="31"/>
        <v>34602.97</v>
      </c>
      <c r="BA26" s="832"/>
      <c r="BB26" s="663">
        <f t="shared" si="32"/>
        <v>466524.75</v>
      </c>
      <c r="BC26" s="694">
        <f t="shared" si="33"/>
        <v>386675.78</v>
      </c>
      <c r="BD26" s="694">
        <f t="shared" si="34"/>
        <v>238579.3</v>
      </c>
      <c r="BE26" s="663">
        <f t="shared" si="1"/>
        <v>9719.265625</v>
      </c>
      <c r="BG26" s="699">
        <v>8.4099999999999994E-2</v>
      </c>
      <c r="BH26" s="700">
        <v>0.22</v>
      </c>
    </row>
    <row r="27" spans="1:60" ht="21" hidden="1" customHeight="1">
      <c r="A27" s="651" t="s">
        <v>551</v>
      </c>
      <c r="B27" s="651" t="s">
        <v>754</v>
      </c>
      <c r="C27" s="651" t="s">
        <v>755</v>
      </c>
      <c r="D27" s="652">
        <v>8322</v>
      </c>
      <c r="E27" s="652">
        <v>2</v>
      </c>
      <c r="F27" s="652" t="s">
        <v>765</v>
      </c>
      <c r="G27" s="652">
        <v>4</v>
      </c>
      <c r="H27" s="652">
        <v>3</v>
      </c>
      <c r="I27" s="652"/>
      <c r="J27" s="654">
        <v>47.36</v>
      </c>
      <c r="K27" s="654">
        <v>7865.94</v>
      </c>
      <c r="L27" s="687">
        <f t="shared" si="2"/>
        <v>7865.71</v>
      </c>
      <c r="M27" s="652">
        <v>26.7</v>
      </c>
      <c r="N27" s="688">
        <f t="shared" si="39"/>
        <v>2100.14</v>
      </c>
      <c r="O27" s="652">
        <v>25</v>
      </c>
      <c r="P27" s="687">
        <f t="shared" si="35"/>
        <v>1966.43</v>
      </c>
      <c r="Q27" s="689">
        <f t="shared" si="3"/>
        <v>11932.28</v>
      </c>
      <c r="R27" s="686">
        <f t="shared" si="4"/>
        <v>47729.120000000003</v>
      </c>
      <c r="S27" s="651">
        <f t="shared" si="5"/>
        <v>7865.72</v>
      </c>
      <c r="T27" s="651"/>
      <c r="U27" s="671">
        <f t="shared" si="6"/>
        <v>143187.35999999999</v>
      </c>
      <c r="V27" s="671">
        <f t="shared" si="7"/>
        <v>94388.52</v>
      </c>
      <c r="W27" s="671">
        <f t="shared" si="8"/>
        <v>48798.84</v>
      </c>
      <c r="X27" s="671">
        <f t="shared" si="9"/>
        <v>143187.35999999999</v>
      </c>
      <c r="Y27" s="691">
        <f t="shared" si="10"/>
        <v>7865.71</v>
      </c>
      <c r="Z27" s="691">
        <v>1</v>
      </c>
      <c r="AA27" s="671">
        <f t="shared" si="11"/>
        <v>94388.52</v>
      </c>
      <c r="AB27" s="671">
        <f t="shared" si="12"/>
        <v>48798.84</v>
      </c>
      <c r="AC27" s="671">
        <f t="shared" si="13"/>
        <v>148914.85</v>
      </c>
      <c r="AD27" s="689">
        <f t="shared" si="14"/>
        <v>8180.34</v>
      </c>
      <c r="AE27" s="691">
        <f t="shared" si="36"/>
        <v>1.04</v>
      </c>
      <c r="AF27" s="671">
        <f t="shared" si="15"/>
        <v>98164.06</v>
      </c>
      <c r="AG27" s="692">
        <f t="shared" si="16"/>
        <v>50750.79</v>
      </c>
      <c r="AH27" s="671">
        <f t="shared" si="17"/>
        <v>151297.48000000001</v>
      </c>
      <c r="AI27" s="691">
        <f t="shared" si="18"/>
        <v>8311.23</v>
      </c>
      <c r="AJ27" s="691">
        <f t="shared" si="37"/>
        <v>1.016</v>
      </c>
      <c r="AK27" s="671">
        <f t="shared" si="19"/>
        <v>99734.68</v>
      </c>
      <c r="AL27" s="671">
        <f t="shared" si="20"/>
        <v>51562.8</v>
      </c>
      <c r="AM27" s="661">
        <v>0.04</v>
      </c>
      <c r="AN27" s="662">
        <f t="shared" si="0"/>
        <v>0.16</v>
      </c>
      <c r="AO27" s="691">
        <f t="shared" si="21"/>
        <v>5727.49</v>
      </c>
      <c r="AP27" s="691">
        <f t="shared" si="22"/>
        <v>5727.49</v>
      </c>
      <c r="AQ27" s="691">
        <f t="shared" si="23"/>
        <v>5956.59</v>
      </c>
      <c r="AR27" s="691">
        <f t="shared" si="24"/>
        <v>6051.9</v>
      </c>
      <c r="AS27" s="671">
        <f t="shared" si="25"/>
        <v>137459.87</v>
      </c>
      <c r="AT27" s="671">
        <f t="shared" si="26"/>
        <v>137459.87</v>
      </c>
      <c r="AU27" s="671">
        <f t="shared" si="27"/>
        <v>142958.26</v>
      </c>
      <c r="AV27" s="671">
        <f t="shared" si="28"/>
        <v>145245.58000000002</v>
      </c>
      <c r="AW27" s="695">
        <f t="shared" si="38"/>
        <v>30722.85</v>
      </c>
      <c r="AX27" s="696">
        <f t="shared" si="29"/>
        <v>30722.85</v>
      </c>
      <c r="AY27" s="696">
        <f t="shared" si="30"/>
        <v>31951.77</v>
      </c>
      <c r="AZ27" s="697">
        <f t="shared" si="31"/>
        <v>32462.99</v>
      </c>
      <c r="BA27" s="832"/>
      <c r="BB27" s="663">
        <f t="shared" si="32"/>
        <v>437673.24</v>
      </c>
      <c r="BC27" s="694">
        <f t="shared" si="33"/>
        <v>386675.78</v>
      </c>
      <c r="BD27" s="694">
        <f t="shared" si="34"/>
        <v>199911.27</v>
      </c>
      <c r="BE27" s="663">
        <f t="shared" si="1"/>
        <v>9118.1924999999992</v>
      </c>
      <c r="BG27" s="699">
        <v>8.4099999999999994E-2</v>
      </c>
      <c r="BH27" s="700">
        <v>0.22</v>
      </c>
    </row>
    <row r="28" spans="1:60" ht="21" hidden="1" customHeight="1">
      <c r="A28" s="651" t="s">
        <v>552</v>
      </c>
      <c r="B28" s="651" t="s">
        <v>754</v>
      </c>
      <c r="C28" s="651" t="s">
        <v>755</v>
      </c>
      <c r="D28" s="652">
        <v>8322</v>
      </c>
      <c r="E28" s="652">
        <v>2</v>
      </c>
      <c r="F28" s="652" t="s">
        <v>766</v>
      </c>
      <c r="G28" s="652">
        <v>4</v>
      </c>
      <c r="H28" s="652">
        <v>3</v>
      </c>
      <c r="I28" s="652"/>
      <c r="J28" s="654">
        <v>44.94</v>
      </c>
      <c r="K28" s="654">
        <v>7463.89</v>
      </c>
      <c r="L28" s="687">
        <f t="shared" si="2"/>
        <v>7463.79</v>
      </c>
      <c r="M28" s="652">
        <v>29.7</v>
      </c>
      <c r="N28" s="688">
        <f t="shared" si="39"/>
        <v>2216.75</v>
      </c>
      <c r="O28" s="652">
        <v>25</v>
      </c>
      <c r="P28" s="687">
        <f t="shared" si="35"/>
        <v>1865.95</v>
      </c>
      <c r="Q28" s="689">
        <f t="shared" si="3"/>
        <v>11546.49</v>
      </c>
      <c r="R28" s="686">
        <f t="shared" si="4"/>
        <v>46185.96</v>
      </c>
      <c r="S28" s="651">
        <f t="shared" si="5"/>
        <v>7463.8</v>
      </c>
      <c r="T28" s="651"/>
      <c r="U28" s="671">
        <f t="shared" si="6"/>
        <v>138557.88</v>
      </c>
      <c r="V28" s="671">
        <f t="shared" si="7"/>
        <v>89565.48</v>
      </c>
      <c r="W28" s="671">
        <f t="shared" si="8"/>
        <v>48992.4</v>
      </c>
      <c r="X28" s="671">
        <f t="shared" si="9"/>
        <v>138557.88</v>
      </c>
      <c r="Y28" s="691">
        <f t="shared" si="10"/>
        <v>7463.79</v>
      </c>
      <c r="Z28" s="691">
        <v>1</v>
      </c>
      <c r="AA28" s="671">
        <f t="shared" si="11"/>
        <v>89565.48</v>
      </c>
      <c r="AB28" s="671">
        <f t="shared" si="12"/>
        <v>48992.4</v>
      </c>
      <c r="AC28" s="671">
        <f t="shared" si="13"/>
        <v>144100.20000000001</v>
      </c>
      <c r="AD28" s="689">
        <f t="shared" si="14"/>
        <v>7762.34</v>
      </c>
      <c r="AE28" s="691">
        <f t="shared" si="36"/>
        <v>1.04</v>
      </c>
      <c r="AF28" s="671">
        <f t="shared" si="15"/>
        <v>93148.1</v>
      </c>
      <c r="AG28" s="692">
        <f t="shared" si="16"/>
        <v>50952.1</v>
      </c>
      <c r="AH28" s="671">
        <f t="shared" si="17"/>
        <v>146405.79999999999</v>
      </c>
      <c r="AI28" s="691">
        <f t="shared" si="18"/>
        <v>7886.54</v>
      </c>
      <c r="AJ28" s="691">
        <f t="shared" si="37"/>
        <v>1.016</v>
      </c>
      <c r="AK28" s="671">
        <f t="shared" si="19"/>
        <v>94638.47</v>
      </c>
      <c r="AL28" s="671">
        <f t="shared" si="20"/>
        <v>51767.33</v>
      </c>
      <c r="AM28" s="661">
        <v>0.04</v>
      </c>
      <c r="AN28" s="662">
        <f t="shared" si="0"/>
        <v>0.16</v>
      </c>
      <c r="AO28" s="691">
        <f t="shared" si="21"/>
        <v>5542.32</v>
      </c>
      <c r="AP28" s="691">
        <f t="shared" si="22"/>
        <v>5542.32</v>
      </c>
      <c r="AQ28" s="691">
        <f t="shared" si="23"/>
        <v>5764.01</v>
      </c>
      <c r="AR28" s="691">
        <f t="shared" si="24"/>
        <v>5856.23</v>
      </c>
      <c r="AS28" s="671">
        <f t="shared" si="25"/>
        <v>133015.56</v>
      </c>
      <c r="AT28" s="671">
        <f t="shared" si="26"/>
        <v>133015.56</v>
      </c>
      <c r="AU28" s="671">
        <f t="shared" si="27"/>
        <v>138336.19</v>
      </c>
      <c r="AV28" s="671">
        <f t="shared" si="28"/>
        <v>140549.56999999998</v>
      </c>
      <c r="AW28" s="695">
        <f t="shared" si="38"/>
        <v>29729.53</v>
      </c>
      <c r="AX28" s="696">
        <f t="shared" si="29"/>
        <v>29729.53</v>
      </c>
      <c r="AY28" s="696">
        <f t="shared" si="30"/>
        <v>30918.720000000001</v>
      </c>
      <c r="AZ28" s="697">
        <f t="shared" si="31"/>
        <v>31413.41</v>
      </c>
      <c r="BA28" s="832"/>
      <c r="BB28" s="663">
        <f t="shared" si="32"/>
        <v>423522.6</v>
      </c>
      <c r="BC28" s="694">
        <f t="shared" si="33"/>
        <v>366917.53</v>
      </c>
      <c r="BD28" s="694">
        <f t="shared" si="34"/>
        <v>200704.23</v>
      </c>
      <c r="BE28" s="663">
        <f t="shared" si="1"/>
        <v>8823.3874999999989</v>
      </c>
      <c r="BG28" s="699">
        <v>8.4099999999999994E-2</v>
      </c>
      <c r="BH28" s="700">
        <v>0.22</v>
      </c>
    </row>
    <row r="29" spans="1:60" ht="21" hidden="1" customHeight="1">
      <c r="A29" s="651" t="s">
        <v>553</v>
      </c>
      <c r="B29" s="651" t="s">
        <v>754</v>
      </c>
      <c r="C29" s="651" t="s">
        <v>755</v>
      </c>
      <c r="D29" s="652">
        <v>8322</v>
      </c>
      <c r="E29" s="652">
        <v>2</v>
      </c>
      <c r="F29" s="652" t="s">
        <v>767</v>
      </c>
      <c r="G29" s="652">
        <v>4</v>
      </c>
      <c r="H29" s="652">
        <v>3</v>
      </c>
      <c r="I29" s="652"/>
      <c r="J29" s="654">
        <v>47.36</v>
      </c>
      <c r="K29" s="654">
        <v>7865.94</v>
      </c>
      <c r="L29" s="687">
        <f t="shared" si="2"/>
        <v>7865.71</v>
      </c>
      <c r="M29" s="652">
        <v>26.7</v>
      </c>
      <c r="N29" s="688">
        <f t="shared" si="39"/>
        <v>2100.14</v>
      </c>
      <c r="O29" s="652">
        <v>25</v>
      </c>
      <c r="P29" s="687">
        <f t="shared" si="35"/>
        <v>1966.43</v>
      </c>
      <c r="Q29" s="689">
        <f t="shared" si="3"/>
        <v>11932.28</v>
      </c>
      <c r="R29" s="686">
        <f t="shared" si="4"/>
        <v>47729.120000000003</v>
      </c>
      <c r="S29" s="651">
        <f t="shared" si="5"/>
        <v>7865.72</v>
      </c>
      <c r="T29" s="651"/>
      <c r="U29" s="671">
        <f t="shared" si="6"/>
        <v>143187.35999999999</v>
      </c>
      <c r="V29" s="671">
        <f t="shared" si="7"/>
        <v>94388.52</v>
      </c>
      <c r="W29" s="671">
        <f t="shared" si="8"/>
        <v>48798.84</v>
      </c>
      <c r="X29" s="671">
        <f t="shared" si="9"/>
        <v>143187.35999999999</v>
      </c>
      <c r="Y29" s="691">
        <f t="shared" si="10"/>
        <v>7865.71</v>
      </c>
      <c r="Z29" s="691">
        <v>1</v>
      </c>
      <c r="AA29" s="671">
        <f t="shared" si="11"/>
        <v>94388.52</v>
      </c>
      <c r="AB29" s="671">
        <f t="shared" si="12"/>
        <v>48798.84</v>
      </c>
      <c r="AC29" s="671">
        <f t="shared" si="13"/>
        <v>148914.85</v>
      </c>
      <c r="AD29" s="689">
        <f t="shared" si="14"/>
        <v>8180.34</v>
      </c>
      <c r="AE29" s="691">
        <f t="shared" si="36"/>
        <v>1.04</v>
      </c>
      <c r="AF29" s="671">
        <f t="shared" si="15"/>
        <v>98164.06</v>
      </c>
      <c r="AG29" s="692">
        <f t="shared" si="16"/>
        <v>50750.79</v>
      </c>
      <c r="AH29" s="671">
        <f t="shared" si="17"/>
        <v>151297.48000000001</v>
      </c>
      <c r="AI29" s="691">
        <f t="shared" si="18"/>
        <v>8311.23</v>
      </c>
      <c r="AJ29" s="691">
        <f t="shared" si="37"/>
        <v>1.016</v>
      </c>
      <c r="AK29" s="671">
        <f t="shared" si="19"/>
        <v>99734.68</v>
      </c>
      <c r="AL29" s="671">
        <f t="shared" si="20"/>
        <v>51562.8</v>
      </c>
      <c r="AM29" s="661">
        <v>0.04</v>
      </c>
      <c r="AN29" s="662">
        <f t="shared" si="0"/>
        <v>0.16</v>
      </c>
      <c r="AO29" s="691">
        <f t="shared" si="21"/>
        <v>5727.49</v>
      </c>
      <c r="AP29" s="691">
        <f t="shared" si="22"/>
        <v>5727.49</v>
      </c>
      <c r="AQ29" s="691">
        <f t="shared" si="23"/>
        <v>5956.59</v>
      </c>
      <c r="AR29" s="691">
        <f t="shared" si="24"/>
        <v>6051.9</v>
      </c>
      <c r="AS29" s="671">
        <f t="shared" si="25"/>
        <v>137459.87</v>
      </c>
      <c r="AT29" s="671">
        <f t="shared" si="26"/>
        <v>137459.87</v>
      </c>
      <c r="AU29" s="671">
        <f t="shared" si="27"/>
        <v>142958.26</v>
      </c>
      <c r="AV29" s="671">
        <f t="shared" si="28"/>
        <v>145245.58000000002</v>
      </c>
      <c r="AW29" s="695">
        <f t="shared" si="38"/>
        <v>30722.85</v>
      </c>
      <c r="AX29" s="696">
        <f t="shared" si="29"/>
        <v>30722.85</v>
      </c>
      <c r="AY29" s="696">
        <f t="shared" si="30"/>
        <v>31951.77</v>
      </c>
      <c r="AZ29" s="697">
        <f t="shared" si="31"/>
        <v>32462.99</v>
      </c>
      <c r="BA29" s="832"/>
      <c r="BB29" s="663">
        <f t="shared" si="32"/>
        <v>437673.24</v>
      </c>
      <c r="BC29" s="694">
        <f t="shared" si="33"/>
        <v>386675.78</v>
      </c>
      <c r="BD29" s="694">
        <f t="shared" si="34"/>
        <v>199911.27</v>
      </c>
      <c r="BE29" s="663">
        <f t="shared" si="1"/>
        <v>9118.1924999999992</v>
      </c>
      <c r="BG29" s="699">
        <v>8.4099999999999994E-2</v>
      </c>
      <c r="BH29" s="700">
        <v>0.22</v>
      </c>
    </row>
    <row r="30" spans="1:60" ht="21" hidden="1" customHeight="1">
      <c r="A30" s="651" t="s">
        <v>554</v>
      </c>
      <c r="B30" s="651" t="s">
        <v>754</v>
      </c>
      <c r="C30" s="651" t="s">
        <v>755</v>
      </c>
      <c r="D30" s="652">
        <v>8322</v>
      </c>
      <c r="E30" s="652">
        <v>9</v>
      </c>
      <c r="F30" s="652" t="s">
        <v>768</v>
      </c>
      <c r="G30" s="652">
        <v>18</v>
      </c>
      <c r="H30" s="652">
        <v>3</v>
      </c>
      <c r="I30" s="652"/>
      <c r="J30" s="654">
        <v>47.36</v>
      </c>
      <c r="K30" s="654">
        <v>7865.94</v>
      </c>
      <c r="L30" s="687">
        <f t="shared" si="2"/>
        <v>7865.71</v>
      </c>
      <c r="M30" s="652">
        <v>26.7</v>
      </c>
      <c r="N30" s="688">
        <f t="shared" si="39"/>
        <v>2100.14</v>
      </c>
      <c r="O30" s="652">
        <v>25</v>
      </c>
      <c r="P30" s="687">
        <f t="shared" si="35"/>
        <v>1966.43</v>
      </c>
      <c r="Q30" s="689">
        <f t="shared" si="3"/>
        <v>11932.28</v>
      </c>
      <c r="R30" s="686">
        <f t="shared" si="4"/>
        <v>214781.04</v>
      </c>
      <c r="S30" s="651">
        <f t="shared" si="5"/>
        <v>35395.74</v>
      </c>
      <c r="T30" s="651"/>
      <c r="U30" s="671">
        <f t="shared" si="6"/>
        <v>644343.12</v>
      </c>
      <c r="V30" s="671">
        <f t="shared" si="7"/>
        <v>424748.34</v>
      </c>
      <c r="W30" s="671">
        <f t="shared" si="8"/>
        <v>219594.78</v>
      </c>
      <c r="X30" s="671">
        <f t="shared" si="9"/>
        <v>644343.12</v>
      </c>
      <c r="Y30" s="691">
        <f t="shared" si="10"/>
        <v>7865.71</v>
      </c>
      <c r="Z30" s="691">
        <v>1</v>
      </c>
      <c r="AA30" s="671">
        <f t="shared" si="11"/>
        <v>424748.34</v>
      </c>
      <c r="AB30" s="671">
        <f t="shared" si="12"/>
        <v>219594.78</v>
      </c>
      <c r="AC30" s="671">
        <f t="shared" si="13"/>
        <v>670116.84</v>
      </c>
      <c r="AD30" s="689">
        <f t="shared" si="14"/>
        <v>8180.34</v>
      </c>
      <c r="AE30" s="691">
        <f t="shared" si="36"/>
        <v>1.04</v>
      </c>
      <c r="AF30" s="671">
        <f t="shared" si="15"/>
        <v>441738.27</v>
      </c>
      <c r="AG30" s="692">
        <f t="shared" si="16"/>
        <v>228378.57</v>
      </c>
      <c r="AH30" s="671">
        <f t="shared" si="17"/>
        <v>680838.71</v>
      </c>
      <c r="AI30" s="691">
        <f t="shared" si="18"/>
        <v>8311.23</v>
      </c>
      <c r="AJ30" s="691">
        <f t="shared" si="37"/>
        <v>1.016</v>
      </c>
      <c r="AK30" s="671">
        <f t="shared" si="19"/>
        <v>448806.08</v>
      </c>
      <c r="AL30" s="671">
        <f t="shared" si="20"/>
        <v>232032.63</v>
      </c>
      <c r="AM30" s="661">
        <v>0.04</v>
      </c>
      <c r="AN30" s="662">
        <f t="shared" si="0"/>
        <v>0.72</v>
      </c>
      <c r="AO30" s="691">
        <f t="shared" si="21"/>
        <v>25773.72</v>
      </c>
      <c r="AP30" s="691">
        <f t="shared" si="22"/>
        <v>25773.72</v>
      </c>
      <c r="AQ30" s="691">
        <f t="shared" si="23"/>
        <v>26804.67</v>
      </c>
      <c r="AR30" s="691">
        <f t="shared" si="24"/>
        <v>27233.55</v>
      </c>
      <c r="AS30" s="671">
        <f t="shared" si="25"/>
        <v>618569.4</v>
      </c>
      <c r="AT30" s="671">
        <f t="shared" si="26"/>
        <v>618569.4</v>
      </c>
      <c r="AU30" s="671">
        <f t="shared" si="27"/>
        <v>643312.16999999993</v>
      </c>
      <c r="AV30" s="671">
        <f t="shared" si="28"/>
        <v>653605.15999999992</v>
      </c>
      <c r="AW30" s="695">
        <f t="shared" si="38"/>
        <v>138252.84</v>
      </c>
      <c r="AX30" s="696">
        <f t="shared" si="29"/>
        <v>138252.84</v>
      </c>
      <c r="AY30" s="696">
        <f t="shared" si="30"/>
        <v>143782.95000000001</v>
      </c>
      <c r="AZ30" s="697">
        <f t="shared" si="31"/>
        <v>146083.48000000001</v>
      </c>
      <c r="BA30" s="832"/>
      <c r="BB30" s="663">
        <f t="shared" si="32"/>
        <v>1969525.99</v>
      </c>
      <c r="BC30" s="694">
        <f t="shared" si="33"/>
        <v>1740041.03</v>
      </c>
      <c r="BD30" s="694">
        <f t="shared" si="34"/>
        <v>899600.76</v>
      </c>
      <c r="BE30" s="663">
        <f t="shared" si="1"/>
        <v>9118.175879629629</v>
      </c>
      <c r="BG30" s="699">
        <v>8.4099999999999994E-2</v>
      </c>
      <c r="BH30" s="700">
        <v>0.22</v>
      </c>
    </row>
    <row r="31" spans="1:60" s="388" customFormat="1" ht="21" hidden="1" customHeight="1">
      <c r="A31" s="655" t="s">
        <v>555</v>
      </c>
      <c r="B31" s="655" t="s">
        <v>754</v>
      </c>
      <c r="C31" s="655" t="s">
        <v>755</v>
      </c>
      <c r="D31" s="702">
        <v>8322</v>
      </c>
      <c r="E31" s="702">
        <v>4</v>
      </c>
      <c r="F31" s="702" t="s">
        <v>769</v>
      </c>
      <c r="G31" s="702">
        <v>4</v>
      </c>
      <c r="H31" s="702">
        <v>3</v>
      </c>
      <c r="I31" s="702"/>
      <c r="J31" s="703">
        <v>31.98</v>
      </c>
      <c r="K31" s="703">
        <v>5311.55</v>
      </c>
      <c r="L31" s="687">
        <f t="shared" si="2"/>
        <v>5311.35</v>
      </c>
      <c r="M31" s="702">
        <v>26.7</v>
      </c>
      <c r="N31" s="688">
        <f t="shared" si="39"/>
        <v>1418.13</v>
      </c>
      <c r="O31" s="702">
        <v>25</v>
      </c>
      <c r="P31" s="687">
        <f t="shared" si="35"/>
        <v>1327.84</v>
      </c>
      <c r="Q31" s="689">
        <f t="shared" si="3"/>
        <v>8057.32</v>
      </c>
      <c r="R31" s="686">
        <f t="shared" si="4"/>
        <v>32229.279999999999</v>
      </c>
      <c r="S31" s="655">
        <f t="shared" si="5"/>
        <v>5311.36</v>
      </c>
      <c r="T31" s="655"/>
      <c r="U31" s="671">
        <f t="shared" si="6"/>
        <v>96687.84</v>
      </c>
      <c r="V31" s="671">
        <f t="shared" si="7"/>
        <v>63736.2</v>
      </c>
      <c r="W31" s="671">
        <f t="shared" si="8"/>
        <v>32951.64</v>
      </c>
      <c r="X31" s="671">
        <f t="shared" si="9"/>
        <v>96687.84</v>
      </c>
      <c r="Y31" s="691">
        <f t="shared" si="10"/>
        <v>5311.35</v>
      </c>
      <c r="Z31" s="691">
        <v>1</v>
      </c>
      <c r="AA31" s="671">
        <f t="shared" si="11"/>
        <v>63736.2</v>
      </c>
      <c r="AB31" s="671">
        <f t="shared" si="12"/>
        <v>32951.64</v>
      </c>
      <c r="AC31" s="671">
        <f t="shared" si="13"/>
        <v>100555.36</v>
      </c>
      <c r="AD31" s="689">
        <f t="shared" si="14"/>
        <v>5523.8</v>
      </c>
      <c r="AE31" s="691">
        <f t="shared" si="36"/>
        <v>1.04</v>
      </c>
      <c r="AF31" s="671">
        <f t="shared" si="15"/>
        <v>66285.649999999994</v>
      </c>
      <c r="AG31" s="692">
        <f t="shared" si="16"/>
        <v>34269.71</v>
      </c>
      <c r="AH31" s="671">
        <f t="shared" si="17"/>
        <v>102164.25</v>
      </c>
      <c r="AI31" s="691">
        <f t="shared" si="18"/>
        <v>5612.18</v>
      </c>
      <c r="AJ31" s="691">
        <f t="shared" si="37"/>
        <v>1.016</v>
      </c>
      <c r="AK31" s="671">
        <f t="shared" si="19"/>
        <v>67346.22</v>
      </c>
      <c r="AL31" s="671">
        <f t="shared" si="20"/>
        <v>34818.03</v>
      </c>
      <c r="AM31" s="704">
        <v>0.04</v>
      </c>
      <c r="AN31" s="705">
        <f t="shared" si="0"/>
        <v>0.16</v>
      </c>
      <c r="AO31" s="691">
        <f t="shared" si="21"/>
        <v>3867.51</v>
      </c>
      <c r="AP31" s="691">
        <f t="shared" si="22"/>
        <v>3867.51</v>
      </c>
      <c r="AQ31" s="691">
        <f t="shared" si="23"/>
        <v>4022.21</v>
      </c>
      <c r="AR31" s="691">
        <f t="shared" si="24"/>
        <v>4086.57</v>
      </c>
      <c r="AS31" s="671">
        <f t="shared" si="25"/>
        <v>92820.33</v>
      </c>
      <c r="AT31" s="671">
        <f t="shared" si="26"/>
        <v>92820.33</v>
      </c>
      <c r="AU31" s="671">
        <f t="shared" si="27"/>
        <v>96533.15</v>
      </c>
      <c r="AV31" s="671">
        <f t="shared" si="28"/>
        <v>98077.68</v>
      </c>
      <c r="AW31" s="695">
        <f t="shared" si="38"/>
        <v>20745.73</v>
      </c>
      <c r="AX31" s="696">
        <f t="shared" si="29"/>
        <v>20745.73</v>
      </c>
      <c r="AY31" s="696">
        <f t="shared" si="30"/>
        <v>21575.56</v>
      </c>
      <c r="AZ31" s="697">
        <f t="shared" si="31"/>
        <v>21920.77</v>
      </c>
      <c r="BA31" s="832"/>
      <c r="BB31" s="663">
        <f t="shared" si="32"/>
        <v>295540.96999999997</v>
      </c>
      <c r="BC31" s="694">
        <f t="shared" si="33"/>
        <v>261104.27</v>
      </c>
      <c r="BD31" s="694">
        <f t="shared" si="34"/>
        <v>134991.01999999999</v>
      </c>
      <c r="BE31" s="663">
        <f t="shared" si="1"/>
        <v>6157.1035416666664</v>
      </c>
      <c r="BF31" s="706"/>
      <c r="BG31" s="699">
        <v>8.4099999999999994E-2</v>
      </c>
      <c r="BH31" s="700">
        <v>0.22</v>
      </c>
    </row>
    <row r="32" spans="1:60" s="402" customFormat="1" ht="21" hidden="1" customHeight="1">
      <c r="A32" s="707" t="s">
        <v>556</v>
      </c>
      <c r="B32" s="707" t="s">
        <v>754</v>
      </c>
      <c r="C32" s="707" t="s">
        <v>755</v>
      </c>
      <c r="D32" s="707">
        <v>8322</v>
      </c>
      <c r="E32" s="707">
        <v>3</v>
      </c>
      <c r="F32" s="707" t="s">
        <v>770</v>
      </c>
      <c r="G32" s="707">
        <v>12</v>
      </c>
      <c r="H32" s="707">
        <v>3</v>
      </c>
      <c r="I32" s="707"/>
      <c r="J32" s="708">
        <v>51.21</v>
      </c>
      <c r="K32" s="708">
        <v>8505.41</v>
      </c>
      <c r="L32" s="687">
        <f t="shared" si="2"/>
        <v>8505.1299999999992</v>
      </c>
      <c r="M32" s="707">
        <v>26.7</v>
      </c>
      <c r="N32" s="688">
        <f t="shared" si="39"/>
        <v>2270.87</v>
      </c>
      <c r="O32" s="707">
        <v>25</v>
      </c>
      <c r="P32" s="687">
        <f t="shared" si="35"/>
        <v>2126.2800000000002</v>
      </c>
      <c r="Q32" s="689">
        <f t="shared" si="3"/>
        <v>12902.28</v>
      </c>
      <c r="R32" s="686">
        <f t="shared" si="4"/>
        <v>154827.35999999999</v>
      </c>
      <c r="S32" s="707">
        <f t="shared" si="5"/>
        <v>25515.360000000001</v>
      </c>
      <c r="T32" s="707"/>
      <c r="U32" s="671">
        <f t="shared" si="6"/>
        <v>464482.08</v>
      </c>
      <c r="V32" s="671">
        <f t="shared" si="7"/>
        <v>306184.68</v>
      </c>
      <c r="W32" s="671">
        <f t="shared" si="8"/>
        <v>158297.4</v>
      </c>
      <c r="X32" s="671">
        <f t="shared" si="9"/>
        <v>464482.07999999996</v>
      </c>
      <c r="Y32" s="691">
        <f t="shared" si="10"/>
        <v>8505.1299999999992</v>
      </c>
      <c r="Z32" s="691">
        <v>1</v>
      </c>
      <c r="AA32" s="671">
        <f t="shared" si="11"/>
        <v>306184.68</v>
      </c>
      <c r="AB32" s="671">
        <f t="shared" si="12"/>
        <v>158297.4</v>
      </c>
      <c r="AC32" s="671">
        <f t="shared" si="13"/>
        <v>483061.37</v>
      </c>
      <c r="AD32" s="689">
        <f t="shared" si="14"/>
        <v>8845.34</v>
      </c>
      <c r="AE32" s="691">
        <f t="shared" si="36"/>
        <v>1.04</v>
      </c>
      <c r="AF32" s="671">
        <f t="shared" si="15"/>
        <v>318432.07</v>
      </c>
      <c r="AG32" s="692">
        <f t="shared" si="16"/>
        <v>164629.29999999999</v>
      </c>
      <c r="AH32" s="671">
        <f t="shared" si="17"/>
        <v>490790.35</v>
      </c>
      <c r="AI32" s="691">
        <f t="shared" si="18"/>
        <v>8986.8700000000008</v>
      </c>
      <c r="AJ32" s="691">
        <f t="shared" si="37"/>
        <v>1.016</v>
      </c>
      <c r="AK32" s="671">
        <f t="shared" si="19"/>
        <v>323526.98</v>
      </c>
      <c r="AL32" s="671">
        <f t="shared" si="20"/>
        <v>167263.37</v>
      </c>
      <c r="AM32" s="709">
        <v>0.04</v>
      </c>
      <c r="AN32" s="710">
        <f t="shared" si="0"/>
        <v>0.48</v>
      </c>
      <c r="AO32" s="691">
        <f t="shared" si="21"/>
        <v>18579.28</v>
      </c>
      <c r="AP32" s="691">
        <f t="shared" si="22"/>
        <v>18579.28</v>
      </c>
      <c r="AQ32" s="691">
        <f t="shared" si="23"/>
        <v>19322.45</v>
      </c>
      <c r="AR32" s="691">
        <f t="shared" si="24"/>
        <v>19631.61</v>
      </c>
      <c r="AS32" s="671">
        <f t="shared" si="25"/>
        <v>445902.80000000005</v>
      </c>
      <c r="AT32" s="671">
        <f t="shared" si="26"/>
        <v>445902.79999999993</v>
      </c>
      <c r="AU32" s="671">
        <f t="shared" si="27"/>
        <v>463738.92</v>
      </c>
      <c r="AV32" s="671">
        <f t="shared" si="28"/>
        <v>471158.74</v>
      </c>
      <c r="AW32" s="695">
        <f t="shared" si="38"/>
        <v>99661.13</v>
      </c>
      <c r="AX32" s="696">
        <f t="shared" si="29"/>
        <v>99661.13</v>
      </c>
      <c r="AY32" s="696">
        <f t="shared" si="30"/>
        <v>103647.58</v>
      </c>
      <c r="AZ32" s="697">
        <f t="shared" si="31"/>
        <v>105305.94</v>
      </c>
      <c r="BA32" s="832"/>
      <c r="BB32" s="694">
        <f t="shared" si="32"/>
        <v>1419755.5499999998</v>
      </c>
      <c r="BC32" s="694">
        <f t="shared" si="33"/>
        <v>1254328.4099999999</v>
      </c>
      <c r="BD32" s="694">
        <f t="shared" si="34"/>
        <v>648487.47</v>
      </c>
      <c r="BE32" s="694">
        <f t="shared" si="1"/>
        <v>9859.413541666665</v>
      </c>
      <c r="BF32" s="710"/>
      <c r="BG32" s="699">
        <v>8.4099999999999994E-2</v>
      </c>
      <c r="BH32" s="700">
        <v>0.22</v>
      </c>
    </row>
    <row r="33" spans="1:60" s="388" customFormat="1" ht="21" hidden="1" customHeight="1">
      <c r="A33" s="655" t="s">
        <v>557</v>
      </c>
      <c r="B33" s="655" t="s">
        <v>754</v>
      </c>
      <c r="C33" s="655" t="s">
        <v>755</v>
      </c>
      <c r="D33" s="702">
        <v>8322</v>
      </c>
      <c r="E33" s="702">
        <v>1</v>
      </c>
      <c r="F33" s="702" t="s">
        <v>771</v>
      </c>
      <c r="G33" s="702">
        <v>2</v>
      </c>
      <c r="H33" s="702">
        <v>3</v>
      </c>
      <c r="I33" s="702"/>
      <c r="J33" s="703">
        <v>39.270000000000003</v>
      </c>
      <c r="K33" s="703">
        <v>6521.16</v>
      </c>
      <c r="L33" s="687">
        <f t="shared" si="2"/>
        <v>6522.09</v>
      </c>
      <c r="M33" s="702">
        <v>26.7</v>
      </c>
      <c r="N33" s="688">
        <f t="shared" si="39"/>
        <v>1741.4</v>
      </c>
      <c r="O33" s="702">
        <v>25</v>
      </c>
      <c r="P33" s="687">
        <f t="shared" si="35"/>
        <v>1630.52</v>
      </c>
      <c r="Q33" s="689">
        <f t="shared" si="3"/>
        <v>9894.01</v>
      </c>
      <c r="R33" s="686">
        <f t="shared" si="4"/>
        <v>19788.02</v>
      </c>
      <c r="S33" s="655">
        <f t="shared" si="5"/>
        <v>3261.04</v>
      </c>
      <c r="T33" s="655"/>
      <c r="U33" s="671">
        <f t="shared" si="6"/>
        <v>59364.06</v>
      </c>
      <c r="V33" s="671">
        <f t="shared" si="7"/>
        <v>39132.54</v>
      </c>
      <c r="W33" s="671">
        <f t="shared" si="8"/>
        <v>20231.52</v>
      </c>
      <c r="X33" s="671">
        <f t="shared" si="9"/>
        <v>59364.06</v>
      </c>
      <c r="Y33" s="691">
        <f t="shared" si="10"/>
        <v>6522.09</v>
      </c>
      <c r="Z33" s="691">
        <v>1</v>
      </c>
      <c r="AA33" s="671">
        <f t="shared" si="11"/>
        <v>39132.54</v>
      </c>
      <c r="AB33" s="671">
        <f t="shared" si="12"/>
        <v>20231.52</v>
      </c>
      <c r="AC33" s="671">
        <f t="shared" si="13"/>
        <v>61738.62</v>
      </c>
      <c r="AD33" s="689">
        <f t="shared" si="14"/>
        <v>6782.97</v>
      </c>
      <c r="AE33" s="691">
        <f t="shared" si="36"/>
        <v>1.04</v>
      </c>
      <c r="AF33" s="671">
        <f t="shared" si="15"/>
        <v>40697.839999999997</v>
      </c>
      <c r="AG33" s="692">
        <f t="shared" si="16"/>
        <v>21040.78</v>
      </c>
      <c r="AH33" s="671">
        <f t="shared" si="17"/>
        <v>62726.44</v>
      </c>
      <c r="AI33" s="691">
        <f t="shared" si="18"/>
        <v>6891.5</v>
      </c>
      <c r="AJ33" s="691">
        <f t="shared" si="37"/>
        <v>1.016</v>
      </c>
      <c r="AK33" s="671">
        <f t="shared" si="19"/>
        <v>41349.01</v>
      </c>
      <c r="AL33" s="671">
        <f t="shared" si="20"/>
        <v>21377.43</v>
      </c>
      <c r="AM33" s="704">
        <v>0.04</v>
      </c>
      <c r="AN33" s="705">
        <f t="shared" si="0"/>
        <v>0.08</v>
      </c>
      <c r="AO33" s="691">
        <f t="shared" si="21"/>
        <v>2374.56</v>
      </c>
      <c r="AP33" s="691">
        <f t="shared" si="22"/>
        <v>2374.56</v>
      </c>
      <c r="AQ33" s="691">
        <f t="shared" si="23"/>
        <v>2469.54</v>
      </c>
      <c r="AR33" s="691">
        <f t="shared" si="24"/>
        <v>2509.06</v>
      </c>
      <c r="AS33" s="671">
        <f t="shared" si="25"/>
        <v>56989.5</v>
      </c>
      <c r="AT33" s="671">
        <f t="shared" si="26"/>
        <v>56989.5</v>
      </c>
      <c r="AU33" s="671">
        <f t="shared" si="27"/>
        <v>59269.08</v>
      </c>
      <c r="AV33" s="671">
        <f t="shared" si="28"/>
        <v>60217.380000000005</v>
      </c>
      <c r="AW33" s="695">
        <f t="shared" si="38"/>
        <v>12737.39</v>
      </c>
      <c r="AX33" s="696">
        <f t="shared" si="29"/>
        <v>12737.39</v>
      </c>
      <c r="AY33" s="696">
        <f t="shared" si="30"/>
        <v>13246.89</v>
      </c>
      <c r="AZ33" s="697">
        <f t="shared" si="31"/>
        <v>13458.84</v>
      </c>
      <c r="BA33" s="832"/>
      <c r="BB33" s="663">
        <f t="shared" si="32"/>
        <v>181455.59999999998</v>
      </c>
      <c r="BC33" s="694">
        <f t="shared" si="33"/>
        <v>160311.93</v>
      </c>
      <c r="BD33" s="694">
        <f t="shared" si="34"/>
        <v>82881.25</v>
      </c>
      <c r="BE33" s="663">
        <f t="shared" si="1"/>
        <v>7560.6499999999987</v>
      </c>
      <c r="BF33" s="706"/>
      <c r="BG33" s="699">
        <v>8.4099999999999994E-2</v>
      </c>
      <c r="BH33" s="700">
        <v>0.22</v>
      </c>
    </row>
    <row r="34" spans="1:60" s="388" customFormat="1" ht="21" hidden="1" customHeight="1">
      <c r="A34" s="655" t="s">
        <v>558</v>
      </c>
      <c r="B34" s="655" t="s">
        <v>754</v>
      </c>
      <c r="C34" s="655" t="s">
        <v>755</v>
      </c>
      <c r="D34" s="702">
        <v>8322</v>
      </c>
      <c r="E34" s="702">
        <v>1</v>
      </c>
      <c r="F34" s="702" t="s">
        <v>772</v>
      </c>
      <c r="G34" s="702">
        <v>1</v>
      </c>
      <c r="H34" s="702">
        <v>3</v>
      </c>
      <c r="I34" s="702"/>
      <c r="J34" s="703">
        <v>43.31</v>
      </c>
      <c r="K34" s="703">
        <v>7193.55</v>
      </c>
      <c r="L34" s="687">
        <f t="shared" si="2"/>
        <v>7193.07</v>
      </c>
      <c r="M34" s="702">
        <v>42</v>
      </c>
      <c r="N34" s="688">
        <f t="shared" si="39"/>
        <v>3021.09</v>
      </c>
      <c r="O34" s="702">
        <v>25</v>
      </c>
      <c r="P34" s="687">
        <f t="shared" si="35"/>
        <v>1798.27</v>
      </c>
      <c r="Q34" s="689">
        <f t="shared" si="3"/>
        <v>12012.43</v>
      </c>
      <c r="R34" s="686">
        <f t="shared" si="4"/>
        <v>12012.43</v>
      </c>
      <c r="S34" s="655">
        <f t="shared" si="5"/>
        <v>1798.27</v>
      </c>
      <c r="T34" s="655"/>
      <c r="U34" s="671">
        <f t="shared" si="6"/>
        <v>36037.29</v>
      </c>
      <c r="V34" s="671">
        <f t="shared" si="7"/>
        <v>21579.21</v>
      </c>
      <c r="W34" s="671">
        <f t="shared" si="8"/>
        <v>14458.08</v>
      </c>
      <c r="X34" s="671">
        <f t="shared" si="9"/>
        <v>36037.29</v>
      </c>
      <c r="Y34" s="691">
        <f t="shared" si="10"/>
        <v>7193.07</v>
      </c>
      <c r="Z34" s="691">
        <v>1</v>
      </c>
      <c r="AA34" s="671">
        <f t="shared" si="11"/>
        <v>21579.21</v>
      </c>
      <c r="AB34" s="671">
        <f t="shared" si="12"/>
        <v>14458.08</v>
      </c>
      <c r="AC34" s="671">
        <f t="shared" si="13"/>
        <v>37478.78</v>
      </c>
      <c r="AD34" s="689">
        <f t="shared" si="14"/>
        <v>7480.79</v>
      </c>
      <c r="AE34" s="691">
        <f t="shared" si="36"/>
        <v>1.04</v>
      </c>
      <c r="AF34" s="671">
        <f t="shared" si="15"/>
        <v>22442.38</v>
      </c>
      <c r="AG34" s="692">
        <f t="shared" si="16"/>
        <v>15036.4</v>
      </c>
      <c r="AH34" s="671">
        <f t="shared" si="17"/>
        <v>38078.44</v>
      </c>
      <c r="AI34" s="691">
        <f t="shared" si="18"/>
        <v>7600.48</v>
      </c>
      <c r="AJ34" s="691">
        <f t="shared" si="37"/>
        <v>1.016</v>
      </c>
      <c r="AK34" s="671">
        <f t="shared" si="19"/>
        <v>22801.46</v>
      </c>
      <c r="AL34" s="671">
        <f t="shared" si="20"/>
        <v>15276.98</v>
      </c>
      <c r="AM34" s="704">
        <v>0.04</v>
      </c>
      <c r="AN34" s="705">
        <f t="shared" si="0"/>
        <v>0.04</v>
      </c>
      <c r="AO34" s="691">
        <f t="shared" si="21"/>
        <v>1441.49</v>
      </c>
      <c r="AP34" s="691">
        <f t="shared" si="22"/>
        <v>1441.49</v>
      </c>
      <c r="AQ34" s="691">
        <f t="shared" si="23"/>
        <v>1499.15</v>
      </c>
      <c r="AR34" s="691">
        <f t="shared" si="24"/>
        <v>1523.14</v>
      </c>
      <c r="AS34" s="671">
        <f t="shared" si="25"/>
        <v>34595.800000000003</v>
      </c>
      <c r="AT34" s="671">
        <f t="shared" si="26"/>
        <v>34595.800000000003</v>
      </c>
      <c r="AU34" s="671">
        <f t="shared" si="27"/>
        <v>35979.629999999997</v>
      </c>
      <c r="AV34" s="671">
        <f t="shared" si="28"/>
        <v>36555.300000000003</v>
      </c>
      <c r="AW34" s="695">
        <f t="shared" si="38"/>
        <v>7732.31</v>
      </c>
      <c r="AX34" s="696">
        <f t="shared" si="29"/>
        <v>7732.31</v>
      </c>
      <c r="AY34" s="696">
        <f t="shared" si="30"/>
        <v>8041.6</v>
      </c>
      <c r="AZ34" s="697">
        <f t="shared" si="31"/>
        <v>8170.26</v>
      </c>
      <c r="BA34" s="832"/>
      <c r="BB34" s="663">
        <f t="shared" si="32"/>
        <v>110154.06</v>
      </c>
      <c r="BC34" s="694">
        <f t="shared" si="33"/>
        <v>88402.26</v>
      </c>
      <c r="BD34" s="694">
        <f t="shared" si="34"/>
        <v>59229.54</v>
      </c>
      <c r="BE34" s="663">
        <f t="shared" si="1"/>
        <v>9179.5049999999992</v>
      </c>
      <c r="BF34" s="706"/>
      <c r="BG34" s="699">
        <v>8.4099999999999994E-2</v>
      </c>
      <c r="BH34" s="700">
        <v>0.22</v>
      </c>
    </row>
    <row r="35" spans="1:60" s="388" customFormat="1" ht="21" hidden="1" customHeight="1">
      <c r="A35" s="655" t="s">
        <v>559</v>
      </c>
      <c r="B35" s="655" t="s">
        <v>754</v>
      </c>
      <c r="C35" s="655" t="s">
        <v>755</v>
      </c>
      <c r="D35" s="702">
        <v>8322</v>
      </c>
      <c r="E35" s="702">
        <v>1</v>
      </c>
      <c r="F35" s="702" t="s">
        <v>759</v>
      </c>
      <c r="G35" s="702">
        <v>1</v>
      </c>
      <c r="H35" s="702">
        <v>3</v>
      </c>
      <c r="I35" s="702"/>
      <c r="J35" s="703">
        <v>44.94</v>
      </c>
      <c r="K35" s="703">
        <v>7463.89</v>
      </c>
      <c r="L35" s="687">
        <f t="shared" si="2"/>
        <v>7463.79</v>
      </c>
      <c r="M35" s="702">
        <v>42</v>
      </c>
      <c r="N35" s="688">
        <f t="shared" si="39"/>
        <v>3134.79</v>
      </c>
      <c r="O35" s="702">
        <v>25</v>
      </c>
      <c r="P35" s="687">
        <f t="shared" si="35"/>
        <v>1865.95</v>
      </c>
      <c r="Q35" s="689">
        <f t="shared" si="3"/>
        <v>12464.53</v>
      </c>
      <c r="R35" s="686">
        <f t="shared" si="4"/>
        <v>12464.53</v>
      </c>
      <c r="S35" s="655">
        <f t="shared" si="5"/>
        <v>1865.95</v>
      </c>
      <c r="T35" s="655"/>
      <c r="U35" s="671">
        <f t="shared" si="6"/>
        <v>37393.589999999997</v>
      </c>
      <c r="V35" s="671">
        <f t="shared" si="7"/>
        <v>22391.37</v>
      </c>
      <c r="W35" s="671">
        <f t="shared" si="8"/>
        <v>15002.22</v>
      </c>
      <c r="X35" s="671">
        <f t="shared" si="9"/>
        <v>37393.589999999997</v>
      </c>
      <c r="Y35" s="691">
        <f t="shared" si="10"/>
        <v>7463.79</v>
      </c>
      <c r="Z35" s="691">
        <v>1</v>
      </c>
      <c r="AA35" s="671">
        <f t="shared" si="11"/>
        <v>22391.37</v>
      </c>
      <c r="AB35" s="671">
        <f t="shared" si="12"/>
        <v>15002.22</v>
      </c>
      <c r="AC35" s="671">
        <f t="shared" si="13"/>
        <v>38889.33</v>
      </c>
      <c r="AD35" s="689">
        <f t="shared" si="14"/>
        <v>7762.34</v>
      </c>
      <c r="AE35" s="691">
        <f t="shared" si="36"/>
        <v>1.04</v>
      </c>
      <c r="AF35" s="671">
        <f t="shared" si="15"/>
        <v>23287.02</v>
      </c>
      <c r="AG35" s="692">
        <f t="shared" si="16"/>
        <v>15602.31</v>
      </c>
      <c r="AH35" s="671">
        <f t="shared" si="17"/>
        <v>39511.56</v>
      </c>
      <c r="AI35" s="691">
        <f t="shared" si="18"/>
        <v>7886.54</v>
      </c>
      <c r="AJ35" s="691">
        <f t="shared" si="37"/>
        <v>1.016</v>
      </c>
      <c r="AK35" s="671">
        <f t="shared" si="19"/>
        <v>23659.61</v>
      </c>
      <c r="AL35" s="671">
        <f t="shared" si="20"/>
        <v>15851.95</v>
      </c>
      <c r="AM35" s="704">
        <v>0.04</v>
      </c>
      <c r="AN35" s="705">
        <f t="shared" si="0"/>
        <v>0.04</v>
      </c>
      <c r="AO35" s="691">
        <f t="shared" si="21"/>
        <v>1495.74</v>
      </c>
      <c r="AP35" s="691">
        <f t="shared" si="22"/>
        <v>1495.74</v>
      </c>
      <c r="AQ35" s="691">
        <f t="shared" si="23"/>
        <v>1555.57</v>
      </c>
      <c r="AR35" s="691">
        <f t="shared" si="24"/>
        <v>1580.46</v>
      </c>
      <c r="AS35" s="671">
        <f t="shared" si="25"/>
        <v>35897.85</v>
      </c>
      <c r="AT35" s="671">
        <f t="shared" si="26"/>
        <v>35897.85</v>
      </c>
      <c r="AU35" s="671">
        <f t="shared" si="27"/>
        <v>37333.760000000002</v>
      </c>
      <c r="AV35" s="671">
        <f t="shared" si="28"/>
        <v>37931.1</v>
      </c>
      <c r="AW35" s="695">
        <f t="shared" si="38"/>
        <v>8023.32</v>
      </c>
      <c r="AX35" s="696">
        <f t="shared" si="29"/>
        <v>8023.32</v>
      </c>
      <c r="AY35" s="696">
        <f t="shared" si="30"/>
        <v>8344.25</v>
      </c>
      <c r="AZ35" s="697">
        <f t="shared" si="31"/>
        <v>8477.76</v>
      </c>
      <c r="BA35" s="832"/>
      <c r="BB35" s="663">
        <f t="shared" si="32"/>
        <v>114299.77999999998</v>
      </c>
      <c r="BC35" s="694">
        <f t="shared" si="33"/>
        <v>91729.37</v>
      </c>
      <c r="BD35" s="694">
        <f t="shared" si="34"/>
        <v>61458.7</v>
      </c>
      <c r="BE35" s="663">
        <f t="shared" si="1"/>
        <v>9524.9816666666648</v>
      </c>
      <c r="BF35" s="706"/>
      <c r="BG35" s="699">
        <v>8.4099999999999994E-2</v>
      </c>
      <c r="BH35" s="700">
        <v>0.22</v>
      </c>
    </row>
    <row r="36" spans="1:60" s="388" customFormat="1" ht="21" hidden="1" customHeight="1">
      <c r="A36" s="655" t="s">
        <v>560</v>
      </c>
      <c r="B36" s="655" t="s">
        <v>754</v>
      </c>
      <c r="C36" s="655" t="s">
        <v>755</v>
      </c>
      <c r="D36" s="702">
        <v>8322</v>
      </c>
      <c r="E36" s="702">
        <v>1</v>
      </c>
      <c r="F36" s="702" t="s">
        <v>773</v>
      </c>
      <c r="G36" s="702">
        <v>1</v>
      </c>
      <c r="H36" s="702">
        <v>3</v>
      </c>
      <c r="I36" s="702"/>
      <c r="J36" s="703">
        <v>44.94</v>
      </c>
      <c r="K36" s="703">
        <v>7463.89</v>
      </c>
      <c r="L36" s="687">
        <f t="shared" si="2"/>
        <v>7463.79</v>
      </c>
      <c r="M36" s="702">
        <v>42</v>
      </c>
      <c r="N36" s="688">
        <f t="shared" si="39"/>
        <v>3134.79</v>
      </c>
      <c r="O36" s="702">
        <v>25</v>
      </c>
      <c r="P36" s="687">
        <f t="shared" si="35"/>
        <v>1865.95</v>
      </c>
      <c r="Q36" s="689">
        <f t="shared" si="3"/>
        <v>12464.53</v>
      </c>
      <c r="R36" s="686">
        <f t="shared" si="4"/>
        <v>12464.53</v>
      </c>
      <c r="S36" s="655">
        <f t="shared" si="5"/>
        <v>1865.95</v>
      </c>
      <c r="T36" s="655"/>
      <c r="U36" s="671">
        <f t="shared" si="6"/>
        <v>37393.589999999997</v>
      </c>
      <c r="V36" s="671">
        <f t="shared" si="7"/>
        <v>22391.37</v>
      </c>
      <c r="W36" s="671">
        <f t="shared" si="8"/>
        <v>15002.22</v>
      </c>
      <c r="X36" s="671">
        <f t="shared" si="9"/>
        <v>37393.589999999997</v>
      </c>
      <c r="Y36" s="691">
        <f t="shared" si="10"/>
        <v>7463.79</v>
      </c>
      <c r="Z36" s="691">
        <v>1</v>
      </c>
      <c r="AA36" s="671">
        <f t="shared" si="11"/>
        <v>22391.37</v>
      </c>
      <c r="AB36" s="671">
        <f t="shared" si="12"/>
        <v>15002.22</v>
      </c>
      <c r="AC36" s="671">
        <f t="shared" si="13"/>
        <v>38889.33</v>
      </c>
      <c r="AD36" s="689">
        <f t="shared" si="14"/>
        <v>7762.34</v>
      </c>
      <c r="AE36" s="691">
        <f t="shared" si="36"/>
        <v>1.04</v>
      </c>
      <c r="AF36" s="671">
        <f t="shared" si="15"/>
        <v>23287.02</v>
      </c>
      <c r="AG36" s="692">
        <f t="shared" si="16"/>
        <v>15602.31</v>
      </c>
      <c r="AH36" s="671">
        <f t="shared" si="17"/>
        <v>39511.56</v>
      </c>
      <c r="AI36" s="691">
        <f t="shared" si="18"/>
        <v>7886.54</v>
      </c>
      <c r="AJ36" s="691">
        <f t="shared" si="37"/>
        <v>1.016</v>
      </c>
      <c r="AK36" s="671">
        <f t="shared" si="19"/>
        <v>23659.61</v>
      </c>
      <c r="AL36" s="671">
        <f t="shared" si="20"/>
        <v>15851.95</v>
      </c>
      <c r="AM36" s="704">
        <v>0.04</v>
      </c>
      <c r="AN36" s="705">
        <f t="shared" ref="AN36:AN67" si="41">G36*AM36</f>
        <v>0.04</v>
      </c>
      <c r="AO36" s="691">
        <f t="shared" si="21"/>
        <v>1495.74</v>
      </c>
      <c r="AP36" s="691">
        <f t="shared" si="22"/>
        <v>1495.74</v>
      </c>
      <c r="AQ36" s="691">
        <f t="shared" si="23"/>
        <v>1555.57</v>
      </c>
      <c r="AR36" s="691">
        <f t="shared" si="24"/>
        <v>1580.46</v>
      </c>
      <c r="AS36" s="671">
        <f t="shared" si="25"/>
        <v>35897.85</v>
      </c>
      <c r="AT36" s="671">
        <f t="shared" si="26"/>
        <v>35897.85</v>
      </c>
      <c r="AU36" s="671">
        <f t="shared" si="27"/>
        <v>37333.760000000002</v>
      </c>
      <c r="AV36" s="671">
        <f t="shared" si="28"/>
        <v>37931.1</v>
      </c>
      <c r="AW36" s="695">
        <f t="shared" si="38"/>
        <v>8023.32</v>
      </c>
      <c r="AX36" s="696">
        <f t="shared" si="29"/>
        <v>8023.32</v>
      </c>
      <c r="AY36" s="696">
        <f t="shared" si="30"/>
        <v>8344.25</v>
      </c>
      <c r="AZ36" s="697">
        <f t="shared" si="31"/>
        <v>8477.76</v>
      </c>
      <c r="BA36" s="832"/>
      <c r="BB36" s="663">
        <f t="shared" si="32"/>
        <v>114299.77999999998</v>
      </c>
      <c r="BC36" s="694">
        <f t="shared" si="33"/>
        <v>91729.37</v>
      </c>
      <c r="BD36" s="694">
        <f t="shared" si="34"/>
        <v>61458.7</v>
      </c>
      <c r="BE36" s="663">
        <f t="shared" ref="BE36:BE67" si="42">BB36/12/G36</f>
        <v>9524.9816666666648</v>
      </c>
      <c r="BF36" s="706"/>
      <c r="BG36" s="699">
        <v>8.4099999999999994E-2</v>
      </c>
      <c r="BH36" s="700">
        <v>0.22</v>
      </c>
    </row>
    <row r="37" spans="1:60" s="388" customFormat="1" ht="21" hidden="1" customHeight="1">
      <c r="A37" s="655" t="s">
        <v>561</v>
      </c>
      <c r="B37" s="655" t="s">
        <v>754</v>
      </c>
      <c r="C37" s="655" t="s">
        <v>755</v>
      </c>
      <c r="D37" s="702">
        <v>8322</v>
      </c>
      <c r="E37" s="702">
        <v>3</v>
      </c>
      <c r="F37" s="702" t="s">
        <v>759</v>
      </c>
      <c r="G37" s="702">
        <v>3</v>
      </c>
      <c r="H37" s="702">
        <v>3</v>
      </c>
      <c r="I37" s="702"/>
      <c r="J37" s="703">
        <v>43.31</v>
      </c>
      <c r="K37" s="703">
        <v>7193.55</v>
      </c>
      <c r="L37" s="687">
        <f t="shared" si="2"/>
        <v>7193.07</v>
      </c>
      <c r="M37" s="702">
        <v>17</v>
      </c>
      <c r="N37" s="688">
        <f t="shared" si="39"/>
        <v>1222.82</v>
      </c>
      <c r="O37" s="702">
        <v>25</v>
      </c>
      <c r="P37" s="687">
        <f t="shared" si="35"/>
        <v>1798.27</v>
      </c>
      <c r="Q37" s="689">
        <f t="shared" si="3"/>
        <v>10214.16</v>
      </c>
      <c r="R37" s="686">
        <f t="shared" si="4"/>
        <v>30642.48</v>
      </c>
      <c r="S37" s="655">
        <f t="shared" si="5"/>
        <v>5394.8099999999995</v>
      </c>
      <c r="T37" s="655"/>
      <c r="U37" s="671">
        <f t="shared" si="6"/>
        <v>91927.44</v>
      </c>
      <c r="V37" s="671">
        <f t="shared" si="7"/>
        <v>64737.63</v>
      </c>
      <c r="W37" s="671">
        <f t="shared" si="8"/>
        <v>27189.81</v>
      </c>
      <c r="X37" s="671">
        <f t="shared" si="9"/>
        <v>91927.44</v>
      </c>
      <c r="Y37" s="691">
        <f t="shared" si="10"/>
        <v>7193.07</v>
      </c>
      <c r="Z37" s="691">
        <v>1</v>
      </c>
      <c r="AA37" s="671">
        <f t="shared" si="11"/>
        <v>64737.63</v>
      </c>
      <c r="AB37" s="671">
        <f t="shared" si="12"/>
        <v>27189.81</v>
      </c>
      <c r="AC37" s="671">
        <f t="shared" si="13"/>
        <v>95604.54</v>
      </c>
      <c r="AD37" s="689">
        <f t="shared" si="14"/>
        <v>7480.79</v>
      </c>
      <c r="AE37" s="691">
        <f t="shared" si="36"/>
        <v>1.04</v>
      </c>
      <c r="AF37" s="671">
        <f t="shared" si="15"/>
        <v>67327.14</v>
      </c>
      <c r="AG37" s="692">
        <f t="shared" si="16"/>
        <v>28277.4</v>
      </c>
      <c r="AH37" s="671">
        <f t="shared" si="17"/>
        <v>97134.21</v>
      </c>
      <c r="AI37" s="691">
        <f t="shared" si="18"/>
        <v>7600.48</v>
      </c>
      <c r="AJ37" s="691">
        <f t="shared" si="37"/>
        <v>1.016</v>
      </c>
      <c r="AK37" s="671">
        <f t="shared" si="19"/>
        <v>68404.37</v>
      </c>
      <c r="AL37" s="671">
        <f t="shared" si="20"/>
        <v>28729.84</v>
      </c>
      <c r="AM37" s="704">
        <v>0.04</v>
      </c>
      <c r="AN37" s="705">
        <f t="shared" si="41"/>
        <v>0.12</v>
      </c>
      <c r="AO37" s="691">
        <f t="shared" si="21"/>
        <v>3677.1</v>
      </c>
      <c r="AP37" s="691">
        <f t="shared" si="22"/>
        <v>3677.1</v>
      </c>
      <c r="AQ37" s="691">
        <f t="shared" si="23"/>
        <v>3824.18</v>
      </c>
      <c r="AR37" s="691">
        <f t="shared" si="24"/>
        <v>3885.37</v>
      </c>
      <c r="AS37" s="671">
        <f t="shared" si="25"/>
        <v>88250.34</v>
      </c>
      <c r="AT37" s="671">
        <f t="shared" si="26"/>
        <v>88250.34</v>
      </c>
      <c r="AU37" s="671">
        <f t="shared" si="27"/>
        <v>91780.36</v>
      </c>
      <c r="AV37" s="671">
        <f t="shared" si="28"/>
        <v>93248.840000000011</v>
      </c>
      <c r="AW37" s="695">
        <f t="shared" si="38"/>
        <v>19724.32</v>
      </c>
      <c r="AX37" s="696">
        <f t="shared" si="29"/>
        <v>19724.32</v>
      </c>
      <c r="AY37" s="696">
        <f t="shared" si="30"/>
        <v>20513.29</v>
      </c>
      <c r="AZ37" s="697">
        <f t="shared" si="31"/>
        <v>20841.5</v>
      </c>
      <c r="BA37" s="832"/>
      <c r="BB37" s="663">
        <f t="shared" ref="BB37:BB68" si="43">U37+X37+AE37+AH37</f>
        <v>280990.13</v>
      </c>
      <c r="BC37" s="694">
        <f t="shared" si="33"/>
        <v>265206.77</v>
      </c>
      <c r="BD37" s="694">
        <f t="shared" si="34"/>
        <v>111386.86</v>
      </c>
      <c r="BE37" s="663">
        <f t="shared" si="42"/>
        <v>7805.2813888888886</v>
      </c>
      <c r="BF37" s="706"/>
      <c r="BG37" s="699">
        <v>8.4099999999999994E-2</v>
      </c>
      <c r="BH37" s="700">
        <v>0.22</v>
      </c>
    </row>
    <row r="38" spans="1:60" s="388" customFormat="1" ht="21" hidden="1" customHeight="1">
      <c r="A38" s="655" t="s">
        <v>562</v>
      </c>
      <c r="B38" s="655" t="s">
        <v>754</v>
      </c>
      <c r="C38" s="655" t="s">
        <v>755</v>
      </c>
      <c r="D38" s="702">
        <v>8322</v>
      </c>
      <c r="E38" s="702">
        <v>4</v>
      </c>
      <c r="F38" s="702" t="s">
        <v>774</v>
      </c>
      <c r="G38" s="702">
        <v>4</v>
      </c>
      <c r="H38" s="702">
        <v>3</v>
      </c>
      <c r="I38" s="702"/>
      <c r="J38" s="703">
        <v>39.270000000000003</v>
      </c>
      <c r="K38" s="703">
        <v>6521.16</v>
      </c>
      <c r="L38" s="687">
        <f t="shared" si="2"/>
        <v>6522.09</v>
      </c>
      <c r="M38" s="702">
        <v>52</v>
      </c>
      <c r="N38" s="688">
        <f t="shared" si="39"/>
        <v>3391.49</v>
      </c>
      <c r="O38" s="702">
        <v>25</v>
      </c>
      <c r="P38" s="687">
        <f t="shared" si="35"/>
        <v>1630.52</v>
      </c>
      <c r="Q38" s="689">
        <f t="shared" si="3"/>
        <v>11544.1</v>
      </c>
      <c r="R38" s="686">
        <f t="shared" si="4"/>
        <v>46176.4</v>
      </c>
      <c r="S38" s="655">
        <f t="shared" si="5"/>
        <v>6522.08</v>
      </c>
      <c r="T38" s="655"/>
      <c r="U38" s="671">
        <f t="shared" si="6"/>
        <v>138529.20000000001</v>
      </c>
      <c r="V38" s="671">
        <f t="shared" si="7"/>
        <v>78265.08</v>
      </c>
      <c r="W38" s="671">
        <f t="shared" si="8"/>
        <v>60264.12</v>
      </c>
      <c r="X38" s="671">
        <f t="shared" si="9"/>
        <v>138529.20000000001</v>
      </c>
      <c r="Y38" s="691">
        <f t="shared" si="10"/>
        <v>6522.09</v>
      </c>
      <c r="Z38" s="691">
        <v>1</v>
      </c>
      <c r="AA38" s="671">
        <f t="shared" si="11"/>
        <v>78265.08</v>
      </c>
      <c r="AB38" s="671">
        <f t="shared" si="12"/>
        <v>60264.12</v>
      </c>
      <c r="AC38" s="671">
        <f t="shared" si="13"/>
        <v>144070.35999999999</v>
      </c>
      <c r="AD38" s="689">
        <f t="shared" si="14"/>
        <v>6782.97</v>
      </c>
      <c r="AE38" s="691">
        <f t="shared" si="36"/>
        <v>1.04</v>
      </c>
      <c r="AF38" s="671">
        <f t="shared" si="15"/>
        <v>81395.679999999993</v>
      </c>
      <c r="AG38" s="692">
        <f t="shared" si="16"/>
        <v>62674.68</v>
      </c>
      <c r="AH38" s="671">
        <f t="shared" si="17"/>
        <v>146375.48000000001</v>
      </c>
      <c r="AI38" s="691">
        <f t="shared" si="18"/>
        <v>6891.5</v>
      </c>
      <c r="AJ38" s="691">
        <f t="shared" si="37"/>
        <v>1.016</v>
      </c>
      <c r="AK38" s="671">
        <f t="shared" si="19"/>
        <v>82698.009999999995</v>
      </c>
      <c r="AL38" s="671">
        <f t="shared" si="20"/>
        <v>63677.47</v>
      </c>
      <c r="AM38" s="704">
        <v>0.04</v>
      </c>
      <c r="AN38" s="705">
        <f t="shared" si="41"/>
        <v>0.16</v>
      </c>
      <c r="AO38" s="691">
        <f t="shared" si="21"/>
        <v>5541.17</v>
      </c>
      <c r="AP38" s="691">
        <f t="shared" si="22"/>
        <v>5541.17</v>
      </c>
      <c r="AQ38" s="691">
        <f t="shared" si="23"/>
        <v>5762.81</v>
      </c>
      <c r="AR38" s="691">
        <f t="shared" si="24"/>
        <v>5855.02</v>
      </c>
      <c r="AS38" s="671">
        <f t="shared" si="25"/>
        <v>132988.03</v>
      </c>
      <c r="AT38" s="671">
        <f t="shared" si="26"/>
        <v>132988.03</v>
      </c>
      <c r="AU38" s="671">
        <f t="shared" si="27"/>
        <v>138307.54999999999</v>
      </c>
      <c r="AV38" s="671">
        <f t="shared" si="28"/>
        <v>140520.46000000002</v>
      </c>
      <c r="AW38" s="695">
        <f t="shared" si="38"/>
        <v>29723.38</v>
      </c>
      <c r="AX38" s="696">
        <f t="shared" si="29"/>
        <v>29723.38</v>
      </c>
      <c r="AY38" s="696">
        <f t="shared" si="30"/>
        <v>30912.31</v>
      </c>
      <c r="AZ38" s="697">
        <f t="shared" si="31"/>
        <v>31406.91</v>
      </c>
      <c r="BA38" s="832"/>
      <c r="BB38" s="663">
        <f t="shared" si="43"/>
        <v>423434.92000000004</v>
      </c>
      <c r="BC38" s="694">
        <f t="shared" si="33"/>
        <v>320623.84999999998</v>
      </c>
      <c r="BD38" s="694">
        <f t="shared" si="34"/>
        <v>246880.39</v>
      </c>
      <c r="BE38" s="663">
        <f t="shared" si="42"/>
        <v>8821.5608333333348</v>
      </c>
      <c r="BF38" s="706"/>
      <c r="BG38" s="699">
        <v>8.4099999999999994E-2</v>
      </c>
      <c r="BH38" s="700">
        <v>0.22</v>
      </c>
    </row>
    <row r="39" spans="1:60" s="388" customFormat="1" ht="21" hidden="1" customHeight="1">
      <c r="A39" s="655" t="s">
        <v>563</v>
      </c>
      <c r="B39" s="655" t="s">
        <v>754</v>
      </c>
      <c r="C39" s="655" t="s">
        <v>755</v>
      </c>
      <c r="D39" s="702">
        <v>8322</v>
      </c>
      <c r="E39" s="702">
        <v>8</v>
      </c>
      <c r="F39" s="702" t="s">
        <v>775</v>
      </c>
      <c r="G39" s="702">
        <v>8</v>
      </c>
      <c r="H39" s="702">
        <v>3</v>
      </c>
      <c r="I39" s="702"/>
      <c r="J39" s="703">
        <v>47.36</v>
      </c>
      <c r="K39" s="703">
        <v>7865.94</v>
      </c>
      <c r="L39" s="687">
        <f t="shared" si="2"/>
        <v>7865.71</v>
      </c>
      <c r="M39" s="702">
        <v>12</v>
      </c>
      <c r="N39" s="688">
        <f t="shared" si="39"/>
        <v>943.89</v>
      </c>
      <c r="O39" s="702">
        <v>25</v>
      </c>
      <c r="P39" s="687">
        <f t="shared" si="35"/>
        <v>1966.43</v>
      </c>
      <c r="Q39" s="689">
        <f t="shared" si="3"/>
        <v>10776.03</v>
      </c>
      <c r="R39" s="686">
        <f t="shared" si="4"/>
        <v>86208.24</v>
      </c>
      <c r="S39" s="655">
        <f t="shared" si="5"/>
        <v>15731.44</v>
      </c>
      <c r="T39" s="655"/>
      <c r="U39" s="671">
        <f t="shared" si="6"/>
        <v>258624.72</v>
      </c>
      <c r="V39" s="671">
        <f t="shared" si="7"/>
        <v>188777.04</v>
      </c>
      <c r="W39" s="671">
        <f t="shared" si="8"/>
        <v>69847.679999999993</v>
      </c>
      <c r="X39" s="671">
        <f t="shared" si="9"/>
        <v>258624.72</v>
      </c>
      <c r="Y39" s="691">
        <f t="shared" si="10"/>
        <v>7865.71</v>
      </c>
      <c r="Z39" s="691">
        <v>1</v>
      </c>
      <c r="AA39" s="671">
        <f t="shared" si="11"/>
        <v>188777.04</v>
      </c>
      <c r="AB39" s="671">
        <f t="shared" si="12"/>
        <v>69847.679999999993</v>
      </c>
      <c r="AC39" s="671">
        <f t="shared" si="13"/>
        <v>268969.71000000002</v>
      </c>
      <c r="AD39" s="689">
        <f t="shared" si="14"/>
        <v>8180.34</v>
      </c>
      <c r="AE39" s="691">
        <f t="shared" si="36"/>
        <v>1.04</v>
      </c>
      <c r="AF39" s="671">
        <f t="shared" si="15"/>
        <v>196328.12</v>
      </c>
      <c r="AG39" s="692">
        <f t="shared" si="16"/>
        <v>72641.59</v>
      </c>
      <c r="AH39" s="671">
        <f t="shared" si="17"/>
        <v>273273.23</v>
      </c>
      <c r="AI39" s="691">
        <f t="shared" si="18"/>
        <v>8311.23</v>
      </c>
      <c r="AJ39" s="691">
        <f t="shared" si="37"/>
        <v>1.016</v>
      </c>
      <c r="AK39" s="671">
        <f t="shared" si="19"/>
        <v>199469.37</v>
      </c>
      <c r="AL39" s="671">
        <f t="shared" si="20"/>
        <v>73803.86</v>
      </c>
      <c r="AM39" s="704">
        <v>0.04</v>
      </c>
      <c r="AN39" s="705">
        <f t="shared" si="41"/>
        <v>0.32</v>
      </c>
      <c r="AO39" s="691">
        <f t="shared" si="21"/>
        <v>10344.99</v>
      </c>
      <c r="AP39" s="691">
        <f t="shared" si="22"/>
        <v>10344.99</v>
      </c>
      <c r="AQ39" s="691">
        <f t="shared" si="23"/>
        <v>10758.79</v>
      </c>
      <c r="AR39" s="691">
        <f t="shared" si="24"/>
        <v>10930.93</v>
      </c>
      <c r="AS39" s="671">
        <f t="shared" si="25"/>
        <v>248279.73</v>
      </c>
      <c r="AT39" s="671">
        <f t="shared" si="26"/>
        <v>248279.73</v>
      </c>
      <c r="AU39" s="671">
        <f t="shared" si="27"/>
        <v>258210.92</v>
      </c>
      <c r="AV39" s="671">
        <f t="shared" si="28"/>
        <v>262342.3</v>
      </c>
      <c r="AW39" s="695">
        <f t="shared" si="38"/>
        <v>55491.55</v>
      </c>
      <c r="AX39" s="696">
        <f t="shared" si="29"/>
        <v>55491.55</v>
      </c>
      <c r="AY39" s="696">
        <f t="shared" si="30"/>
        <v>57711.22</v>
      </c>
      <c r="AZ39" s="697">
        <f t="shared" si="31"/>
        <v>58634.6</v>
      </c>
      <c r="BA39" s="832"/>
      <c r="BB39" s="663">
        <f t="shared" si="43"/>
        <v>790523.71</v>
      </c>
      <c r="BC39" s="694">
        <f t="shared" si="33"/>
        <v>773351.57</v>
      </c>
      <c r="BD39" s="694">
        <f t="shared" si="34"/>
        <v>286140.81</v>
      </c>
      <c r="BE39" s="663">
        <f t="shared" si="42"/>
        <v>8234.6219791666663</v>
      </c>
      <c r="BF39" s="706"/>
      <c r="BG39" s="699">
        <v>8.4099999999999994E-2</v>
      </c>
      <c r="BH39" s="700">
        <v>0.22</v>
      </c>
    </row>
    <row r="40" spans="1:60" s="388" customFormat="1" ht="21" hidden="1" customHeight="1">
      <c r="A40" s="655" t="s">
        <v>564</v>
      </c>
      <c r="B40" s="655" t="s">
        <v>754</v>
      </c>
      <c r="C40" s="655" t="s">
        <v>755</v>
      </c>
      <c r="D40" s="702">
        <v>8322</v>
      </c>
      <c r="E40" s="702">
        <v>1</v>
      </c>
      <c r="F40" s="702">
        <v>15.4</v>
      </c>
      <c r="G40" s="702">
        <v>1</v>
      </c>
      <c r="H40" s="702">
        <v>3</v>
      </c>
      <c r="I40" s="702"/>
      <c r="J40" s="703">
        <v>47.36</v>
      </c>
      <c r="K40" s="703">
        <v>7865.94</v>
      </c>
      <c r="L40" s="687">
        <f t="shared" si="2"/>
        <v>7865.71</v>
      </c>
      <c r="M40" s="702">
        <v>12</v>
      </c>
      <c r="N40" s="688">
        <f t="shared" si="39"/>
        <v>943.89</v>
      </c>
      <c r="O40" s="702">
        <v>25</v>
      </c>
      <c r="P40" s="687">
        <f t="shared" si="35"/>
        <v>1966.43</v>
      </c>
      <c r="Q40" s="689">
        <f t="shared" si="3"/>
        <v>10776.03</v>
      </c>
      <c r="R40" s="686">
        <f t="shared" si="4"/>
        <v>10776.03</v>
      </c>
      <c r="S40" s="655">
        <f t="shared" si="5"/>
        <v>1966.43</v>
      </c>
      <c r="T40" s="655"/>
      <c r="U40" s="671">
        <f t="shared" si="6"/>
        <v>32328.09</v>
      </c>
      <c r="V40" s="671">
        <f t="shared" si="7"/>
        <v>23597.13</v>
      </c>
      <c r="W40" s="671">
        <f t="shared" si="8"/>
        <v>8730.9599999999991</v>
      </c>
      <c r="X40" s="671">
        <f t="shared" si="9"/>
        <v>32328.09</v>
      </c>
      <c r="Y40" s="691">
        <f t="shared" si="10"/>
        <v>7865.71</v>
      </c>
      <c r="Z40" s="691">
        <v>1</v>
      </c>
      <c r="AA40" s="671">
        <f t="shared" si="11"/>
        <v>23597.13</v>
      </c>
      <c r="AB40" s="671">
        <f t="shared" si="12"/>
        <v>8730.9599999999991</v>
      </c>
      <c r="AC40" s="671">
        <f t="shared" si="13"/>
        <v>33621.22</v>
      </c>
      <c r="AD40" s="689">
        <f t="shared" si="14"/>
        <v>8180.34</v>
      </c>
      <c r="AE40" s="691">
        <f t="shared" si="36"/>
        <v>1.04</v>
      </c>
      <c r="AF40" s="671">
        <f t="shared" si="15"/>
        <v>24541.02</v>
      </c>
      <c r="AG40" s="692">
        <f t="shared" si="16"/>
        <v>9080.2000000000007</v>
      </c>
      <c r="AH40" s="671">
        <f t="shared" si="17"/>
        <v>34159.160000000003</v>
      </c>
      <c r="AI40" s="691">
        <f t="shared" si="18"/>
        <v>8311.23</v>
      </c>
      <c r="AJ40" s="691">
        <f t="shared" si="37"/>
        <v>1.016</v>
      </c>
      <c r="AK40" s="671">
        <f t="shared" si="19"/>
        <v>24933.68</v>
      </c>
      <c r="AL40" s="671">
        <f t="shared" si="20"/>
        <v>9225.48</v>
      </c>
      <c r="AM40" s="704">
        <v>0.04</v>
      </c>
      <c r="AN40" s="705">
        <f t="shared" si="41"/>
        <v>0.04</v>
      </c>
      <c r="AO40" s="691">
        <f t="shared" si="21"/>
        <v>1293.1199999999999</v>
      </c>
      <c r="AP40" s="691">
        <f t="shared" si="22"/>
        <v>1293.1199999999999</v>
      </c>
      <c r="AQ40" s="691">
        <f t="shared" si="23"/>
        <v>1344.85</v>
      </c>
      <c r="AR40" s="691">
        <f t="shared" si="24"/>
        <v>1366.37</v>
      </c>
      <c r="AS40" s="671">
        <f t="shared" si="25"/>
        <v>31034.97</v>
      </c>
      <c r="AT40" s="671">
        <f t="shared" si="26"/>
        <v>31034.97</v>
      </c>
      <c r="AU40" s="671">
        <f t="shared" si="27"/>
        <v>32276.370000000003</v>
      </c>
      <c r="AV40" s="671">
        <f t="shared" si="28"/>
        <v>32792.79</v>
      </c>
      <c r="AW40" s="695">
        <f t="shared" si="38"/>
        <v>6936.44</v>
      </c>
      <c r="AX40" s="696">
        <f t="shared" si="29"/>
        <v>6936.44</v>
      </c>
      <c r="AY40" s="696">
        <f t="shared" si="30"/>
        <v>7213.9</v>
      </c>
      <c r="AZ40" s="697">
        <f t="shared" si="31"/>
        <v>7329.33</v>
      </c>
      <c r="BA40" s="832"/>
      <c r="BB40" s="663">
        <f t="shared" si="43"/>
        <v>98816.38</v>
      </c>
      <c r="BC40" s="694">
        <f t="shared" si="33"/>
        <v>96668.96</v>
      </c>
      <c r="BD40" s="694">
        <f t="shared" si="34"/>
        <v>35767.599999999999</v>
      </c>
      <c r="BE40" s="663">
        <f t="shared" si="42"/>
        <v>8234.6983333333337</v>
      </c>
      <c r="BF40" s="706"/>
      <c r="BG40" s="699">
        <v>8.4099999999999994E-2</v>
      </c>
      <c r="BH40" s="700">
        <v>0.22</v>
      </c>
    </row>
    <row r="41" spans="1:60" s="388" customFormat="1" ht="21" hidden="1" customHeight="1">
      <c r="A41" s="655" t="s">
        <v>565</v>
      </c>
      <c r="B41" s="655" t="s">
        <v>754</v>
      </c>
      <c r="C41" s="655" t="s">
        <v>755</v>
      </c>
      <c r="D41" s="702">
        <v>8322</v>
      </c>
      <c r="E41" s="702">
        <v>1</v>
      </c>
      <c r="F41" s="702">
        <v>1.1599999999999999</v>
      </c>
      <c r="G41" s="702">
        <v>1</v>
      </c>
      <c r="H41" s="702">
        <v>3</v>
      </c>
      <c r="I41" s="702"/>
      <c r="J41" s="703">
        <v>29.96</v>
      </c>
      <c r="K41" s="703">
        <v>4975.3500000000004</v>
      </c>
      <c r="L41" s="687">
        <f t="shared" si="2"/>
        <v>4975.8599999999997</v>
      </c>
      <c r="M41" s="702">
        <v>12</v>
      </c>
      <c r="N41" s="688">
        <f t="shared" si="39"/>
        <v>597.1</v>
      </c>
      <c r="O41" s="702">
        <v>25</v>
      </c>
      <c r="P41" s="687">
        <f t="shared" si="35"/>
        <v>1243.97</v>
      </c>
      <c r="Q41" s="689">
        <f t="shared" si="3"/>
        <v>6816.93</v>
      </c>
      <c r="R41" s="686">
        <f t="shared" si="4"/>
        <v>6816.93</v>
      </c>
      <c r="S41" s="655">
        <f t="shared" si="5"/>
        <v>1243.97</v>
      </c>
      <c r="T41" s="655"/>
      <c r="U41" s="671">
        <f t="shared" si="6"/>
        <v>20450.79</v>
      </c>
      <c r="V41" s="671">
        <f t="shared" si="7"/>
        <v>14927.58</v>
      </c>
      <c r="W41" s="671">
        <f t="shared" si="8"/>
        <v>5523.21</v>
      </c>
      <c r="X41" s="671">
        <f t="shared" si="9"/>
        <v>20450.79</v>
      </c>
      <c r="Y41" s="691">
        <f t="shared" si="10"/>
        <v>4975.8599999999997</v>
      </c>
      <c r="Z41" s="691">
        <v>1</v>
      </c>
      <c r="AA41" s="671">
        <f t="shared" si="11"/>
        <v>14927.58</v>
      </c>
      <c r="AB41" s="671">
        <f t="shared" si="12"/>
        <v>5523.21</v>
      </c>
      <c r="AC41" s="671">
        <f t="shared" si="13"/>
        <v>21268.82</v>
      </c>
      <c r="AD41" s="689">
        <f t="shared" si="14"/>
        <v>5174.8900000000003</v>
      </c>
      <c r="AE41" s="691">
        <f t="shared" si="36"/>
        <v>1.04</v>
      </c>
      <c r="AF41" s="671">
        <f t="shared" si="15"/>
        <v>15524.68</v>
      </c>
      <c r="AG41" s="692">
        <f t="shared" si="16"/>
        <v>5744.14</v>
      </c>
      <c r="AH41" s="671">
        <f t="shared" si="17"/>
        <v>21609.119999999999</v>
      </c>
      <c r="AI41" s="691">
        <f t="shared" si="18"/>
        <v>5257.69</v>
      </c>
      <c r="AJ41" s="691">
        <f t="shared" si="37"/>
        <v>1.016</v>
      </c>
      <c r="AK41" s="671">
        <f t="shared" si="19"/>
        <v>15773.07</v>
      </c>
      <c r="AL41" s="671">
        <f t="shared" si="20"/>
        <v>5836.05</v>
      </c>
      <c r="AM41" s="704">
        <v>0.04</v>
      </c>
      <c r="AN41" s="705">
        <f t="shared" si="41"/>
        <v>0.04</v>
      </c>
      <c r="AO41" s="691">
        <f t="shared" si="21"/>
        <v>818.03</v>
      </c>
      <c r="AP41" s="691">
        <f t="shared" si="22"/>
        <v>818.03</v>
      </c>
      <c r="AQ41" s="691">
        <f t="shared" si="23"/>
        <v>850.75</v>
      </c>
      <c r="AR41" s="691">
        <f t="shared" si="24"/>
        <v>864.36</v>
      </c>
      <c r="AS41" s="671">
        <f t="shared" si="25"/>
        <v>19632.760000000002</v>
      </c>
      <c r="AT41" s="671">
        <f t="shared" si="26"/>
        <v>19632.760000000002</v>
      </c>
      <c r="AU41" s="671">
        <f t="shared" si="27"/>
        <v>20418.07</v>
      </c>
      <c r="AV41" s="671">
        <f t="shared" si="28"/>
        <v>20744.759999999998</v>
      </c>
      <c r="AW41" s="695">
        <f t="shared" si="38"/>
        <v>4388</v>
      </c>
      <c r="AX41" s="696">
        <f t="shared" si="29"/>
        <v>4388</v>
      </c>
      <c r="AY41" s="696">
        <f t="shared" si="30"/>
        <v>4563.5200000000004</v>
      </c>
      <c r="AZ41" s="697">
        <f t="shared" si="31"/>
        <v>4636.54</v>
      </c>
      <c r="BA41" s="832"/>
      <c r="BB41" s="663">
        <f t="shared" si="43"/>
        <v>62511.740000000005</v>
      </c>
      <c r="BC41" s="694">
        <f t="shared" si="33"/>
        <v>61152.91</v>
      </c>
      <c r="BD41" s="694">
        <f t="shared" si="34"/>
        <v>22626.61</v>
      </c>
      <c r="BE41" s="663">
        <f t="shared" si="42"/>
        <v>5209.3116666666674</v>
      </c>
      <c r="BF41" s="706"/>
      <c r="BG41" s="699">
        <v>8.4099999999999994E-2</v>
      </c>
      <c r="BH41" s="700">
        <v>0.22</v>
      </c>
    </row>
    <row r="42" spans="1:60" s="388" customFormat="1" ht="21" hidden="1" customHeight="1">
      <c r="A42" s="655" t="s">
        <v>566</v>
      </c>
      <c r="B42" s="655" t="s">
        <v>754</v>
      </c>
      <c r="C42" s="655" t="s">
        <v>755</v>
      </c>
      <c r="D42" s="702">
        <v>8322</v>
      </c>
      <c r="E42" s="702">
        <v>3</v>
      </c>
      <c r="F42" s="702" t="s">
        <v>776</v>
      </c>
      <c r="G42" s="702">
        <v>3</v>
      </c>
      <c r="H42" s="702">
        <v>3</v>
      </c>
      <c r="I42" s="702"/>
      <c r="J42" s="703">
        <v>35.619999999999997</v>
      </c>
      <c r="K42" s="703">
        <v>5916.35</v>
      </c>
      <c r="L42" s="687">
        <f t="shared" si="2"/>
        <v>5915.89</v>
      </c>
      <c r="M42" s="702">
        <v>42</v>
      </c>
      <c r="N42" s="688">
        <f t="shared" si="39"/>
        <v>2484.67</v>
      </c>
      <c r="O42" s="702">
        <v>25</v>
      </c>
      <c r="P42" s="687">
        <f t="shared" si="35"/>
        <v>1478.97</v>
      </c>
      <c r="Q42" s="689">
        <f t="shared" si="3"/>
        <v>9879.5300000000007</v>
      </c>
      <c r="R42" s="686">
        <f t="shared" si="4"/>
        <v>29638.59</v>
      </c>
      <c r="S42" s="655">
        <f t="shared" si="5"/>
        <v>4436.91</v>
      </c>
      <c r="T42" s="655"/>
      <c r="U42" s="671">
        <f t="shared" si="6"/>
        <v>88915.77</v>
      </c>
      <c r="V42" s="671">
        <f t="shared" si="7"/>
        <v>53243.01</v>
      </c>
      <c r="W42" s="671">
        <f t="shared" si="8"/>
        <v>35672.76</v>
      </c>
      <c r="X42" s="671">
        <f t="shared" si="9"/>
        <v>88915.77</v>
      </c>
      <c r="Y42" s="691">
        <f t="shared" si="10"/>
        <v>5915.89</v>
      </c>
      <c r="Z42" s="691">
        <v>1</v>
      </c>
      <c r="AA42" s="671">
        <f t="shared" si="11"/>
        <v>53243.01</v>
      </c>
      <c r="AB42" s="671">
        <f t="shared" si="12"/>
        <v>35672.76</v>
      </c>
      <c r="AC42" s="671">
        <f t="shared" si="13"/>
        <v>92472.4</v>
      </c>
      <c r="AD42" s="689">
        <f t="shared" si="14"/>
        <v>6152.53</v>
      </c>
      <c r="AE42" s="691">
        <f t="shared" si="36"/>
        <v>1.04</v>
      </c>
      <c r="AF42" s="671">
        <f t="shared" si="15"/>
        <v>55372.73</v>
      </c>
      <c r="AG42" s="692">
        <f t="shared" si="16"/>
        <v>37099.67</v>
      </c>
      <c r="AH42" s="671">
        <f t="shared" si="17"/>
        <v>93951.95</v>
      </c>
      <c r="AI42" s="691">
        <f t="shared" si="18"/>
        <v>6250.97</v>
      </c>
      <c r="AJ42" s="691">
        <f t="shared" si="37"/>
        <v>1.016</v>
      </c>
      <c r="AK42" s="671">
        <f t="shared" si="19"/>
        <v>56258.69</v>
      </c>
      <c r="AL42" s="671">
        <f t="shared" si="20"/>
        <v>37693.26</v>
      </c>
      <c r="AM42" s="704">
        <v>0.04</v>
      </c>
      <c r="AN42" s="705">
        <f t="shared" si="41"/>
        <v>0.12</v>
      </c>
      <c r="AO42" s="691">
        <f t="shared" si="21"/>
        <v>3556.63</v>
      </c>
      <c r="AP42" s="691">
        <f t="shared" si="22"/>
        <v>3556.63</v>
      </c>
      <c r="AQ42" s="691">
        <f t="shared" si="23"/>
        <v>3698.9</v>
      </c>
      <c r="AR42" s="691">
        <f t="shared" si="24"/>
        <v>3758.08</v>
      </c>
      <c r="AS42" s="671">
        <f t="shared" si="25"/>
        <v>85359.14</v>
      </c>
      <c r="AT42" s="671">
        <f t="shared" si="26"/>
        <v>85359.14</v>
      </c>
      <c r="AU42" s="671">
        <f t="shared" si="27"/>
        <v>88773.5</v>
      </c>
      <c r="AV42" s="671">
        <f t="shared" si="28"/>
        <v>90193.87</v>
      </c>
      <c r="AW42" s="695">
        <f t="shared" si="38"/>
        <v>19078.12</v>
      </c>
      <c r="AX42" s="696">
        <f t="shared" si="29"/>
        <v>19078.12</v>
      </c>
      <c r="AY42" s="696">
        <f t="shared" si="30"/>
        <v>19841.25</v>
      </c>
      <c r="AZ42" s="697">
        <f t="shared" si="31"/>
        <v>20158.71</v>
      </c>
      <c r="BA42" s="832"/>
      <c r="BB42" s="663">
        <f t="shared" si="43"/>
        <v>271784.53000000003</v>
      </c>
      <c r="BC42" s="694">
        <f t="shared" si="33"/>
        <v>218117.44</v>
      </c>
      <c r="BD42" s="694">
        <f t="shared" si="34"/>
        <v>146138.45000000001</v>
      </c>
      <c r="BE42" s="663">
        <f t="shared" si="42"/>
        <v>7549.5702777777778</v>
      </c>
      <c r="BF42" s="706"/>
      <c r="BG42" s="699">
        <v>8.4099999999999994E-2</v>
      </c>
      <c r="BH42" s="700">
        <v>0.22</v>
      </c>
    </row>
    <row r="43" spans="1:60" s="388" customFormat="1" ht="21" hidden="1" customHeight="1">
      <c r="A43" s="655" t="s">
        <v>567</v>
      </c>
      <c r="B43" s="655" t="s">
        <v>754</v>
      </c>
      <c r="C43" s="655" t="s">
        <v>755</v>
      </c>
      <c r="D43" s="702">
        <v>8322</v>
      </c>
      <c r="E43" s="702">
        <v>1</v>
      </c>
      <c r="F43" s="702" t="s">
        <v>777</v>
      </c>
      <c r="G43" s="702">
        <v>1</v>
      </c>
      <c r="H43" s="702">
        <v>3</v>
      </c>
      <c r="I43" s="702"/>
      <c r="J43" s="703">
        <v>44.94</v>
      </c>
      <c r="K43" s="703">
        <v>7463.89</v>
      </c>
      <c r="L43" s="687">
        <f t="shared" si="2"/>
        <v>7463.79</v>
      </c>
      <c r="M43" s="702">
        <v>12</v>
      </c>
      <c r="N43" s="688">
        <f t="shared" si="39"/>
        <v>895.65</v>
      </c>
      <c r="O43" s="702">
        <v>25</v>
      </c>
      <c r="P43" s="687">
        <f t="shared" si="35"/>
        <v>1865.95</v>
      </c>
      <c r="Q43" s="689">
        <f t="shared" si="3"/>
        <v>10225.39</v>
      </c>
      <c r="R43" s="686">
        <f t="shared" si="4"/>
        <v>10225.39</v>
      </c>
      <c r="S43" s="655">
        <f t="shared" si="5"/>
        <v>1865.95</v>
      </c>
      <c r="T43" s="655"/>
      <c r="U43" s="671">
        <f t="shared" si="6"/>
        <v>30676.17</v>
      </c>
      <c r="V43" s="671">
        <f t="shared" si="7"/>
        <v>22391.37</v>
      </c>
      <c r="W43" s="671">
        <f t="shared" si="8"/>
        <v>8284.7999999999993</v>
      </c>
      <c r="X43" s="671">
        <f t="shared" si="9"/>
        <v>30676.17</v>
      </c>
      <c r="Y43" s="691">
        <f t="shared" si="10"/>
        <v>7463.79</v>
      </c>
      <c r="Z43" s="691">
        <v>1</v>
      </c>
      <c r="AA43" s="671">
        <f t="shared" si="11"/>
        <v>22391.37</v>
      </c>
      <c r="AB43" s="671">
        <f t="shared" si="12"/>
        <v>8284.7999999999993</v>
      </c>
      <c r="AC43" s="671">
        <f t="shared" si="13"/>
        <v>31903.21</v>
      </c>
      <c r="AD43" s="689">
        <f t="shared" si="14"/>
        <v>7762.34</v>
      </c>
      <c r="AE43" s="691">
        <f t="shared" si="36"/>
        <v>1.04</v>
      </c>
      <c r="AF43" s="671">
        <f t="shared" si="15"/>
        <v>23287.02</v>
      </c>
      <c r="AG43" s="692">
        <f t="shared" si="16"/>
        <v>8616.19</v>
      </c>
      <c r="AH43" s="671">
        <f t="shared" si="17"/>
        <v>32413.66</v>
      </c>
      <c r="AI43" s="691">
        <f t="shared" si="18"/>
        <v>7886.54</v>
      </c>
      <c r="AJ43" s="691">
        <f t="shared" si="37"/>
        <v>1.016</v>
      </c>
      <c r="AK43" s="671">
        <f t="shared" si="19"/>
        <v>23659.61</v>
      </c>
      <c r="AL43" s="671">
        <f t="shared" si="20"/>
        <v>8754.0499999999993</v>
      </c>
      <c r="AM43" s="704">
        <v>0.04</v>
      </c>
      <c r="AN43" s="705">
        <f t="shared" si="41"/>
        <v>0.04</v>
      </c>
      <c r="AO43" s="691">
        <f t="shared" si="21"/>
        <v>1227.05</v>
      </c>
      <c r="AP43" s="691">
        <f t="shared" si="22"/>
        <v>1227.05</v>
      </c>
      <c r="AQ43" s="691">
        <f t="shared" si="23"/>
        <v>1276.1300000000001</v>
      </c>
      <c r="AR43" s="691">
        <f t="shared" si="24"/>
        <v>1296.55</v>
      </c>
      <c r="AS43" s="671">
        <f t="shared" si="25"/>
        <v>29449.119999999999</v>
      </c>
      <c r="AT43" s="671">
        <f t="shared" si="26"/>
        <v>29449.119999999999</v>
      </c>
      <c r="AU43" s="671">
        <f t="shared" si="27"/>
        <v>30627.079999999998</v>
      </c>
      <c r="AV43" s="671">
        <f t="shared" si="28"/>
        <v>31117.11</v>
      </c>
      <c r="AW43" s="695">
        <f t="shared" si="38"/>
        <v>6582</v>
      </c>
      <c r="AX43" s="696">
        <f t="shared" si="29"/>
        <v>6582</v>
      </c>
      <c r="AY43" s="696">
        <f t="shared" si="30"/>
        <v>6845.28</v>
      </c>
      <c r="AZ43" s="697">
        <f t="shared" si="31"/>
        <v>6954.8</v>
      </c>
      <c r="BA43" s="832"/>
      <c r="BB43" s="663">
        <f t="shared" si="43"/>
        <v>93767.039999999994</v>
      </c>
      <c r="BC43" s="694">
        <f t="shared" si="33"/>
        <v>91729.37</v>
      </c>
      <c r="BD43" s="694">
        <f t="shared" si="34"/>
        <v>33939.839999999997</v>
      </c>
      <c r="BE43" s="663">
        <f t="shared" si="42"/>
        <v>7813.9199999999992</v>
      </c>
      <c r="BF43" s="706"/>
      <c r="BG43" s="699">
        <v>8.4099999999999994E-2</v>
      </c>
      <c r="BH43" s="700">
        <v>0.22</v>
      </c>
    </row>
    <row r="44" spans="1:60" s="388" customFormat="1" ht="21" hidden="1" customHeight="1">
      <c r="A44" s="655" t="s">
        <v>568</v>
      </c>
      <c r="B44" s="655" t="s">
        <v>754</v>
      </c>
      <c r="C44" s="655" t="s">
        <v>755</v>
      </c>
      <c r="D44" s="702">
        <v>8322</v>
      </c>
      <c r="E44" s="702">
        <v>1</v>
      </c>
      <c r="F44" s="702" t="s">
        <v>759</v>
      </c>
      <c r="G44" s="702">
        <v>1</v>
      </c>
      <c r="H44" s="702">
        <v>3</v>
      </c>
      <c r="I44" s="702"/>
      <c r="J44" s="703">
        <v>39.270000000000003</v>
      </c>
      <c r="K44" s="703">
        <v>6521.16</v>
      </c>
      <c r="L44" s="687">
        <f t="shared" si="2"/>
        <v>6522.09</v>
      </c>
      <c r="M44" s="702">
        <v>12</v>
      </c>
      <c r="N44" s="688">
        <f t="shared" si="39"/>
        <v>782.65</v>
      </c>
      <c r="O44" s="702">
        <v>25</v>
      </c>
      <c r="P44" s="687">
        <f t="shared" si="35"/>
        <v>1630.52</v>
      </c>
      <c r="Q44" s="689">
        <f t="shared" si="3"/>
        <v>8935.26</v>
      </c>
      <c r="R44" s="686">
        <f t="shared" si="4"/>
        <v>8935.26</v>
      </c>
      <c r="S44" s="655">
        <f t="shared" si="5"/>
        <v>1630.52</v>
      </c>
      <c r="T44" s="655"/>
      <c r="U44" s="671">
        <f t="shared" si="6"/>
        <v>26805.78</v>
      </c>
      <c r="V44" s="671">
        <f t="shared" si="7"/>
        <v>19566.27</v>
      </c>
      <c r="W44" s="671">
        <f t="shared" si="8"/>
        <v>7239.51</v>
      </c>
      <c r="X44" s="671">
        <f t="shared" si="9"/>
        <v>26805.78</v>
      </c>
      <c r="Y44" s="691">
        <f t="shared" si="10"/>
        <v>6522.09</v>
      </c>
      <c r="Z44" s="691">
        <v>1</v>
      </c>
      <c r="AA44" s="671">
        <f t="shared" si="11"/>
        <v>19566.27</v>
      </c>
      <c r="AB44" s="671">
        <f t="shared" si="12"/>
        <v>7239.51</v>
      </c>
      <c r="AC44" s="671">
        <f t="shared" si="13"/>
        <v>27878.01</v>
      </c>
      <c r="AD44" s="689">
        <f t="shared" si="14"/>
        <v>6782.97</v>
      </c>
      <c r="AE44" s="691">
        <f t="shared" si="36"/>
        <v>1.04</v>
      </c>
      <c r="AF44" s="671">
        <f t="shared" si="15"/>
        <v>20348.919999999998</v>
      </c>
      <c r="AG44" s="692">
        <f t="shared" si="16"/>
        <v>7529.09</v>
      </c>
      <c r="AH44" s="671">
        <f t="shared" si="17"/>
        <v>28324.06</v>
      </c>
      <c r="AI44" s="691">
        <f t="shared" si="18"/>
        <v>6891.5</v>
      </c>
      <c r="AJ44" s="691">
        <f t="shared" si="37"/>
        <v>1.016</v>
      </c>
      <c r="AK44" s="671">
        <f t="shared" si="19"/>
        <v>20674.5</v>
      </c>
      <c r="AL44" s="671">
        <f t="shared" si="20"/>
        <v>7649.56</v>
      </c>
      <c r="AM44" s="704">
        <v>0.04</v>
      </c>
      <c r="AN44" s="705">
        <f t="shared" si="41"/>
        <v>0.04</v>
      </c>
      <c r="AO44" s="691">
        <f t="shared" si="21"/>
        <v>1072.23</v>
      </c>
      <c r="AP44" s="691">
        <f t="shared" si="22"/>
        <v>1072.23</v>
      </c>
      <c r="AQ44" s="691">
        <f t="shared" si="23"/>
        <v>1115.1199999999999</v>
      </c>
      <c r="AR44" s="691">
        <f t="shared" si="24"/>
        <v>1132.96</v>
      </c>
      <c r="AS44" s="671">
        <f t="shared" si="25"/>
        <v>25733.55</v>
      </c>
      <c r="AT44" s="671">
        <f t="shared" si="26"/>
        <v>25733.55</v>
      </c>
      <c r="AU44" s="671">
        <f t="shared" si="27"/>
        <v>26762.89</v>
      </c>
      <c r="AV44" s="671">
        <f t="shared" si="28"/>
        <v>27191.100000000002</v>
      </c>
      <c r="AW44" s="695">
        <f t="shared" si="38"/>
        <v>5751.56</v>
      </c>
      <c r="AX44" s="696">
        <f t="shared" si="29"/>
        <v>5751.56</v>
      </c>
      <c r="AY44" s="696">
        <f t="shared" si="30"/>
        <v>5981.62</v>
      </c>
      <c r="AZ44" s="697">
        <f t="shared" si="31"/>
        <v>6077.32</v>
      </c>
      <c r="BA44" s="832"/>
      <c r="BB44" s="663">
        <f t="shared" si="43"/>
        <v>81936.66</v>
      </c>
      <c r="BC44" s="694">
        <f t="shared" si="33"/>
        <v>80155.960000000006</v>
      </c>
      <c r="BD44" s="694">
        <f t="shared" si="34"/>
        <v>29657.67</v>
      </c>
      <c r="BE44" s="663">
        <f t="shared" si="42"/>
        <v>6828.0550000000003</v>
      </c>
      <c r="BF44" s="706"/>
      <c r="BG44" s="699">
        <v>8.4099999999999994E-2</v>
      </c>
      <c r="BH44" s="700">
        <v>0.22</v>
      </c>
    </row>
    <row r="45" spans="1:60" s="388" customFormat="1" ht="21" hidden="1" customHeight="1">
      <c r="A45" s="655" t="s">
        <v>569</v>
      </c>
      <c r="B45" s="655" t="s">
        <v>754</v>
      </c>
      <c r="C45" s="655" t="s">
        <v>755</v>
      </c>
      <c r="D45" s="702">
        <v>8322</v>
      </c>
      <c r="E45" s="702">
        <v>1</v>
      </c>
      <c r="F45" s="702" t="s">
        <v>778</v>
      </c>
      <c r="G45" s="702">
        <v>1</v>
      </c>
      <c r="H45" s="702">
        <v>3</v>
      </c>
      <c r="I45" s="702"/>
      <c r="J45" s="703">
        <v>35.619999999999997</v>
      </c>
      <c r="K45" s="703">
        <v>5916.35</v>
      </c>
      <c r="L45" s="687">
        <f t="shared" si="2"/>
        <v>5915.89</v>
      </c>
      <c r="M45" s="702">
        <v>12</v>
      </c>
      <c r="N45" s="688">
        <f t="shared" si="39"/>
        <v>709.91</v>
      </c>
      <c r="O45" s="702">
        <v>25</v>
      </c>
      <c r="P45" s="687">
        <f t="shared" si="35"/>
        <v>1478.97</v>
      </c>
      <c r="Q45" s="689">
        <f t="shared" si="3"/>
        <v>8104.77</v>
      </c>
      <c r="R45" s="686">
        <f t="shared" si="4"/>
        <v>8104.77</v>
      </c>
      <c r="S45" s="655">
        <f t="shared" si="5"/>
        <v>1478.97</v>
      </c>
      <c r="T45" s="655"/>
      <c r="U45" s="671">
        <f t="shared" si="6"/>
        <v>24314.31</v>
      </c>
      <c r="V45" s="671">
        <f t="shared" si="7"/>
        <v>17747.669999999998</v>
      </c>
      <c r="W45" s="671">
        <f t="shared" si="8"/>
        <v>6566.64</v>
      </c>
      <c r="X45" s="671">
        <f t="shared" si="9"/>
        <v>24314.309999999998</v>
      </c>
      <c r="Y45" s="691">
        <f t="shared" si="10"/>
        <v>5915.89</v>
      </c>
      <c r="Z45" s="691">
        <v>1</v>
      </c>
      <c r="AA45" s="671">
        <f t="shared" si="11"/>
        <v>17747.669999999998</v>
      </c>
      <c r="AB45" s="671">
        <f t="shared" si="12"/>
        <v>6566.64</v>
      </c>
      <c r="AC45" s="671">
        <f t="shared" si="13"/>
        <v>25286.89</v>
      </c>
      <c r="AD45" s="689">
        <f t="shared" si="14"/>
        <v>6152.53</v>
      </c>
      <c r="AE45" s="691">
        <f t="shared" si="36"/>
        <v>1.04</v>
      </c>
      <c r="AF45" s="671">
        <f t="shared" si="15"/>
        <v>18457.580000000002</v>
      </c>
      <c r="AG45" s="692">
        <f t="shared" si="16"/>
        <v>6829.31</v>
      </c>
      <c r="AH45" s="671">
        <f t="shared" si="17"/>
        <v>25691.48</v>
      </c>
      <c r="AI45" s="691">
        <f t="shared" si="18"/>
        <v>6250.97</v>
      </c>
      <c r="AJ45" s="691">
        <f t="shared" si="37"/>
        <v>1.016</v>
      </c>
      <c r="AK45" s="671">
        <f t="shared" si="19"/>
        <v>18752.900000000001</v>
      </c>
      <c r="AL45" s="671">
        <f t="shared" si="20"/>
        <v>6938.58</v>
      </c>
      <c r="AM45" s="704">
        <v>0.04</v>
      </c>
      <c r="AN45" s="705">
        <f t="shared" si="41"/>
        <v>0.04</v>
      </c>
      <c r="AO45" s="691">
        <f t="shared" si="21"/>
        <v>972.57</v>
      </c>
      <c r="AP45" s="691">
        <f t="shared" si="22"/>
        <v>972.57</v>
      </c>
      <c r="AQ45" s="691">
        <f t="shared" si="23"/>
        <v>1011.48</v>
      </c>
      <c r="AR45" s="691">
        <f t="shared" si="24"/>
        <v>1027.6600000000001</v>
      </c>
      <c r="AS45" s="671">
        <f t="shared" si="25"/>
        <v>23341.74</v>
      </c>
      <c r="AT45" s="671">
        <f t="shared" si="26"/>
        <v>23341.739999999998</v>
      </c>
      <c r="AU45" s="671">
        <f t="shared" si="27"/>
        <v>24275.41</v>
      </c>
      <c r="AV45" s="671">
        <f t="shared" si="28"/>
        <v>24663.82</v>
      </c>
      <c r="AW45" s="695">
        <f t="shared" si="38"/>
        <v>5216.9799999999996</v>
      </c>
      <c r="AX45" s="696">
        <f t="shared" si="29"/>
        <v>5216.9799999999996</v>
      </c>
      <c r="AY45" s="696">
        <f t="shared" si="30"/>
        <v>5425.66</v>
      </c>
      <c r="AZ45" s="697">
        <f t="shared" si="31"/>
        <v>5512.47</v>
      </c>
      <c r="BA45" s="832"/>
      <c r="BB45" s="663">
        <f t="shared" si="43"/>
        <v>74321.14</v>
      </c>
      <c r="BC45" s="694">
        <f t="shared" si="33"/>
        <v>72705.820000000007</v>
      </c>
      <c r="BD45" s="694">
        <f t="shared" si="34"/>
        <v>26901.17</v>
      </c>
      <c r="BE45" s="663">
        <f t="shared" si="42"/>
        <v>6193.4283333333333</v>
      </c>
      <c r="BF45" s="706"/>
      <c r="BG45" s="699">
        <v>8.4099999999999994E-2</v>
      </c>
      <c r="BH45" s="700">
        <v>0.22</v>
      </c>
    </row>
    <row r="46" spans="1:60" s="388" customFormat="1" ht="21" hidden="1" customHeight="1">
      <c r="A46" s="655" t="s">
        <v>570</v>
      </c>
      <c r="B46" s="655" t="s">
        <v>754</v>
      </c>
      <c r="C46" s="655" t="s">
        <v>755</v>
      </c>
      <c r="D46" s="702">
        <v>8322</v>
      </c>
      <c r="E46" s="702">
        <v>5</v>
      </c>
      <c r="F46" s="702" t="s">
        <v>779</v>
      </c>
      <c r="G46" s="702">
        <v>5</v>
      </c>
      <c r="H46" s="702">
        <v>3</v>
      </c>
      <c r="I46" s="702"/>
      <c r="J46" s="703">
        <v>36.64</v>
      </c>
      <c r="K46" s="703">
        <v>6084.45</v>
      </c>
      <c r="L46" s="687">
        <f t="shared" si="2"/>
        <v>6085.29</v>
      </c>
      <c r="M46" s="702">
        <v>15</v>
      </c>
      <c r="N46" s="688">
        <f t="shared" si="39"/>
        <v>912.79</v>
      </c>
      <c r="O46" s="702">
        <v>25</v>
      </c>
      <c r="P46" s="687">
        <f t="shared" si="35"/>
        <v>1521.32</v>
      </c>
      <c r="Q46" s="689">
        <f t="shared" si="3"/>
        <v>8519.4</v>
      </c>
      <c r="R46" s="686">
        <f t="shared" si="4"/>
        <v>42597</v>
      </c>
      <c r="S46" s="655">
        <f t="shared" si="5"/>
        <v>7606.5999999999995</v>
      </c>
      <c r="T46" s="655"/>
      <c r="U46" s="671">
        <f t="shared" si="6"/>
        <v>127791</v>
      </c>
      <c r="V46" s="671">
        <f t="shared" si="7"/>
        <v>91279.35</v>
      </c>
      <c r="W46" s="671">
        <f t="shared" si="8"/>
        <v>36511.65</v>
      </c>
      <c r="X46" s="671">
        <f t="shared" si="9"/>
        <v>127791</v>
      </c>
      <c r="Y46" s="691">
        <f t="shared" si="10"/>
        <v>6085.29</v>
      </c>
      <c r="Z46" s="691">
        <v>1</v>
      </c>
      <c r="AA46" s="671">
        <f t="shared" si="11"/>
        <v>91279.35</v>
      </c>
      <c r="AB46" s="671">
        <f t="shared" si="12"/>
        <v>36511.65</v>
      </c>
      <c r="AC46" s="671">
        <f t="shared" si="13"/>
        <v>132902.64000000001</v>
      </c>
      <c r="AD46" s="689">
        <f t="shared" si="14"/>
        <v>6328.7</v>
      </c>
      <c r="AE46" s="691">
        <f t="shared" si="36"/>
        <v>1.04</v>
      </c>
      <c r="AF46" s="671">
        <f t="shared" si="15"/>
        <v>94930.52</v>
      </c>
      <c r="AG46" s="692">
        <f t="shared" si="16"/>
        <v>37972.120000000003</v>
      </c>
      <c r="AH46" s="671">
        <f t="shared" si="17"/>
        <v>135029.07999999999</v>
      </c>
      <c r="AI46" s="691">
        <f t="shared" si="18"/>
        <v>6429.96</v>
      </c>
      <c r="AJ46" s="691">
        <f t="shared" si="37"/>
        <v>1.016</v>
      </c>
      <c r="AK46" s="671">
        <f t="shared" si="19"/>
        <v>96449.41</v>
      </c>
      <c r="AL46" s="671">
        <f t="shared" si="20"/>
        <v>38579.67</v>
      </c>
      <c r="AM46" s="704">
        <v>0.04</v>
      </c>
      <c r="AN46" s="705">
        <f t="shared" si="41"/>
        <v>0.2</v>
      </c>
      <c r="AO46" s="691">
        <f t="shared" si="21"/>
        <v>5111.6400000000003</v>
      </c>
      <c r="AP46" s="691">
        <f t="shared" si="22"/>
        <v>5111.6400000000003</v>
      </c>
      <c r="AQ46" s="691">
        <f t="shared" si="23"/>
        <v>5316.11</v>
      </c>
      <c r="AR46" s="691">
        <f t="shared" si="24"/>
        <v>5401.16</v>
      </c>
      <c r="AS46" s="671">
        <f t="shared" si="25"/>
        <v>122679.36</v>
      </c>
      <c r="AT46" s="671">
        <f t="shared" si="26"/>
        <v>122679.36</v>
      </c>
      <c r="AU46" s="671">
        <f t="shared" si="27"/>
        <v>127586.53000000001</v>
      </c>
      <c r="AV46" s="671">
        <f t="shared" si="28"/>
        <v>129627.91999999998</v>
      </c>
      <c r="AW46" s="695">
        <f t="shared" si="38"/>
        <v>27419.35</v>
      </c>
      <c r="AX46" s="696">
        <f t="shared" si="29"/>
        <v>27419.35</v>
      </c>
      <c r="AY46" s="696">
        <f t="shared" si="30"/>
        <v>28516.12</v>
      </c>
      <c r="AZ46" s="697">
        <f t="shared" si="31"/>
        <v>28972.38</v>
      </c>
      <c r="BA46" s="832"/>
      <c r="BB46" s="663">
        <f t="shared" si="43"/>
        <v>390612.12</v>
      </c>
      <c r="BC46" s="694">
        <f t="shared" si="33"/>
        <v>373938.63</v>
      </c>
      <c r="BD46" s="694">
        <f t="shared" si="34"/>
        <v>149575.09</v>
      </c>
      <c r="BE46" s="663">
        <f t="shared" si="42"/>
        <v>6510.2019999999993</v>
      </c>
      <c r="BF46" s="706"/>
      <c r="BG46" s="699">
        <v>8.4099999999999994E-2</v>
      </c>
      <c r="BH46" s="700">
        <v>0.22</v>
      </c>
    </row>
    <row r="47" spans="1:60" s="393" customFormat="1" ht="21" hidden="1" customHeight="1">
      <c r="A47" s="655" t="s">
        <v>780</v>
      </c>
      <c r="B47" s="655" t="s">
        <v>754</v>
      </c>
      <c r="C47" s="655" t="s">
        <v>755</v>
      </c>
      <c r="D47" s="702">
        <v>8322</v>
      </c>
      <c r="E47" s="702">
        <v>4</v>
      </c>
      <c r="F47" s="702" t="s">
        <v>781</v>
      </c>
      <c r="G47" s="702">
        <v>4</v>
      </c>
      <c r="H47" s="702">
        <v>3</v>
      </c>
      <c r="I47" s="702"/>
      <c r="J47" s="703">
        <v>33.19</v>
      </c>
      <c r="K47" s="703">
        <v>5512.57</v>
      </c>
      <c r="L47" s="687">
        <f t="shared" si="2"/>
        <v>5512.31</v>
      </c>
      <c r="M47" s="702">
        <v>30</v>
      </c>
      <c r="N47" s="688">
        <f t="shared" si="39"/>
        <v>1653.69</v>
      </c>
      <c r="O47" s="702">
        <v>25</v>
      </c>
      <c r="P47" s="687">
        <f t="shared" si="35"/>
        <v>1378.08</v>
      </c>
      <c r="Q47" s="689">
        <f t="shared" si="3"/>
        <v>8544.08</v>
      </c>
      <c r="R47" s="686">
        <f t="shared" si="4"/>
        <v>34176.32</v>
      </c>
      <c r="S47" s="655">
        <f t="shared" si="5"/>
        <v>5512.32</v>
      </c>
      <c r="T47" s="655"/>
      <c r="U47" s="671">
        <f t="shared" si="6"/>
        <v>102528.96000000001</v>
      </c>
      <c r="V47" s="671">
        <f t="shared" si="7"/>
        <v>66147.72</v>
      </c>
      <c r="W47" s="671">
        <f t="shared" si="8"/>
        <v>36381.24</v>
      </c>
      <c r="X47" s="671">
        <f t="shared" si="9"/>
        <v>102528.95999999999</v>
      </c>
      <c r="Y47" s="691">
        <f t="shared" si="10"/>
        <v>5512.31</v>
      </c>
      <c r="Z47" s="691">
        <v>1</v>
      </c>
      <c r="AA47" s="671">
        <f t="shared" si="11"/>
        <v>66147.72</v>
      </c>
      <c r="AB47" s="671">
        <f t="shared" si="12"/>
        <v>36381.24</v>
      </c>
      <c r="AC47" s="671">
        <f t="shared" si="13"/>
        <v>106630.12</v>
      </c>
      <c r="AD47" s="689">
        <f t="shared" si="14"/>
        <v>5732.8</v>
      </c>
      <c r="AE47" s="691">
        <f t="shared" si="36"/>
        <v>1.04</v>
      </c>
      <c r="AF47" s="671">
        <f t="shared" si="15"/>
        <v>68793.63</v>
      </c>
      <c r="AG47" s="692">
        <f t="shared" si="16"/>
        <v>37836.49</v>
      </c>
      <c r="AH47" s="671">
        <f t="shared" si="17"/>
        <v>108336.2</v>
      </c>
      <c r="AI47" s="691">
        <f t="shared" si="18"/>
        <v>5824.52</v>
      </c>
      <c r="AJ47" s="691">
        <f t="shared" si="37"/>
        <v>1.016</v>
      </c>
      <c r="AK47" s="671">
        <f t="shared" si="19"/>
        <v>69894.33</v>
      </c>
      <c r="AL47" s="671">
        <f t="shared" si="20"/>
        <v>38441.870000000003</v>
      </c>
      <c r="AM47" s="704">
        <v>0.04</v>
      </c>
      <c r="AN47" s="705">
        <f t="shared" si="41"/>
        <v>0.16</v>
      </c>
      <c r="AO47" s="691">
        <f t="shared" si="21"/>
        <v>4101.16</v>
      </c>
      <c r="AP47" s="691">
        <f t="shared" si="22"/>
        <v>4101.16</v>
      </c>
      <c r="AQ47" s="691">
        <f t="shared" si="23"/>
        <v>4265.2</v>
      </c>
      <c r="AR47" s="691">
        <f t="shared" si="24"/>
        <v>4333.45</v>
      </c>
      <c r="AS47" s="671">
        <f t="shared" si="25"/>
        <v>98427.8</v>
      </c>
      <c r="AT47" s="671">
        <f t="shared" si="26"/>
        <v>98427.799999999988</v>
      </c>
      <c r="AU47" s="671">
        <f t="shared" si="27"/>
        <v>102364.92</v>
      </c>
      <c r="AV47" s="671">
        <f t="shared" si="28"/>
        <v>104002.75</v>
      </c>
      <c r="AW47" s="695">
        <f t="shared" si="38"/>
        <v>21999.02</v>
      </c>
      <c r="AX47" s="696">
        <f t="shared" si="29"/>
        <v>21999.02</v>
      </c>
      <c r="AY47" s="696">
        <f t="shared" si="30"/>
        <v>22878.99</v>
      </c>
      <c r="AZ47" s="697">
        <f t="shared" si="31"/>
        <v>23245.05</v>
      </c>
      <c r="BA47" s="832"/>
      <c r="BB47" s="663">
        <f t="shared" si="43"/>
        <v>313395.15999999997</v>
      </c>
      <c r="BC47" s="694">
        <f t="shared" si="33"/>
        <v>270983.40000000002</v>
      </c>
      <c r="BD47" s="694">
        <f t="shared" si="34"/>
        <v>149040.84</v>
      </c>
      <c r="BE47" s="663">
        <f t="shared" si="42"/>
        <v>6529.0658333333331</v>
      </c>
      <c r="BF47" s="706"/>
      <c r="BG47" s="699">
        <v>8.4099999999999994E-2</v>
      </c>
      <c r="BH47" s="700">
        <v>0.22</v>
      </c>
    </row>
    <row r="48" spans="1:60" s="388" customFormat="1" ht="21" hidden="1" customHeight="1">
      <c r="A48" s="711" t="s">
        <v>782</v>
      </c>
      <c r="B48" s="711" t="s">
        <v>783</v>
      </c>
      <c r="C48" s="655" t="s">
        <v>755</v>
      </c>
      <c r="D48" s="707">
        <v>8322</v>
      </c>
      <c r="E48" s="707">
        <v>2</v>
      </c>
      <c r="F48" s="707" t="s">
        <v>781</v>
      </c>
      <c r="G48" s="707">
        <v>2</v>
      </c>
      <c r="H48" s="707">
        <v>2</v>
      </c>
      <c r="I48" s="707"/>
      <c r="J48" s="708">
        <v>33.19</v>
      </c>
      <c r="K48" s="712">
        <v>5512.57</v>
      </c>
      <c r="L48" s="687">
        <f t="shared" si="2"/>
        <v>5512.31</v>
      </c>
      <c r="M48" s="707">
        <v>30</v>
      </c>
      <c r="N48" s="688">
        <f t="shared" si="39"/>
        <v>1653.69</v>
      </c>
      <c r="O48" s="707">
        <v>25</v>
      </c>
      <c r="P48" s="687">
        <f t="shared" si="35"/>
        <v>1378.08</v>
      </c>
      <c r="Q48" s="689">
        <f t="shared" si="3"/>
        <v>8544.08</v>
      </c>
      <c r="R48" s="686">
        <f t="shared" si="4"/>
        <v>17088.16</v>
      </c>
      <c r="S48" s="655">
        <f t="shared" si="5"/>
        <v>2756.16</v>
      </c>
      <c r="T48" s="711"/>
      <c r="U48" s="671">
        <f t="shared" si="6"/>
        <v>51264.480000000003</v>
      </c>
      <c r="V48" s="671">
        <f t="shared" si="7"/>
        <v>33073.86</v>
      </c>
      <c r="W48" s="671">
        <f t="shared" si="8"/>
        <v>18190.62</v>
      </c>
      <c r="X48" s="671">
        <f t="shared" si="9"/>
        <v>51264.479999999996</v>
      </c>
      <c r="Y48" s="691">
        <f t="shared" si="10"/>
        <v>5512.31</v>
      </c>
      <c r="Z48" s="691">
        <v>1</v>
      </c>
      <c r="AA48" s="671">
        <f t="shared" si="11"/>
        <v>33073.86</v>
      </c>
      <c r="AB48" s="671">
        <f t="shared" si="12"/>
        <v>18190.62</v>
      </c>
      <c r="AC48" s="671">
        <f t="shared" si="13"/>
        <v>53315.05</v>
      </c>
      <c r="AD48" s="689">
        <f t="shared" si="14"/>
        <v>5732.8</v>
      </c>
      <c r="AE48" s="691">
        <f t="shared" si="36"/>
        <v>1.04</v>
      </c>
      <c r="AF48" s="671">
        <f t="shared" si="15"/>
        <v>34396.81</v>
      </c>
      <c r="AG48" s="692">
        <f t="shared" si="16"/>
        <v>18918.240000000002</v>
      </c>
      <c r="AH48" s="671">
        <f t="shared" si="17"/>
        <v>54168.09</v>
      </c>
      <c r="AI48" s="691">
        <f t="shared" si="18"/>
        <v>5824.52</v>
      </c>
      <c r="AJ48" s="691">
        <f t="shared" si="37"/>
        <v>1.016</v>
      </c>
      <c r="AK48" s="671">
        <f t="shared" si="19"/>
        <v>34947.160000000003</v>
      </c>
      <c r="AL48" s="671">
        <f t="shared" si="20"/>
        <v>19220.93</v>
      </c>
      <c r="AM48" s="704">
        <v>0.04</v>
      </c>
      <c r="AN48" s="705">
        <f t="shared" si="41"/>
        <v>0.08</v>
      </c>
      <c r="AO48" s="691">
        <f t="shared" si="21"/>
        <v>2050.58</v>
      </c>
      <c r="AP48" s="691">
        <f t="shared" si="22"/>
        <v>2050.58</v>
      </c>
      <c r="AQ48" s="691">
        <f t="shared" si="23"/>
        <v>2132.6</v>
      </c>
      <c r="AR48" s="691">
        <f t="shared" si="24"/>
        <v>2166.7199999999998</v>
      </c>
      <c r="AS48" s="671">
        <f t="shared" si="25"/>
        <v>49213.9</v>
      </c>
      <c r="AT48" s="671">
        <f t="shared" si="26"/>
        <v>49213.899999999994</v>
      </c>
      <c r="AU48" s="671">
        <f t="shared" si="27"/>
        <v>51182.450000000004</v>
      </c>
      <c r="AV48" s="671">
        <f t="shared" si="28"/>
        <v>52001.369999999995</v>
      </c>
      <c r="AW48" s="695">
        <f t="shared" si="38"/>
        <v>10999.51</v>
      </c>
      <c r="AX48" s="696">
        <f t="shared" si="29"/>
        <v>10999.51</v>
      </c>
      <c r="AY48" s="696">
        <f t="shared" si="30"/>
        <v>11439.49</v>
      </c>
      <c r="AZ48" s="697">
        <f t="shared" si="31"/>
        <v>11622.52</v>
      </c>
      <c r="BA48" s="832"/>
      <c r="BB48" s="663">
        <f t="shared" si="43"/>
        <v>156698.08999999997</v>
      </c>
      <c r="BC48" s="694">
        <f t="shared" si="33"/>
        <v>135491.69</v>
      </c>
      <c r="BD48" s="694">
        <f t="shared" si="34"/>
        <v>74520.41</v>
      </c>
      <c r="BE48" s="663">
        <f t="shared" si="42"/>
        <v>6529.087083333332</v>
      </c>
      <c r="BF48" s="706"/>
      <c r="BG48" s="699">
        <v>8.4099999999999994E-2</v>
      </c>
      <c r="BH48" s="700">
        <v>0.22</v>
      </c>
    </row>
    <row r="49" spans="1:60" s="388" customFormat="1" ht="21" customHeight="1">
      <c r="A49" s="711" t="s">
        <v>782</v>
      </c>
      <c r="B49" s="711" t="s">
        <v>784</v>
      </c>
      <c r="C49" s="655" t="s">
        <v>755</v>
      </c>
      <c r="D49" s="707">
        <v>8322</v>
      </c>
      <c r="E49" s="707">
        <v>1</v>
      </c>
      <c r="F49" s="707" t="s">
        <v>781</v>
      </c>
      <c r="G49" s="707">
        <v>1</v>
      </c>
      <c r="H49" s="707">
        <v>1</v>
      </c>
      <c r="I49" s="707">
        <f>G49</f>
        <v>1</v>
      </c>
      <c r="J49" s="708">
        <v>33.19</v>
      </c>
      <c r="K49" s="708">
        <v>5512.57</v>
      </c>
      <c r="L49" s="687">
        <f t="shared" si="2"/>
        <v>5512.31</v>
      </c>
      <c r="M49" s="707">
        <v>30</v>
      </c>
      <c r="N49" s="688">
        <f t="shared" si="39"/>
        <v>1653.69</v>
      </c>
      <c r="O49" s="707">
        <v>25</v>
      </c>
      <c r="P49" s="687">
        <f t="shared" si="35"/>
        <v>1378.08</v>
      </c>
      <c r="Q49" s="689">
        <f t="shared" si="3"/>
        <v>8544.08</v>
      </c>
      <c r="R49" s="686">
        <f t="shared" si="4"/>
        <v>8544.08</v>
      </c>
      <c r="S49" s="655">
        <f t="shared" si="5"/>
        <v>1378.08</v>
      </c>
      <c r="T49" s="711"/>
      <c r="U49" s="671">
        <f t="shared" si="6"/>
        <v>25632.240000000002</v>
      </c>
      <c r="V49" s="671">
        <f t="shared" si="7"/>
        <v>16536.93</v>
      </c>
      <c r="W49" s="671">
        <f t="shared" si="8"/>
        <v>9095.31</v>
      </c>
      <c r="X49" s="671">
        <f t="shared" si="9"/>
        <v>25632.239999999998</v>
      </c>
      <c r="Y49" s="691">
        <f t="shared" si="10"/>
        <v>5512.31</v>
      </c>
      <c r="Z49" s="691">
        <v>1</v>
      </c>
      <c r="AA49" s="671">
        <f t="shared" si="11"/>
        <v>16536.93</v>
      </c>
      <c r="AB49" s="671">
        <f t="shared" si="12"/>
        <v>9095.31</v>
      </c>
      <c r="AC49" s="671">
        <f t="shared" si="13"/>
        <v>26657.53</v>
      </c>
      <c r="AD49" s="689">
        <f t="shared" si="14"/>
        <v>5732.8</v>
      </c>
      <c r="AE49" s="691">
        <f t="shared" si="36"/>
        <v>1.04</v>
      </c>
      <c r="AF49" s="671">
        <f t="shared" si="15"/>
        <v>17198.41</v>
      </c>
      <c r="AG49" s="692">
        <f t="shared" si="16"/>
        <v>9459.1200000000008</v>
      </c>
      <c r="AH49" s="671">
        <f t="shared" si="17"/>
        <v>27084.05</v>
      </c>
      <c r="AI49" s="691">
        <f t="shared" si="18"/>
        <v>5824.52</v>
      </c>
      <c r="AJ49" s="691">
        <f t="shared" si="37"/>
        <v>1.016</v>
      </c>
      <c r="AK49" s="671">
        <f t="shared" si="19"/>
        <v>17473.580000000002</v>
      </c>
      <c r="AL49" s="671">
        <f t="shared" si="20"/>
        <v>9610.4699999999993</v>
      </c>
      <c r="AM49" s="704">
        <v>0.04</v>
      </c>
      <c r="AN49" s="705">
        <f t="shared" si="41"/>
        <v>0.04</v>
      </c>
      <c r="AO49" s="691">
        <f t="shared" si="21"/>
        <v>1025.29</v>
      </c>
      <c r="AP49" s="691">
        <f t="shared" si="22"/>
        <v>1025.29</v>
      </c>
      <c r="AQ49" s="691">
        <f t="shared" si="23"/>
        <v>1066.3</v>
      </c>
      <c r="AR49" s="691">
        <f t="shared" si="24"/>
        <v>1083.3599999999999</v>
      </c>
      <c r="AS49" s="671">
        <f t="shared" si="25"/>
        <v>24606.95</v>
      </c>
      <c r="AT49" s="671">
        <f t="shared" si="26"/>
        <v>24606.949999999997</v>
      </c>
      <c r="AU49" s="671">
        <f t="shared" si="27"/>
        <v>25591.23</v>
      </c>
      <c r="AV49" s="671">
        <f t="shared" si="28"/>
        <v>26000.69</v>
      </c>
      <c r="AW49" s="695">
        <f t="shared" si="38"/>
        <v>5499.76</v>
      </c>
      <c r="AX49" s="696">
        <f t="shared" si="29"/>
        <v>5499.76</v>
      </c>
      <c r="AY49" s="696">
        <f t="shared" si="30"/>
        <v>5719.75</v>
      </c>
      <c r="AZ49" s="697">
        <f t="shared" si="31"/>
        <v>5811.26</v>
      </c>
      <c r="BA49" s="832"/>
      <c r="BB49" s="663">
        <f t="shared" si="43"/>
        <v>78349.569999999992</v>
      </c>
      <c r="BC49" s="694">
        <f t="shared" si="33"/>
        <v>67745.850000000006</v>
      </c>
      <c r="BD49" s="694">
        <f t="shared" si="34"/>
        <v>37260.21</v>
      </c>
      <c r="BE49" s="663">
        <f t="shared" si="42"/>
        <v>6529.1308333333327</v>
      </c>
      <c r="BF49" s="706"/>
      <c r="BG49" s="699">
        <v>8.4099999999999994E-2</v>
      </c>
      <c r="BH49" s="700">
        <v>0.22</v>
      </c>
    </row>
    <row r="50" spans="1:60" s="392" customFormat="1" ht="21" customHeight="1">
      <c r="A50" s="713" t="s">
        <v>785</v>
      </c>
      <c r="B50" s="714" t="s">
        <v>783</v>
      </c>
      <c r="C50" s="713" t="s">
        <v>755</v>
      </c>
      <c r="D50" s="715">
        <v>8322</v>
      </c>
      <c r="E50" s="715">
        <v>1</v>
      </c>
      <c r="F50" s="715">
        <v>1.968</v>
      </c>
      <c r="G50" s="715">
        <v>1</v>
      </c>
      <c r="H50" s="715">
        <v>3</v>
      </c>
      <c r="I50" s="715">
        <v>1</v>
      </c>
      <c r="J50" s="716">
        <v>34.409999999999997</v>
      </c>
      <c r="K50" s="717">
        <v>5715.33</v>
      </c>
      <c r="L50" s="687">
        <f t="shared" si="2"/>
        <v>5714.93</v>
      </c>
      <c r="M50" s="715">
        <v>25</v>
      </c>
      <c r="N50" s="688">
        <f t="shared" si="39"/>
        <v>1428.73</v>
      </c>
      <c r="O50" s="715">
        <v>25</v>
      </c>
      <c r="P50" s="687">
        <f t="shared" si="35"/>
        <v>1428.73</v>
      </c>
      <c r="Q50" s="689">
        <f t="shared" si="3"/>
        <v>8572.39</v>
      </c>
      <c r="R50" s="686">
        <f t="shared" si="4"/>
        <v>8572.39</v>
      </c>
      <c r="S50" s="713">
        <f t="shared" si="5"/>
        <v>1428.73</v>
      </c>
      <c r="T50" s="713"/>
      <c r="U50" s="671">
        <f t="shared" si="6"/>
        <v>25717.17</v>
      </c>
      <c r="V50" s="671">
        <f t="shared" si="7"/>
        <v>17144.79</v>
      </c>
      <c r="W50" s="671">
        <f t="shared" si="8"/>
        <v>8572.3799999999992</v>
      </c>
      <c r="X50" s="671">
        <f t="shared" si="9"/>
        <v>25717.17</v>
      </c>
      <c r="Y50" s="691">
        <f t="shared" si="10"/>
        <v>5714.93</v>
      </c>
      <c r="Z50" s="691">
        <v>1</v>
      </c>
      <c r="AA50" s="671">
        <f t="shared" si="11"/>
        <v>17144.79</v>
      </c>
      <c r="AB50" s="671">
        <f t="shared" si="12"/>
        <v>8572.3799999999992</v>
      </c>
      <c r="AC50" s="671">
        <f t="shared" si="13"/>
        <v>26745.86</v>
      </c>
      <c r="AD50" s="689">
        <f t="shared" si="14"/>
        <v>5943.53</v>
      </c>
      <c r="AE50" s="691">
        <f t="shared" si="36"/>
        <v>1.04</v>
      </c>
      <c r="AF50" s="671">
        <f t="shared" si="15"/>
        <v>17830.580000000002</v>
      </c>
      <c r="AG50" s="692">
        <f t="shared" si="16"/>
        <v>8915.2800000000007</v>
      </c>
      <c r="AH50" s="671">
        <f t="shared" si="17"/>
        <v>27173.79</v>
      </c>
      <c r="AI50" s="691">
        <f t="shared" si="18"/>
        <v>6038.63</v>
      </c>
      <c r="AJ50" s="691">
        <f t="shared" si="37"/>
        <v>1.016</v>
      </c>
      <c r="AK50" s="671">
        <f t="shared" si="19"/>
        <v>18115.87</v>
      </c>
      <c r="AL50" s="671">
        <f t="shared" si="20"/>
        <v>9057.92</v>
      </c>
      <c r="AM50" s="718">
        <v>0.04</v>
      </c>
      <c r="AN50" s="719">
        <f t="shared" si="41"/>
        <v>0.04</v>
      </c>
      <c r="AO50" s="691">
        <f t="shared" si="21"/>
        <v>1028.69</v>
      </c>
      <c r="AP50" s="691">
        <f t="shared" si="22"/>
        <v>1028.69</v>
      </c>
      <c r="AQ50" s="691">
        <f t="shared" si="23"/>
        <v>1069.83</v>
      </c>
      <c r="AR50" s="691">
        <f t="shared" si="24"/>
        <v>1086.95</v>
      </c>
      <c r="AS50" s="671">
        <f t="shared" si="25"/>
        <v>24688.48</v>
      </c>
      <c r="AT50" s="671">
        <f t="shared" si="26"/>
        <v>24688.48</v>
      </c>
      <c r="AU50" s="671">
        <f t="shared" si="27"/>
        <v>25676.03</v>
      </c>
      <c r="AV50" s="671">
        <f t="shared" si="28"/>
        <v>26086.84</v>
      </c>
      <c r="AW50" s="695">
        <f t="shared" si="38"/>
        <v>5517.98</v>
      </c>
      <c r="AX50" s="696">
        <f t="shared" si="29"/>
        <v>5517.98</v>
      </c>
      <c r="AY50" s="696">
        <f t="shared" si="30"/>
        <v>5738.7</v>
      </c>
      <c r="AZ50" s="697">
        <f t="shared" si="31"/>
        <v>5830.52</v>
      </c>
      <c r="BA50" s="832">
        <f>(U50+X50+AC50/120*140+AH50/120*140)/G50*I50</f>
        <v>114340.59833333333</v>
      </c>
      <c r="BB50" s="663">
        <f t="shared" si="43"/>
        <v>78609.17</v>
      </c>
      <c r="BC50" s="694">
        <f t="shared" si="33"/>
        <v>70236.03</v>
      </c>
      <c r="BD50" s="694">
        <f t="shared" si="34"/>
        <v>35117.96</v>
      </c>
      <c r="BE50" s="663">
        <f t="shared" si="42"/>
        <v>6550.7641666666668</v>
      </c>
      <c r="BF50" s="720"/>
      <c r="BG50" s="699">
        <v>8.4099999999999994E-2</v>
      </c>
      <c r="BH50" s="700">
        <v>0.22</v>
      </c>
    </row>
    <row r="51" spans="1:60" s="388" customFormat="1" ht="21" hidden="1" customHeight="1">
      <c r="A51" s="655" t="s">
        <v>572</v>
      </c>
      <c r="B51" s="655" t="s">
        <v>754</v>
      </c>
      <c r="C51" s="655" t="s">
        <v>755</v>
      </c>
      <c r="D51" s="702">
        <v>8322</v>
      </c>
      <c r="E51" s="702">
        <v>1</v>
      </c>
      <c r="F51" s="702" t="s">
        <v>786</v>
      </c>
      <c r="G51" s="702">
        <v>1</v>
      </c>
      <c r="H51" s="702">
        <v>3</v>
      </c>
      <c r="I51" s="702"/>
      <c r="J51" s="703">
        <v>34.409999999999997</v>
      </c>
      <c r="K51" s="703">
        <v>5715.33</v>
      </c>
      <c r="L51" s="687">
        <f t="shared" si="2"/>
        <v>5714.93</v>
      </c>
      <c r="M51" s="702">
        <v>25</v>
      </c>
      <c r="N51" s="688">
        <f t="shared" si="39"/>
        <v>1428.73</v>
      </c>
      <c r="O51" s="702">
        <v>25</v>
      </c>
      <c r="P51" s="687">
        <f t="shared" si="35"/>
        <v>1428.73</v>
      </c>
      <c r="Q51" s="689">
        <f t="shared" si="3"/>
        <v>8572.39</v>
      </c>
      <c r="R51" s="686">
        <f t="shared" si="4"/>
        <v>8572.39</v>
      </c>
      <c r="S51" s="655">
        <f t="shared" si="5"/>
        <v>1428.73</v>
      </c>
      <c r="T51" s="655"/>
      <c r="U51" s="671">
        <f t="shared" si="6"/>
        <v>25717.17</v>
      </c>
      <c r="V51" s="671">
        <f t="shared" si="7"/>
        <v>17144.79</v>
      </c>
      <c r="W51" s="671">
        <f t="shared" si="8"/>
        <v>8572.3799999999992</v>
      </c>
      <c r="X51" s="671">
        <f t="shared" si="9"/>
        <v>25717.17</v>
      </c>
      <c r="Y51" s="691">
        <f t="shared" si="10"/>
        <v>5714.93</v>
      </c>
      <c r="Z51" s="691">
        <v>1</v>
      </c>
      <c r="AA51" s="671">
        <f t="shared" si="11"/>
        <v>17144.79</v>
      </c>
      <c r="AB51" s="671">
        <f t="shared" si="12"/>
        <v>8572.3799999999992</v>
      </c>
      <c r="AC51" s="671">
        <f t="shared" si="13"/>
        <v>26745.86</v>
      </c>
      <c r="AD51" s="689">
        <f t="shared" si="14"/>
        <v>5943.53</v>
      </c>
      <c r="AE51" s="691">
        <f t="shared" si="36"/>
        <v>1.04</v>
      </c>
      <c r="AF51" s="671">
        <f t="shared" si="15"/>
        <v>17830.580000000002</v>
      </c>
      <c r="AG51" s="692">
        <f t="shared" si="16"/>
        <v>8915.2800000000007</v>
      </c>
      <c r="AH51" s="671">
        <f t="shared" si="17"/>
        <v>27173.79</v>
      </c>
      <c r="AI51" s="691">
        <f t="shared" si="18"/>
        <v>6038.63</v>
      </c>
      <c r="AJ51" s="691">
        <f t="shared" si="37"/>
        <v>1.016</v>
      </c>
      <c r="AK51" s="671">
        <f t="shared" si="19"/>
        <v>18115.87</v>
      </c>
      <c r="AL51" s="671">
        <f t="shared" si="20"/>
        <v>9057.92</v>
      </c>
      <c r="AM51" s="704">
        <v>0.04</v>
      </c>
      <c r="AN51" s="705">
        <f t="shared" si="41"/>
        <v>0.04</v>
      </c>
      <c r="AO51" s="691">
        <f t="shared" si="21"/>
        <v>1028.69</v>
      </c>
      <c r="AP51" s="691">
        <f t="shared" si="22"/>
        <v>1028.69</v>
      </c>
      <c r="AQ51" s="691">
        <f t="shared" si="23"/>
        <v>1069.83</v>
      </c>
      <c r="AR51" s="691">
        <f t="shared" si="24"/>
        <v>1086.95</v>
      </c>
      <c r="AS51" s="671">
        <f t="shared" si="25"/>
        <v>24688.48</v>
      </c>
      <c r="AT51" s="671">
        <f t="shared" si="26"/>
        <v>24688.48</v>
      </c>
      <c r="AU51" s="671">
        <f t="shared" si="27"/>
        <v>25676.03</v>
      </c>
      <c r="AV51" s="671">
        <f t="shared" si="28"/>
        <v>26086.84</v>
      </c>
      <c r="AW51" s="695">
        <f t="shared" si="38"/>
        <v>5517.98</v>
      </c>
      <c r="AX51" s="696">
        <f t="shared" si="29"/>
        <v>5517.98</v>
      </c>
      <c r="AY51" s="696">
        <f t="shared" si="30"/>
        <v>5738.7</v>
      </c>
      <c r="AZ51" s="697">
        <f t="shared" si="31"/>
        <v>5830.52</v>
      </c>
      <c r="BA51" s="832"/>
      <c r="BB51" s="663">
        <f t="shared" si="43"/>
        <v>78609.17</v>
      </c>
      <c r="BC51" s="694">
        <f t="shared" si="33"/>
        <v>70236.03</v>
      </c>
      <c r="BD51" s="694">
        <f t="shared" si="34"/>
        <v>35117.96</v>
      </c>
      <c r="BE51" s="663">
        <f t="shared" si="42"/>
        <v>6550.7641666666668</v>
      </c>
      <c r="BF51" s="706"/>
      <c r="BG51" s="699">
        <v>8.4099999999999994E-2</v>
      </c>
      <c r="BH51" s="700">
        <v>0.22</v>
      </c>
    </row>
    <row r="52" spans="1:60" s="388" customFormat="1" ht="21" hidden="1" customHeight="1">
      <c r="A52" s="655" t="s">
        <v>573</v>
      </c>
      <c r="B52" s="655" t="s">
        <v>754</v>
      </c>
      <c r="C52" s="655" t="s">
        <v>755</v>
      </c>
      <c r="D52" s="702">
        <v>8322</v>
      </c>
      <c r="E52" s="702">
        <v>1</v>
      </c>
      <c r="F52" s="702" t="s">
        <v>787</v>
      </c>
      <c r="G52" s="702">
        <v>1</v>
      </c>
      <c r="H52" s="702">
        <v>3</v>
      </c>
      <c r="I52" s="702"/>
      <c r="J52" s="703">
        <v>34.409999999999997</v>
      </c>
      <c r="K52" s="703">
        <v>5715.33</v>
      </c>
      <c r="L52" s="687">
        <f t="shared" si="2"/>
        <v>5714.93</v>
      </c>
      <c r="M52" s="702">
        <v>25</v>
      </c>
      <c r="N52" s="688">
        <f t="shared" si="39"/>
        <v>1428.73</v>
      </c>
      <c r="O52" s="702">
        <v>25</v>
      </c>
      <c r="P52" s="687">
        <f t="shared" si="35"/>
        <v>1428.73</v>
      </c>
      <c r="Q52" s="689">
        <f t="shared" si="3"/>
        <v>8572.39</v>
      </c>
      <c r="R52" s="686">
        <f t="shared" si="4"/>
        <v>8572.39</v>
      </c>
      <c r="S52" s="655">
        <f t="shared" si="5"/>
        <v>1428.73</v>
      </c>
      <c r="T52" s="655"/>
      <c r="U52" s="671">
        <f t="shared" si="6"/>
        <v>25717.17</v>
      </c>
      <c r="V52" s="671">
        <f t="shared" si="7"/>
        <v>17144.79</v>
      </c>
      <c r="W52" s="671">
        <f t="shared" si="8"/>
        <v>8572.3799999999992</v>
      </c>
      <c r="X52" s="671">
        <f t="shared" si="9"/>
        <v>25717.17</v>
      </c>
      <c r="Y52" s="691">
        <f t="shared" si="10"/>
        <v>5714.93</v>
      </c>
      <c r="Z52" s="691">
        <v>1</v>
      </c>
      <c r="AA52" s="671">
        <f t="shared" si="11"/>
        <v>17144.79</v>
      </c>
      <c r="AB52" s="671">
        <f t="shared" si="12"/>
        <v>8572.3799999999992</v>
      </c>
      <c r="AC52" s="671">
        <f t="shared" si="13"/>
        <v>26745.86</v>
      </c>
      <c r="AD52" s="689">
        <f t="shared" si="14"/>
        <v>5943.53</v>
      </c>
      <c r="AE52" s="691">
        <f t="shared" si="36"/>
        <v>1.04</v>
      </c>
      <c r="AF52" s="671">
        <f t="shared" si="15"/>
        <v>17830.580000000002</v>
      </c>
      <c r="AG52" s="692">
        <f t="shared" si="16"/>
        <v>8915.2800000000007</v>
      </c>
      <c r="AH52" s="671">
        <f t="shared" si="17"/>
        <v>27173.79</v>
      </c>
      <c r="AI52" s="691">
        <f t="shared" si="18"/>
        <v>6038.63</v>
      </c>
      <c r="AJ52" s="691">
        <f t="shared" si="37"/>
        <v>1.016</v>
      </c>
      <c r="AK52" s="671">
        <f t="shared" si="19"/>
        <v>18115.87</v>
      </c>
      <c r="AL52" s="671">
        <f t="shared" si="20"/>
        <v>9057.92</v>
      </c>
      <c r="AM52" s="704">
        <v>0.04</v>
      </c>
      <c r="AN52" s="705">
        <f t="shared" si="41"/>
        <v>0.04</v>
      </c>
      <c r="AO52" s="691">
        <f t="shared" si="21"/>
        <v>1028.69</v>
      </c>
      <c r="AP52" s="691">
        <f t="shared" si="22"/>
        <v>1028.69</v>
      </c>
      <c r="AQ52" s="691">
        <f t="shared" si="23"/>
        <v>1069.83</v>
      </c>
      <c r="AR52" s="691">
        <f t="shared" si="24"/>
        <v>1086.95</v>
      </c>
      <c r="AS52" s="671">
        <f t="shared" si="25"/>
        <v>24688.48</v>
      </c>
      <c r="AT52" s="671">
        <f t="shared" si="26"/>
        <v>24688.48</v>
      </c>
      <c r="AU52" s="671">
        <f t="shared" si="27"/>
        <v>25676.03</v>
      </c>
      <c r="AV52" s="671">
        <f t="shared" si="28"/>
        <v>26086.84</v>
      </c>
      <c r="AW52" s="695">
        <f t="shared" si="38"/>
        <v>5517.98</v>
      </c>
      <c r="AX52" s="696">
        <f t="shared" si="29"/>
        <v>5517.98</v>
      </c>
      <c r="AY52" s="696">
        <f t="shared" si="30"/>
        <v>5738.7</v>
      </c>
      <c r="AZ52" s="697">
        <f t="shared" si="31"/>
        <v>5830.52</v>
      </c>
      <c r="BA52" s="832"/>
      <c r="BB52" s="663">
        <f t="shared" si="43"/>
        <v>78609.17</v>
      </c>
      <c r="BC52" s="694">
        <f t="shared" si="33"/>
        <v>70236.03</v>
      </c>
      <c r="BD52" s="694">
        <f t="shared" si="34"/>
        <v>35117.96</v>
      </c>
      <c r="BE52" s="663">
        <f t="shared" si="42"/>
        <v>6550.7641666666668</v>
      </c>
      <c r="BF52" s="706"/>
      <c r="BG52" s="699">
        <v>8.4099999999999994E-2</v>
      </c>
      <c r="BH52" s="700">
        <v>0.22</v>
      </c>
    </row>
    <row r="53" spans="1:60" s="388" customFormat="1" ht="21" hidden="1" customHeight="1">
      <c r="A53" s="655" t="s">
        <v>574</v>
      </c>
      <c r="B53" s="655" t="s">
        <v>754</v>
      </c>
      <c r="C53" s="655" t="s">
        <v>755</v>
      </c>
      <c r="D53" s="702">
        <v>8322</v>
      </c>
      <c r="E53" s="702">
        <v>1</v>
      </c>
      <c r="F53" s="702" t="s">
        <v>788</v>
      </c>
      <c r="G53" s="702">
        <v>1</v>
      </c>
      <c r="H53" s="702">
        <v>3</v>
      </c>
      <c r="I53" s="702"/>
      <c r="J53" s="703">
        <v>34.409999999999997</v>
      </c>
      <c r="K53" s="703">
        <v>5715.33</v>
      </c>
      <c r="L53" s="687">
        <f t="shared" si="2"/>
        <v>5714.93</v>
      </c>
      <c r="M53" s="702">
        <v>25</v>
      </c>
      <c r="N53" s="688">
        <f t="shared" si="39"/>
        <v>1428.73</v>
      </c>
      <c r="O53" s="702">
        <v>25</v>
      </c>
      <c r="P53" s="687">
        <f t="shared" si="35"/>
        <v>1428.73</v>
      </c>
      <c r="Q53" s="689">
        <f t="shared" si="3"/>
        <v>8572.39</v>
      </c>
      <c r="R53" s="686">
        <f t="shared" si="4"/>
        <v>8572.39</v>
      </c>
      <c r="S53" s="655">
        <f t="shared" si="5"/>
        <v>1428.73</v>
      </c>
      <c r="T53" s="655"/>
      <c r="U53" s="671">
        <f t="shared" si="6"/>
        <v>25717.17</v>
      </c>
      <c r="V53" s="671">
        <f t="shared" si="7"/>
        <v>17144.79</v>
      </c>
      <c r="W53" s="671">
        <f t="shared" si="8"/>
        <v>8572.3799999999992</v>
      </c>
      <c r="X53" s="671">
        <f t="shared" si="9"/>
        <v>25717.17</v>
      </c>
      <c r="Y53" s="691">
        <f t="shared" si="10"/>
        <v>5714.93</v>
      </c>
      <c r="Z53" s="691">
        <v>1</v>
      </c>
      <c r="AA53" s="671">
        <f t="shared" si="11"/>
        <v>17144.79</v>
      </c>
      <c r="AB53" s="671">
        <f t="shared" si="12"/>
        <v>8572.3799999999992</v>
      </c>
      <c r="AC53" s="671">
        <f t="shared" si="13"/>
        <v>26745.86</v>
      </c>
      <c r="AD53" s="689">
        <f t="shared" si="14"/>
        <v>5943.53</v>
      </c>
      <c r="AE53" s="691">
        <f t="shared" si="36"/>
        <v>1.04</v>
      </c>
      <c r="AF53" s="671">
        <f t="shared" si="15"/>
        <v>17830.580000000002</v>
      </c>
      <c r="AG53" s="692">
        <f t="shared" si="16"/>
        <v>8915.2800000000007</v>
      </c>
      <c r="AH53" s="671">
        <f t="shared" si="17"/>
        <v>27173.79</v>
      </c>
      <c r="AI53" s="691">
        <f t="shared" si="18"/>
        <v>6038.63</v>
      </c>
      <c r="AJ53" s="691">
        <f t="shared" si="37"/>
        <v>1.016</v>
      </c>
      <c r="AK53" s="671">
        <f t="shared" si="19"/>
        <v>18115.87</v>
      </c>
      <c r="AL53" s="671">
        <f t="shared" si="20"/>
        <v>9057.92</v>
      </c>
      <c r="AM53" s="704">
        <v>0.04</v>
      </c>
      <c r="AN53" s="705">
        <f t="shared" si="41"/>
        <v>0.04</v>
      </c>
      <c r="AO53" s="691">
        <f t="shared" si="21"/>
        <v>1028.69</v>
      </c>
      <c r="AP53" s="691">
        <f t="shared" si="22"/>
        <v>1028.69</v>
      </c>
      <c r="AQ53" s="691">
        <f t="shared" si="23"/>
        <v>1069.83</v>
      </c>
      <c r="AR53" s="691">
        <f t="shared" si="24"/>
        <v>1086.95</v>
      </c>
      <c r="AS53" s="671">
        <f t="shared" si="25"/>
        <v>24688.48</v>
      </c>
      <c r="AT53" s="671">
        <f t="shared" si="26"/>
        <v>24688.48</v>
      </c>
      <c r="AU53" s="671">
        <f t="shared" si="27"/>
        <v>25676.03</v>
      </c>
      <c r="AV53" s="671">
        <f t="shared" si="28"/>
        <v>26086.84</v>
      </c>
      <c r="AW53" s="695">
        <f t="shared" si="38"/>
        <v>5517.98</v>
      </c>
      <c r="AX53" s="696">
        <f t="shared" si="29"/>
        <v>5517.98</v>
      </c>
      <c r="AY53" s="696">
        <f t="shared" si="30"/>
        <v>5738.7</v>
      </c>
      <c r="AZ53" s="697">
        <f t="shared" si="31"/>
        <v>5830.52</v>
      </c>
      <c r="BA53" s="832"/>
      <c r="BB53" s="663">
        <f t="shared" si="43"/>
        <v>78609.17</v>
      </c>
      <c r="BC53" s="694">
        <f t="shared" si="33"/>
        <v>70236.03</v>
      </c>
      <c r="BD53" s="694">
        <f t="shared" si="34"/>
        <v>35117.96</v>
      </c>
      <c r="BE53" s="663">
        <f t="shared" si="42"/>
        <v>6550.7641666666668</v>
      </c>
      <c r="BF53" s="706"/>
      <c r="BG53" s="699">
        <v>8.4099999999999994E-2</v>
      </c>
      <c r="BH53" s="700">
        <v>0.22</v>
      </c>
    </row>
    <row r="54" spans="1:60" s="388" customFormat="1" ht="21" customHeight="1">
      <c r="A54" s="655" t="s">
        <v>575</v>
      </c>
      <c r="B54" s="655" t="s">
        <v>754</v>
      </c>
      <c r="C54" s="655" t="s">
        <v>755</v>
      </c>
      <c r="D54" s="702">
        <v>8322</v>
      </c>
      <c r="E54" s="702">
        <v>1</v>
      </c>
      <c r="F54" s="702" t="s">
        <v>789</v>
      </c>
      <c r="G54" s="702">
        <v>1</v>
      </c>
      <c r="H54" s="702">
        <v>3</v>
      </c>
      <c r="I54" s="702">
        <v>1</v>
      </c>
      <c r="J54" s="703">
        <v>34.409999999999997</v>
      </c>
      <c r="K54" s="703">
        <v>5715.33</v>
      </c>
      <c r="L54" s="687">
        <f t="shared" si="2"/>
        <v>5714.93</v>
      </c>
      <c r="M54" s="702">
        <v>50</v>
      </c>
      <c r="N54" s="688">
        <f t="shared" si="39"/>
        <v>2857.47</v>
      </c>
      <c r="O54" s="702">
        <v>25</v>
      </c>
      <c r="P54" s="687">
        <f t="shared" si="35"/>
        <v>1428.73</v>
      </c>
      <c r="Q54" s="689">
        <f t="shared" si="3"/>
        <v>10001.129999999999</v>
      </c>
      <c r="R54" s="686">
        <f t="shared" si="4"/>
        <v>10001.129999999999</v>
      </c>
      <c r="S54" s="655">
        <f t="shared" si="5"/>
        <v>1428.73</v>
      </c>
      <c r="T54" s="655"/>
      <c r="U54" s="671">
        <f t="shared" si="6"/>
        <v>30003.39</v>
      </c>
      <c r="V54" s="671">
        <f t="shared" si="7"/>
        <v>17144.79</v>
      </c>
      <c r="W54" s="671">
        <f t="shared" si="8"/>
        <v>12858.6</v>
      </c>
      <c r="X54" s="671">
        <f t="shared" si="9"/>
        <v>30003.39</v>
      </c>
      <c r="Y54" s="691">
        <f t="shared" si="10"/>
        <v>5714.93</v>
      </c>
      <c r="Z54" s="691">
        <v>1</v>
      </c>
      <c r="AA54" s="671">
        <f t="shared" si="11"/>
        <v>17144.79</v>
      </c>
      <c r="AB54" s="671">
        <f t="shared" si="12"/>
        <v>12858.6</v>
      </c>
      <c r="AC54" s="671">
        <f t="shared" si="13"/>
        <v>31203.52</v>
      </c>
      <c r="AD54" s="689">
        <f t="shared" si="14"/>
        <v>5943.53</v>
      </c>
      <c r="AE54" s="691">
        <f t="shared" si="36"/>
        <v>1.04</v>
      </c>
      <c r="AF54" s="671">
        <f t="shared" si="15"/>
        <v>17830.580000000002</v>
      </c>
      <c r="AG54" s="692">
        <f t="shared" si="16"/>
        <v>13372.94</v>
      </c>
      <c r="AH54" s="671">
        <f t="shared" si="17"/>
        <v>31702.78</v>
      </c>
      <c r="AI54" s="691">
        <f t="shared" si="18"/>
        <v>6038.63</v>
      </c>
      <c r="AJ54" s="691">
        <f t="shared" si="37"/>
        <v>1.016</v>
      </c>
      <c r="AK54" s="671">
        <f t="shared" si="19"/>
        <v>18115.87</v>
      </c>
      <c r="AL54" s="671">
        <f t="shared" si="20"/>
        <v>13586.91</v>
      </c>
      <c r="AM54" s="704">
        <v>0.04</v>
      </c>
      <c r="AN54" s="705">
        <f t="shared" si="41"/>
        <v>0.04</v>
      </c>
      <c r="AO54" s="691">
        <f t="shared" si="21"/>
        <v>1200.1400000000001</v>
      </c>
      <c r="AP54" s="691">
        <f t="shared" si="22"/>
        <v>1200.1400000000001</v>
      </c>
      <c r="AQ54" s="691">
        <f t="shared" si="23"/>
        <v>1248.1400000000001</v>
      </c>
      <c r="AR54" s="691">
        <f t="shared" si="24"/>
        <v>1268.1099999999999</v>
      </c>
      <c r="AS54" s="671">
        <f t="shared" si="25"/>
        <v>28803.25</v>
      </c>
      <c r="AT54" s="671">
        <f t="shared" si="26"/>
        <v>28803.25</v>
      </c>
      <c r="AU54" s="671">
        <f t="shared" si="27"/>
        <v>29955.38</v>
      </c>
      <c r="AV54" s="671">
        <f t="shared" si="28"/>
        <v>30434.67</v>
      </c>
      <c r="AW54" s="695">
        <f t="shared" si="38"/>
        <v>6437.65</v>
      </c>
      <c r="AX54" s="696">
        <f t="shared" si="29"/>
        <v>6437.65</v>
      </c>
      <c r="AY54" s="696">
        <f t="shared" si="30"/>
        <v>6695.15</v>
      </c>
      <c r="AZ54" s="697">
        <f t="shared" si="31"/>
        <v>6802.28</v>
      </c>
      <c r="BA54" s="832">
        <f>(U54+X54+AC54/120*140+AH54/120*140)/G54*I54</f>
        <v>133397.46333333332</v>
      </c>
      <c r="BB54" s="663">
        <f t="shared" si="43"/>
        <v>91710.6</v>
      </c>
      <c r="BC54" s="694">
        <f t="shared" si="33"/>
        <v>70236.03</v>
      </c>
      <c r="BD54" s="694">
        <f t="shared" si="34"/>
        <v>52677.05</v>
      </c>
      <c r="BE54" s="663">
        <f t="shared" si="42"/>
        <v>7642.55</v>
      </c>
      <c r="BF54" s="706"/>
      <c r="BG54" s="699">
        <v>8.4099999999999994E-2</v>
      </c>
      <c r="BH54" s="700">
        <v>0.22</v>
      </c>
    </row>
    <row r="55" spans="1:60" s="388" customFormat="1" ht="21" hidden="1" customHeight="1">
      <c r="A55" s="655" t="s">
        <v>576</v>
      </c>
      <c r="B55" s="655" t="s">
        <v>754</v>
      </c>
      <c r="C55" s="655" t="s">
        <v>755</v>
      </c>
      <c r="D55" s="702">
        <v>8322</v>
      </c>
      <c r="E55" s="702">
        <v>1</v>
      </c>
      <c r="F55" s="702" t="s">
        <v>790</v>
      </c>
      <c r="G55" s="702">
        <v>1</v>
      </c>
      <c r="H55" s="702">
        <v>3</v>
      </c>
      <c r="I55" s="702"/>
      <c r="J55" s="703">
        <v>34.409999999999997</v>
      </c>
      <c r="K55" s="703">
        <v>5715.33</v>
      </c>
      <c r="L55" s="687">
        <f t="shared" si="2"/>
        <v>5714.93</v>
      </c>
      <c r="M55" s="702">
        <v>25</v>
      </c>
      <c r="N55" s="688">
        <f t="shared" si="39"/>
        <v>1428.73</v>
      </c>
      <c r="O55" s="702">
        <v>25</v>
      </c>
      <c r="P55" s="687">
        <f t="shared" si="35"/>
        <v>1428.73</v>
      </c>
      <c r="Q55" s="689">
        <f t="shared" si="3"/>
        <v>8572.39</v>
      </c>
      <c r="R55" s="686">
        <f t="shared" si="4"/>
        <v>8572.39</v>
      </c>
      <c r="S55" s="655">
        <f t="shared" si="5"/>
        <v>1428.73</v>
      </c>
      <c r="T55" s="655"/>
      <c r="U55" s="671">
        <f t="shared" si="6"/>
        <v>25717.17</v>
      </c>
      <c r="V55" s="671">
        <f t="shared" si="7"/>
        <v>17144.79</v>
      </c>
      <c r="W55" s="671">
        <f t="shared" si="8"/>
        <v>8572.3799999999992</v>
      </c>
      <c r="X55" s="671">
        <f t="shared" si="9"/>
        <v>25717.17</v>
      </c>
      <c r="Y55" s="691">
        <f t="shared" si="10"/>
        <v>5714.93</v>
      </c>
      <c r="Z55" s="691">
        <v>1</v>
      </c>
      <c r="AA55" s="671">
        <f t="shared" si="11"/>
        <v>17144.79</v>
      </c>
      <c r="AB55" s="671">
        <f t="shared" si="12"/>
        <v>8572.3799999999992</v>
      </c>
      <c r="AC55" s="671">
        <f t="shared" si="13"/>
        <v>26745.86</v>
      </c>
      <c r="AD55" s="689">
        <f t="shared" si="14"/>
        <v>5943.53</v>
      </c>
      <c r="AE55" s="691">
        <f t="shared" si="36"/>
        <v>1.04</v>
      </c>
      <c r="AF55" s="671">
        <f t="shared" si="15"/>
        <v>17830.580000000002</v>
      </c>
      <c r="AG55" s="692">
        <f t="shared" si="16"/>
        <v>8915.2800000000007</v>
      </c>
      <c r="AH55" s="671">
        <f t="shared" si="17"/>
        <v>27173.79</v>
      </c>
      <c r="AI55" s="691">
        <f t="shared" si="18"/>
        <v>6038.63</v>
      </c>
      <c r="AJ55" s="691">
        <f t="shared" si="37"/>
        <v>1.016</v>
      </c>
      <c r="AK55" s="671">
        <f t="shared" si="19"/>
        <v>18115.87</v>
      </c>
      <c r="AL55" s="671">
        <f t="shared" si="20"/>
        <v>9057.92</v>
      </c>
      <c r="AM55" s="704">
        <v>0.04</v>
      </c>
      <c r="AN55" s="705">
        <f t="shared" si="41"/>
        <v>0.04</v>
      </c>
      <c r="AO55" s="691">
        <f t="shared" si="21"/>
        <v>1028.69</v>
      </c>
      <c r="AP55" s="691">
        <f t="shared" si="22"/>
        <v>1028.69</v>
      </c>
      <c r="AQ55" s="691">
        <f t="shared" si="23"/>
        <v>1069.83</v>
      </c>
      <c r="AR55" s="691">
        <f t="shared" si="24"/>
        <v>1086.95</v>
      </c>
      <c r="AS55" s="671">
        <f t="shared" si="25"/>
        <v>24688.48</v>
      </c>
      <c r="AT55" s="671">
        <f t="shared" si="26"/>
        <v>24688.48</v>
      </c>
      <c r="AU55" s="671">
        <f t="shared" si="27"/>
        <v>25676.03</v>
      </c>
      <c r="AV55" s="671">
        <f t="shared" si="28"/>
        <v>26086.84</v>
      </c>
      <c r="AW55" s="695">
        <f t="shared" si="38"/>
        <v>5517.98</v>
      </c>
      <c r="AX55" s="696">
        <f t="shared" si="29"/>
        <v>5517.98</v>
      </c>
      <c r="AY55" s="696">
        <f t="shared" si="30"/>
        <v>5738.7</v>
      </c>
      <c r="AZ55" s="697">
        <f t="shared" si="31"/>
        <v>5830.52</v>
      </c>
      <c r="BA55" s="832"/>
      <c r="BB55" s="663">
        <f t="shared" si="43"/>
        <v>78609.17</v>
      </c>
      <c r="BC55" s="694">
        <f t="shared" si="33"/>
        <v>70236.03</v>
      </c>
      <c r="BD55" s="694">
        <f t="shared" si="34"/>
        <v>35117.96</v>
      </c>
      <c r="BE55" s="663">
        <f t="shared" si="42"/>
        <v>6550.7641666666668</v>
      </c>
      <c r="BF55" s="706"/>
      <c r="BG55" s="699">
        <v>8.4099999999999994E-2</v>
      </c>
      <c r="BH55" s="700">
        <v>0.22</v>
      </c>
    </row>
    <row r="56" spans="1:60" s="388" customFormat="1" ht="21" hidden="1" customHeight="1">
      <c r="A56" s="655" t="s">
        <v>577</v>
      </c>
      <c r="B56" s="655" t="s">
        <v>754</v>
      </c>
      <c r="C56" s="655" t="s">
        <v>755</v>
      </c>
      <c r="D56" s="702">
        <v>8322</v>
      </c>
      <c r="E56" s="702">
        <v>1</v>
      </c>
      <c r="F56" s="702" t="s">
        <v>791</v>
      </c>
      <c r="G56" s="702">
        <v>1</v>
      </c>
      <c r="H56" s="702">
        <v>3</v>
      </c>
      <c r="I56" s="702"/>
      <c r="J56" s="703">
        <v>33.19</v>
      </c>
      <c r="K56" s="703">
        <v>5512.57</v>
      </c>
      <c r="L56" s="687">
        <f t="shared" si="2"/>
        <v>5512.31</v>
      </c>
      <c r="M56" s="702">
        <v>25</v>
      </c>
      <c r="N56" s="688">
        <f t="shared" si="39"/>
        <v>1378.08</v>
      </c>
      <c r="O56" s="702">
        <v>25</v>
      </c>
      <c r="P56" s="687">
        <f t="shared" si="35"/>
        <v>1378.08</v>
      </c>
      <c r="Q56" s="689">
        <f t="shared" si="3"/>
        <v>8268.4699999999993</v>
      </c>
      <c r="R56" s="686">
        <f t="shared" si="4"/>
        <v>8268.4699999999993</v>
      </c>
      <c r="S56" s="655">
        <f t="shared" si="5"/>
        <v>1378.08</v>
      </c>
      <c r="T56" s="655"/>
      <c r="U56" s="671">
        <f t="shared" si="6"/>
        <v>24805.41</v>
      </c>
      <c r="V56" s="671">
        <f t="shared" si="7"/>
        <v>16536.93</v>
      </c>
      <c r="W56" s="671">
        <f t="shared" si="8"/>
        <v>8268.48</v>
      </c>
      <c r="X56" s="671">
        <f t="shared" si="9"/>
        <v>24805.41</v>
      </c>
      <c r="Y56" s="691">
        <f t="shared" si="10"/>
        <v>5512.31</v>
      </c>
      <c r="Z56" s="691">
        <v>1</v>
      </c>
      <c r="AA56" s="671">
        <f t="shared" si="11"/>
        <v>16536.93</v>
      </c>
      <c r="AB56" s="671">
        <f t="shared" si="12"/>
        <v>8268.48</v>
      </c>
      <c r="AC56" s="671">
        <f t="shared" si="13"/>
        <v>25797.63</v>
      </c>
      <c r="AD56" s="689">
        <f t="shared" si="14"/>
        <v>5732.8</v>
      </c>
      <c r="AE56" s="691">
        <f t="shared" si="36"/>
        <v>1.04</v>
      </c>
      <c r="AF56" s="671">
        <f t="shared" si="15"/>
        <v>17198.41</v>
      </c>
      <c r="AG56" s="692">
        <f t="shared" si="16"/>
        <v>8599.2199999999993</v>
      </c>
      <c r="AH56" s="671">
        <f t="shared" si="17"/>
        <v>26210.39</v>
      </c>
      <c r="AI56" s="691">
        <f t="shared" si="18"/>
        <v>5824.52</v>
      </c>
      <c r="AJ56" s="691">
        <f t="shared" si="37"/>
        <v>1.016</v>
      </c>
      <c r="AK56" s="671">
        <f t="shared" si="19"/>
        <v>17473.580000000002</v>
      </c>
      <c r="AL56" s="671">
        <f t="shared" si="20"/>
        <v>8736.81</v>
      </c>
      <c r="AM56" s="704">
        <v>0.04</v>
      </c>
      <c r="AN56" s="705">
        <f t="shared" si="41"/>
        <v>0.04</v>
      </c>
      <c r="AO56" s="691">
        <f t="shared" si="21"/>
        <v>992.22</v>
      </c>
      <c r="AP56" s="691">
        <f t="shared" si="22"/>
        <v>992.22</v>
      </c>
      <c r="AQ56" s="691">
        <f t="shared" si="23"/>
        <v>1031.9100000000001</v>
      </c>
      <c r="AR56" s="691">
        <f t="shared" si="24"/>
        <v>1048.42</v>
      </c>
      <c r="AS56" s="671">
        <f t="shared" si="25"/>
        <v>23813.19</v>
      </c>
      <c r="AT56" s="671">
        <f t="shared" si="26"/>
        <v>23813.19</v>
      </c>
      <c r="AU56" s="671">
        <f t="shared" si="27"/>
        <v>24765.72</v>
      </c>
      <c r="AV56" s="671">
        <f t="shared" si="28"/>
        <v>25161.97</v>
      </c>
      <c r="AW56" s="695">
        <f t="shared" si="38"/>
        <v>5322.35</v>
      </c>
      <c r="AX56" s="696">
        <f t="shared" si="29"/>
        <v>5322.35</v>
      </c>
      <c r="AY56" s="696">
        <f t="shared" si="30"/>
        <v>5535.24</v>
      </c>
      <c r="AZ56" s="697">
        <f t="shared" si="31"/>
        <v>5623.81</v>
      </c>
      <c r="BA56" s="832"/>
      <c r="BB56" s="663">
        <f t="shared" si="43"/>
        <v>75822.25</v>
      </c>
      <c r="BC56" s="694">
        <f t="shared" si="33"/>
        <v>67745.850000000006</v>
      </c>
      <c r="BD56" s="694">
        <f t="shared" si="34"/>
        <v>33872.99</v>
      </c>
      <c r="BE56" s="663">
        <f t="shared" si="42"/>
        <v>6318.520833333333</v>
      </c>
      <c r="BF56" s="706"/>
      <c r="BG56" s="699">
        <v>8.4099999999999994E-2</v>
      </c>
      <c r="BH56" s="700">
        <v>0.22</v>
      </c>
    </row>
    <row r="57" spans="1:60" s="388" customFormat="1" ht="21" hidden="1" customHeight="1">
      <c r="A57" s="655" t="s">
        <v>578</v>
      </c>
      <c r="B57" s="655" t="s">
        <v>754</v>
      </c>
      <c r="C57" s="655" t="s">
        <v>755</v>
      </c>
      <c r="D57" s="702">
        <v>8322</v>
      </c>
      <c r="E57" s="702">
        <v>1</v>
      </c>
      <c r="F57" s="702" t="s">
        <v>764</v>
      </c>
      <c r="G57" s="702">
        <v>1</v>
      </c>
      <c r="H57" s="702">
        <v>3</v>
      </c>
      <c r="I57" s="702"/>
      <c r="J57" s="703">
        <v>47.36</v>
      </c>
      <c r="K57" s="703">
        <v>7865.94</v>
      </c>
      <c r="L57" s="687">
        <f t="shared" si="2"/>
        <v>7865.71</v>
      </c>
      <c r="M57" s="702">
        <v>12</v>
      </c>
      <c r="N57" s="688">
        <f t="shared" si="39"/>
        <v>943.89</v>
      </c>
      <c r="O57" s="702">
        <v>25</v>
      </c>
      <c r="P57" s="687">
        <f t="shared" si="35"/>
        <v>1966.43</v>
      </c>
      <c r="Q57" s="689">
        <f t="shared" si="3"/>
        <v>10776.03</v>
      </c>
      <c r="R57" s="686">
        <f t="shared" si="4"/>
        <v>10776.03</v>
      </c>
      <c r="S57" s="655">
        <f t="shared" si="5"/>
        <v>1966.43</v>
      </c>
      <c r="T57" s="655"/>
      <c r="U57" s="671">
        <f t="shared" si="6"/>
        <v>32328.09</v>
      </c>
      <c r="V57" s="671">
        <f t="shared" si="7"/>
        <v>23597.13</v>
      </c>
      <c r="W57" s="671">
        <f t="shared" si="8"/>
        <v>8730.9599999999991</v>
      </c>
      <c r="X57" s="671">
        <f t="shared" si="9"/>
        <v>32328.09</v>
      </c>
      <c r="Y57" s="691">
        <f t="shared" si="10"/>
        <v>7865.71</v>
      </c>
      <c r="Z57" s="691">
        <v>1</v>
      </c>
      <c r="AA57" s="671">
        <f t="shared" si="11"/>
        <v>23597.13</v>
      </c>
      <c r="AB57" s="671">
        <f t="shared" si="12"/>
        <v>8730.9599999999991</v>
      </c>
      <c r="AC57" s="671">
        <f t="shared" si="13"/>
        <v>33621.22</v>
      </c>
      <c r="AD57" s="689">
        <f t="shared" si="14"/>
        <v>8180.34</v>
      </c>
      <c r="AE57" s="691">
        <f t="shared" si="36"/>
        <v>1.04</v>
      </c>
      <c r="AF57" s="671">
        <f t="shared" si="15"/>
        <v>24541.02</v>
      </c>
      <c r="AG57" s="692">
        <f t="shared" si="16"/>
        <v>9080.2000000000007</v>
      </c>
      <c r="AH57" s="671">
        <f t="shared" si="17"/>
        <v>34159.160000000003</v>
      </c>
      <c r="AI57" s="691">
        <f t="shared" si="18"/>
        <v>8311.23</v>
      </c>
      <c r="AJ57" s="691">
        <f t="shared" si="37"/>
        <v>1.016</v>
      </c>
      <c r="AK57" s="671">
        <f t="shared" si="19"/>
        <v>24933.68</v>
      </c>
      <c r="AL57" s="671">
        <f t="shared" si="20"/>
        <v>9225.48</v>
      </c>
      <c r="AM57" s="704">
        <v>0.04</v>
      </c>
      <c r="AN57" s="705">
        <f t="shared" si="41"/>
        <v>0.04</v>
      </c>
      <c r="AO57" s="691">
        <f t="shared" si="21"/>
        <v>1293.1199999999999</v>
      </c>
      <c r="AP57" s="691">
        <f t="shared" si="22"/>
        <v>1293.1199999999999</v>
      </c>
      <c r="AQ57" s="691">
        <f t="shared" si="23"/>
        <v>1344.85</v>
      </c>
      <c r="AR57" s="691">
        <f t="shared" si="24"/>
        <v>1366.37</v>
      </c>
      <c r="AS57" s="671">
        <f t="shared" si="25"/>
        <v>31034.97</v>
      </c>
      <c r="AT57" s="671">
        <f t="shared" si="26"/>
        <v>31034.97</v>
      </c>
      <c r="AU57" s="671">
        <f t="shared" si="27"/>
        <v>32276.370000000003</v>
      </c>
      <c r="AV57" s="671">
        <f t="shared" si="28"/>
        <v>32792.79</v>
      </c>
      <c r="AW57" s="695">
        <f t="shared" si="38"/>
        <v>6936.44</v>
      </c>
      <c r="AX57" s="696">
        <f t="shared" si="29"/>
        <v>6936.44</v>
      </c>
      <c r="AY57" s="696">
        <f t="shared" si="30"/>
        <v>7213.9</v>
      </c>
      <c r="AZ57" s="697">
        <f t="shared" si="31"/>
        <v>7329.33</v>
      </c>
      <c r="BA57" s="832"/>
      <c r="BB57" s="663">
        <f t="shared" si="43"/>
        <v>98816.38</v>
      </c>
      <c r="BC57" s="694">
        <f t="shared" si="33"/>
        <v>96668.96</v>
      </c>
      <c r="BD57" s="694">
        <f t="shared" si="34"/>
        <v>35767.599999999999</v>
      </c>
      <c r="BE57" s="663">
        <f t="shared" si="42"/>
        <v>8234.6983333333337</v>
      </c>
      <c r="BF57" s="706"/>
      <c r="BG57" s="699">
        <v>8.4099999999999994E-2</v>
      </c>
      <c r="BH57" s="700">
        <v>0.22</v>
      </c>
    </row>
    <row r="58" spans="1:60" s="388" customFormat="1" ht="21" hidden="1" customHeight="1">
      <c r="A58" s="655" t="s">
        <v>578</v>
      </c>
      <c r="B58" s="655" t="s">
        <v>754</v>
      </c>
      <c r="C58" s="655" t="s">
        <v>755</v>
      </c>
      <c r="D58" s="702">
        <v>8322</v>
      </c>
      <c r="E58" s="702">
        <v>1</v>
      </c>
      <c r="F58" s="702" t="s">
        <v>792</v>
      </c>
      <c r="G58" s="702">
        <v>1</v>
      </c>
      <c r="H58" s="702">
        <v>3</v>
      </c>
      <c r="I58" s="702"/>
      <c r="J58" s="703">
        <v>51.21</v>
      </c>
      <c r="K58" s="703">
        <v>8505.41</v>
      </c>
      <c r="L58" s="687">
        <f t="shared" si="2"/>
        <v>8505.1299999999992</v>
      </c>
      <c r="M58" s="702">
        <v>12</v>
      </c>
      <c r="N58" s="688">
        <f t="shared" si="39"/>
        <v>1020.62</v>
      </c>
      <c r="O58" s="702">
        <v>25</v>
      </c>
      <c r="P58" s="687">
        <f t="shared" si="35"/>
        <v>2126.2800000000002</v>
      </c>
      <c r="Q58" s="689">
        <f t="shared" si="3"/>
        <v>11652.03</v>
      </c>
      <c r="R58" s="686">
        <f t="shared" si="4"/>
        <v>11652.03</v>
      </c>
      <c r="S58" s="655">
        <f t="shared" si="5"/>
        <v>2126.2800000000002</v>
      </c>
      <c r="T58" s="655"/>
      <c r="U58" s="671">
        <f t="shared" si="6"/>
        <v>34956.089999999997</v>
      </c>
      <c r="V58" s="671">
        <f t="shared" si="7"/>
        <v>25515.39</v>
      </c>
      <c r="W58" s="671">
        <f t="shared" si="8"/>
        <v>9440.7000000000007</v>
      </c>
      <c r="X58" s="671">
        <f t="shared" si="9"/>
        <v>34956.089999999997</v>
      </c>
      <c r="Y58" s="691">
        <f t="shared" si="10"/>
        <v>8505.1299999999992</v>
      </c>
      <c r="Z58" s="691">
        <v>1</v>
      </c>
      <c r="AA58" s="671">
        <f t="shared" si="11"/>
        <v>25515.39</v>
      </c>
      <c r="AB58" s="671">
        <f t="shared" si="12"/>
        <v>9440.7000000000007</v>
      </c>
      <c r="AC58" s="671">
        <f t="shared" si="13"/>
        <v>36354.339999999997</v>
      </c>
      <c r="AD58" s="689">
        <f t="shared" si="14"/>
        <v>8845.34</v>
      </c>
      <c r="AE58" s="691">
        <f t="shared" si="36"/>
        <v>1.04</v>
      </c>
      <c r="AF58" s="671">
        <f t="shared" si="15"/>
        <v>26536.01</v>
      </c>
      <c r="AG58" s="692">
        <f t="shared" si="16"/>
        <v>9818.33</v>
      </c>
      <c r="AH58" s="671">
        <f t="shared" si="17"/>
        <v>36936.01</v>
      </c>
      <c r="AI58" s="691">
        <f t="shared" si="18"/>
        <v>8986.8700000000008</v>
      </c>
      <c r="AJ58" s="691">
        <f t="shared" si="37"/>
        <v>1.016</v>
      </c>
      <c r="AK58" s="671">
        <f t="shared" si="19"/>
        <v>26960.59</v>
      </c>
      <c r="AL58" s="671">
        <f t="shared" si="20"/>
        <v>9975.42</v>
      </c>
      <c r="AM58" s="704">
        <v>0.04</v>
      </c>
      <c r="AN58" s="705">
        <f t="shared" si="41"/>
        <v>0.04</v>
      </c>
      <c r="AO58" s="691">
        <f t="shared" si="21"/>
        <v>1398.24</v>
      </c>
      <c r="AP58" s="691">
        <f t="shared" si="22"/>
        <v>1398.24</v>
      </c>
      <c r="AQ58" s="691">
        <f t="shared" si="23"/>
        <v>1454.17</v>
      </c>
      <c r="AR58" s="691">
        <f t="shared" si="24"/>
        <v>1477.44</v>
      </c>
      <c r="AS58" s="671">
        <f t="shared" si="25"/>
        <v>33557.85</v>
      </c>
      <c r="AT58" s="671">
        <f t="shared" si="26"/>
        <v>33557.85</v>
      </c>
      <c r="AU58" s="671">
        <f t="shared" si="27"/>
        <v>34900.17</v>
      </c>
      <c r="AV58" s="671">
        <f t="shared" si="28"/>
        <v>35458.57</v>
      </c>
      <c r="AW58" s="695">
        <f t="shared" si="38"/>
        <v>7500.32</v>
      </c>
      <c r="AX58" s="696">
        <f t="shared" si="29"/>
        <v>7500.32</v>
      </c>
      <c r="AY58" s="696">
        <f t="shared" si="30"/>
        <v>7800.33</v>
      </c>
      <c r="AZ58" s="697">
        <f t="shared" si="31"/>
        <v>7925.14</v>
      </c>
      <c r="BA58" s="832"/>
      <c r="BB58" s="663">
        <f t="shared" si="43"/>
        <v>106849.22999999998</v>
      </c>
      <c r="BC58" s="694">
        <f t="shared" si="33"/>
        <v>104527.38</v>
      </c>
      <c r="BD58" s="694">
        <f t="shared" si="34"/>
        <v>38675.15</v>
      </c>
      <c r="BE58" s="663">
        <f t="shared" si="42"/>
        <v>8904.1024999999991</v>
      </c>
      <c r="BF58" s="706"/>
      <c r="BG58" s="699">
        <v>8.4099999999999994E-2</v>
      </c>
      <c r="BH58" s="700">
        <v>0.22</v>
      </c>
    </row>
    <row r="59" spans="1:60" s="388" customFormat="1" ht="21" hidden="1" customHeight="1">
      <c r="A59" s="655" t="s">
        <v>935</v>
      </c>
      <c r="B59" s="655" t="s">
        <v>754</v>
      </c>
      <c r="C59" s="655" t="s">
        <v>755</v>
      </c>
      <c r="D59" s="702">
        <v>8322</v>
      </c>
      <c r="E59" s="702">
        <v>1</v>
      </c>
      <c r="F59" s="702" t="s">
        <v>936</v>
      </c>
      <c r="G59" s="702">
        <v>1</v>
      </c>
      <c r="H59" s="702">
        <v>3</v>
      </c>
      <c r="I59" s="702"/>
      <c r="J59" s="703">
        <v>44.94</v>
      </c>
      <c r="K59" s="703">
        <f>K58/J58*J59</f>
        <v>7464.0329115407148</v>
      </c>
      <c r="L59" s="687">
        <f t="shared" si="2"/>
        <v>7463.79</v>
      </c>
      <c r="M59" s="702">
        <v>12</v>
      </c>
      <c r="N59" s="688">
        <f t="shared" si="39"/>
        <v>895.65</v>
      </c>
      <c r="O59" s="702">
        <v>25</v>
      </c>
      <c r="P59" s="687">
        <f t="shared" si="35"/>
        <v>1865.95</v>
      </c>
      <c r="Q59" s="689">
        <f t="shared" si="3"/>
        <v>10225.39</v>
      </c>
      <c r="R59" s="686">
        <f t="shared" si="4"/>
        <v>10225.39</v>
      </c>
      <c r="S59" s="655">
        <f t="shared" si="5"/>
        <v>1865.95</v>
      </c>
      <c r="T59" s="655"/>
      <c r="U59" s="671">
        <f t="shared" si="6"/>
        <v>30676.17</v>
      </c>
      <c r="V59" s="671">
        <f t="shared" si="7"/>
        <v>22391.37</v>
      </c>
      <c r="W59" s="671">
        <f t="shared" si="8"/>
        <v>8284.7999999999993</v>
      </c>
      <c r="X59" s="671">
        <f t="shared" si="9"/>
        <v>30676.17</v>
      </c>
      <c r="Y59" s="691">
        <f t="shared" si="10"/>
        <v>7463.79</v>
      </c>
      <c r="Z59" s="691">
        <v>1</v>
      </c>
      <c r="AA59" s="671">
        <f t="shared" si="11"/>
        <v>22391.37</v>
      </c>
      <c r="AB59" s="671">
        <f t="shared" si="12"/>
        <v>8284.7999999999993</v>
      </c>
      <c r="AC59" s="671">
        <f t="shared" si="13"/>
        <v>31903.21</v>
      </c>
      <c r="AD59" s="689">
        <f t="shared" si="14"/>
        <v>7762.34</v>
      </c>
      <c r="AE59" s="691">
        <f t="shared" si="36"/>
        <v>1.04</v>
      </c>
      <c r="AF59" s="671">
        <f t="shared" si="15"/>
        <v>23287.02</v>
      </c>
      <c r="AG59" s="692">
        <f t="shared" si="16"/>
        <v>8616.19</v>
      </c>
      <c r="AH59" s="671">
        <f t="shared" si="17"/>
        <v>32413.66</v>
      </c>
      <c r="AI59" s="691">
        <f t="shared" si="18"/>
        <v>7886.54</v>
      </c>
      <c r="AJ59" s="691">
        <f t="shared" si="37"/>
        <v>1.016</v>
      </c>
      <c r="AK59" s="671">
        <f t="shared" si="19"/>
        <v>23659.61</v>
      </c>
      <c r="AL59" s="671">
        <f t="shared" si="20"/>
        <v>8754.0499999999993</v>
      </c>
      <c r="AM59" s="704">
        <v>0.04</v>
      </c>
      <c r="AN59" s="705">
        <f t="shared" si="41"/>
        <v>0.04</v>
      </c>
      <c r="AO59" s="691">
        <f t="shared" si="21"/>
        <v>1227.05</v>
      </c>
      <c r="AP59" s="691">
        <f t="shared" si="22"/>
        <v>1227.05</v>
      </c>
      <c r="AQ59" s="691">
        <f t="shared" si="23"/>
        <v>1276.1300000000001</v>
      </c>
      <c r="AR59" s="691">
        <f t="shared" si="24"/>
        <v>1296.55</v>
      </c>
      <c r="AS59" s="671">
        <f t="shared" si="25"/>
        <v>29449.119999999999</v>
      </c>
      <c r="AT59" s="671">
        <f t="shared" si="26"/>
        <v>29449.119999999999</v>
      </c>
      <c r="AU59" s="671">
        <f t="shared" si="27"/>
        <v>30627.079999999998</v>
      </c>
      <c r="AV59" s="671">
        <f t="shared" si="28"/>
        <v>31117.11</v>
      </c>
      <c r="AW59" s="695">
        <f t="shared" si="38"/>
        <v>6582</v>
      </c>
      <c r="AX59" s="696">
        <f t="shared" si="29"/>
        <v>6582</v>
      </c>
      <c r="AY59" s="696">
        <f t="shared" si="30"/>
        <v>6845.28</v>
      </c>
      <c r="AZ59" s="697">
        <f t="shared" si="31"/>
        <v>6954.8</v>
      </c>
      <c r="BA59" s="832"/>
      <c r="BB59" s="663">
        <f t="shared" si="43"/>
        <v>93767.039999999994</v>
      </c>
      <c r="BC59" s="694">
        <f t="shared" si="33"/>
        <v>91729.37</v>
      </c>
      <c r="BD59" s="694">
        <f t="shared" si="34"/>
        <v>33939.839999999997</v>
      </c>
      <c r="BE59" s="663">
        <f t="shared" si="42"/>
        <v>7813.9199999999992</v>
      </c>
      <c r="BF59" s="706"/>
      <c r="BG59" s="699">
        <v>8.4099999999999994E-2</v>
      </c>
      <c r="BH59" s="700">
        <v>0.22</v>
      </c>
    </row>
    <row r="60" spans="1:60" s="388" customFormat="1" ht="21" hidden="1" customHeight="1">
      <c r="A60" s="655" t="s">
        <v>937</v>
      </c>
      <c r="B60" s="655" t="s">
        <v>754</v>
      </c>
      <c r="C60" s="655" t="s">
        <v>755</v>
      </c>
      <c r="D60" s="702">
        <v>8322</v>
      </c>
      <c r="E60" s="702">
        <v>1</v>
      </c>
      <c r="F60" s="702" t="s">
        <v>938</v>
      </c>
      <c r="G60" s="702">
        <v>1</v>
      </c>
      <c r="H60" s="702">
        <v>3</v>
      </c>
      <c r="I60" s="702"/>
      <c r="J60" s="703">
        <v>44.94</v>
      </c>
      <c r="K60" s="703">
        <f>K59/J59*J60</f>
        <v>7464.0329115407148</v>
      </c>
      <c r="L60" s="687">
        <f t="shared" si="2"/>
        <v>7463.79</v>
      </c>
      <c r="M60" s="702">
        <v>12</v>
      </c>
      <c r="N60" s="688">
        <f t="shared" si="39"/>
        <v>895.65</v>
      </c>
      <c r="O60" s="702">
        <v>25</v>
      </c>
      <c r="P60" s="687">
        <f t="shared" si="35"/>
        <v>1865.95</v>
      </c>
      <c r="Q60" s="689">
        <f t="shared" si="3"/>
        <v>10225.39</v>
      </c>
      <c r="R60" s="686">
        <f t="shared" si="4"/>
        <v>10225.39</v>
      </c>
      <c r="S60" s="655">
        <f>P60*G60</f>
        <v>1865.95</v>
      </c>
      <c r="T60" s="655"/>
      <c r="U60" s="671">
        <f t="shared" si="6"/>
        <v>30676.17</v>
      </c>
      <c r="V60" s="671">
        <f t="shared" si="7"/>
        <v>22391.37</v>
      </c>
      <c r="W60" s="671">
        <f t="shared" si="8"/>
        <v>8284.7999999999993</v>
      </c>
      <c r="X60" s="671">
        <f t="shared" si="9"/>
        <v>30676.17</v>
      </c>
      <c r="Y60" s="691">
        <f t="shared" si="10"/>
        <v>7463.79</v>
      </c>
      <c r="Z60" s="691">
        <v>1</v>
      </c>
      <c r="AA60" s="671">
        <f t="shared" si="11"/>
        <v>22391.37</v>
      </c>
      <c r="AB60" s="671">
        <f t="shared" si="12"/>
        <v>8284.7999999999993</v>
      </c>
      <c r="AC60" s="671">
        <f t="shared" si="13"/>
        <v>31903.21</v>
      </c>
      <c r="AD60" s="689">
        <f t="shared" si="14"/>
        <v>7762.34</v>
      </c>
      <c r="AE60" s="691">
        <f t="shared" si="36"/>
        <v>1.04</v>
      </c>
      <c r="AF60" s="671">
        <f t="shared" si="15"/>
        <v>23287.02</v>
      </c>
      <c r="AG60" s="692">
        <f t="shared" si="16"/>
        <v>8616.19</v>
      </c>
      <c r="AH60" s="671">
        <f t="shared" si="17"/>
        <v>32413.66</v>
      </c>
      <c r="AI60" s="691">
        <f t="shared" si="18"/>
        <v>7886.54</v>
      </c>
      <c r="AJ60" s="691">
        <f t="shared" si="37"/>
        <v>1.016</v>
      </c>
      <c r="AK60" s="671">
        <f t="shared" si="19"/>
        <v>23659.61</v>
      </c>
      <c r="AL60" s="671">
        <f t="shared" si="20"/>
        <v>8754.0499999999993</v>
      </c>
      <c r="AM60" s="704">
        <v>0.04</v>
      </c>
      <c r="AN60" s="705">
        <f t="shared" si="41"/>
        <v>0.04</v>
      </c>
      <c r="AO60" s="691">
        <f t="shared" si="21"/>
        <v>1227.05</v>
      </c>
      <c r="AP60" s="691">
        <f t="shared" si="22"/>
        <v>1227.05</v>
      </c>
      <c r="AQ60" s="691">
        <f t="shared" si="23"/>
        <v>1276.1300000000001</v>
      </c>
      <c r="AR60" s="691">
        <f t="shared" si="24"/>
        <v>1296.55</v>
      </c>
      <c r="AS60" s="671">
        <f t="shared" si="25"/>
        <v>29449.119999999999</v>
      </c>
      <c r="AT60" s="671">
        <f t="shared" si="26"/>
        <v>29449.119999999999</v>
      </c>
      <c r="AU60" s="671">
        <f t="shared" si="27"/>
        <v>30627.079999999998</v>
      </c>
      <c r="AV60" s="671">
        <f t="shared" si="28"/>
        <v>31117.11</v>
      </c>
      <c r="AW60" s="695">
        <f t="shared" si="38"/>
        <v>6582</v>
      </c>
      <c r="AX60" s="696">
        <f t="shared" si="29"/>
        <v>6582</v>
      </c>
      <c r="AY60" s="696">
        <f t="shared" si="30"/>
        <v>6845.28</v>
      </c>
      <c r="AZ60" s="697">
        <f t="shared" si="31"/>
        <v>6954.8</v>
      </c>
      <c r="BA60" s="832"/>
      <c r="BB60" s="663">
        <f t="shared" si="43"/>
        <v>93767.039999999994</v>
      </c>
      <c r="BC60" s="694">
        <f t="shared" si="33"/>
        <v>91729.37</v>
      </c>
      <c r="BD60" s="694">
        <f t="shared" si="34"/>
        <v>33939.839999999997</v>
      </c>
      <c r="BE60" s="663">
        <f t="shared" si="42"/>
        <v>7813.9199999999992</v>
      </c>
      <c r="BF60" s="706"/>
      <c r="BG60" s="699">
        <v>8.4099999999999994E-2</v>
      </c>
      <c r="BH60" s="700">
        <v>0.22</v>
      </c>
    </row>
    <row r="61" spans="1:60" s="388" customFormat="1" ht="21" hidden="1" customHeight="1">
      <c r="A61" s="655" t="s">
        <v>939</v>
      </c>
      <c r="B61" s="655" t="s">
        <v>754</v>
      </c>
      <c r="C61" s="655" t="s">
        <v>755</v>
      </c>
      <c r="D61" s="702">
        <v>8322</v>
      </c>
      <c r="E61" s="702">
        <v>1</v>
      </c>
      <c r="F61" s="702" t="s">
        <v>940</v>
      </c>
      <c r="G61" s="702">
        <v>1</v>
      </c>
      <c r="H61" s="702">
        <v>3</v>
      </c>
      <c r="I61" s="702"/>
      <c r="J61" s="703">
        <v>35.630000000000003</v>
      </c>
      <c r="K61" s="703">
        <f>K60/J60*J61</f>
        <v>5917.7457195860188</v>
      </c>
      <c r="L61" s="687">
        <f t="shared" si="2"/>
        <v>5917.55</v>
      </c>
      <c r="M61" s="702">
        <v>12</v>
      </c>
      <c r="N61" s="688">
        <f t="shared" si="39"/>
        <v>710.11</v>
      </c>
      <c r="O61" s="702">
        <v>25</v>
      </c>
      <c r="P61" s="687">
        <f t="shared" si="35"/>
        <v>1479.39</v>
      </c>
      <c r="Q61" s="689">
        <f t="shared" si="3"/>
        <v>8107.05</v>
      </c>
      <c r="R61" s="686">
        <f t="shared" si="4"/>
        <v>8107.05</v>
      </c>
      <c r="S61" s="655">
        <f>P61*G61</f>
        <v>1479.39</v>
      </c>
      <c r="T61" s="655"/>
      <c r="U61" s="671">
        <f t="shared" si="6"/>
        <v>24321.15</v>
      </c>
      <c r="V61" s="671">
        <f t="shared" si="7"/>
        <v>17752.650000000001</v>
      </c>
      <c r="W61" s="671">
        <f t="shared" si="8"/>
        <v>6568.5</v>
      </c>
      <c r="X61" s="671">
        <f t="shared" si="9"/>
        <v>24321.15</v>
      </c>
      <c r="Y61" s="691">
        <f t="shared" si="10"/>
        <v>5917.55</v>
      </c>
      <c r="Z61" s="691">
        <v>1</v>
      </c>
      <c r="AA61" s="671">
        <f t="shared" si="11"/>
        <v>17752.650000000001</v>
      </c>
      <c r="AB61" s="671">
        <f t="shared" si="12"/>
        <v>6568.5</v>
      </c>
      <c r="AC61" s="671">
        <f t="shared" si="13"/>
        <v>25294</v>
      </c>
      <c r="AD61" s="689">
        <f t="shared" si="14"/>
        <v>6154.25</v>
      </c>
      <c r="AE61" s="691">
        <f t="shared" si="36"/>
        <v>1.04</v>
      </c>
      <c r="AF61" s="671">
        <f t="shared" si="15"/>
        <v>18462.759999999998</v>
      </c>
      <c r="AG61" s="692">
        <f t="shared" si="16"/>
        <v>6831.24</v>
      </c>
      <c r="AH61" s="671">
        <f t="shared" si="17"/>
        <v>25698.7</v>
      </c>
      <c r="AI61" s="691">
        <f t="shared" si="18"/>
        <v>6252.72</v>
      </c>
      <c r="AJ61" s="691">
        <f t="shared" si="37"/>
        <v>1.016</v>
      </c>
      <c r="AK61" s="671">
        <f t="shared" si="19"/>
        <v>18758.16</v>
      </c>
      <c r="AL61" s="671">
        <f t="shared" si="20"/>
        <v>6940.54</v>
      </c>
      <c r="AM61" s="704">
        <v>0.04</v>
      </c>
      <c r="AN61" s="705">
        <f t="shared" si="41"/>
        <v>0.04</v>
      </c>
      <c r="AO61" s="691">
        <f t="shared" si="21"/>
        <v>972.85</v>
      </c>
      <c r="AP61" s="691">
        <f t="shared" si="22"/>
        <v>972.85</v>
      </c>
      <c r="AQ61" s="691">
        <f t="shared" si="23"/>
        <v>1011.76</v>
      </c>
      <c r="AR61" s="691">
        <f t="shared" si="24"/>
        <v>1027.95</v>
      </c>
      <c r="AS61" s="671">
        <f t="shared" si="25"/>
        <v>23348.300000000003</v>
      </c>
      <c r="AT61" s="671">
        <f t="shared" si="26"/>
        <v>23348.300000000003</v>
      </c>
      <c r="AU61" s="671">
        <f t="shared" si="27"/>
        <v>24282.240000000002</v>
      </c>
      <c r="AV61" s="671">
        <f t="shared" si="28"/>
        <v>24670.75</v>
      </c>
      <c r="AW61" s="695">
        <f t="shared" si="38"/>
        <v>5218.4399999999996</v>
      </c>
      <c r="AX61" s="696">
        <f t="shared" si="29"/>
        <v>5218.4399999999996</v>
      </c>
      <c r="AY61" s="696">
        <f t="shared" si="30"/>
        <v>5427.18</v>
      </c>
      <c r="AZ61" s="697">
        <f t="shared" si="31"/>
        <v>5514.02</v>
      </c>
      <c r="BA61" s="832"/>
      <c r="BB61" s="663">
        <f t="shared" si="43"/>
        <v>74342.040000000008</v>
      </c>
      <c r="BC61" s="694">
        <f t="shared" si="33"/>
        <v>72726.22</v>
      </c>
      <c r="BD61" s="694">
        <f t="shared" si="34"/>
        <v>26908.78</v>
      </c>
      <c r="BE61" s="663">
        <f t="shared" si="42"/>
        <v>6195.170000000001</v>
      </c>
      <c r="BF61" s="706"/>
      <c r="BG61" s="699">
        <v>8.4099999999999994E-2</v>
      </c>
      <c r="BH61" s="700">
        <v>0.22</v>
      </c>
    </row>
    <row r="62" spans="1:60" s="388" customFormat="1" ht="21" hidden="1" customHeight="1">
      <c r="A62" s="655" t="s">
        <v>941</v>
      </c>
      <c r="B62" s="655" t="s">
        <v>754</v>
      </c>
      <c r="C62" s="655" t="s">
        <v>755</v>
      </c>
      <c r="D62" s="702">
        <v>8322</v>
      </c>
      <c r="E62" s="702">
        <v>1</v>
      </c>
      <c r="F62" s="702">
        <v>2.0499999999999998</v>
      </c>
      <c r="G62" s="702">
        <v>1</v>
      </c>
      <c r="H62" s="702">
        <v>3</v>
      </c>
      <c r="I62" s="702"/>
      <c r="J62" s="703">
        <v>31.98</v>
      </c>
      <c r="K62" s="703">
        <f t="shared" ref="K62:K69" si="44">K61/J61*J62</f>
        <v>5311.5214176918571</v>
      </c>
      <c r="L62" s="687">
        <f t="shared" si="2"/>
        <v>5311.35</v>
      </c>
      <c r="M62" s="702">
        <v>12</v>
      </c>
      <c r="N62" s="688">
        <f t="shared" si="39"/>
        <v>637.36</v>
      </c>
      <c r="O62" s="702">
        <v>25</v>
      </c>
      <c r="P62" s="687">
        <f t="shared" si="35"/>
        <v>1327.84</v>
      </c>
      <c r="Q62" s="689">
        <f t="shared" si="3"/>
        <v>7276.55</v>
      </c>
      <c r="R62" s="686">
        <f t="shared" si="4"/>
        <v>7276.55</v>
      </c>
      <c r="S62" s="655">
        <f>P62*G62</f>
        <v>1327.84</v>
      </c>
      <c r="T62" s="655"/>
      <c r="U62" s="671">
        <f t="shared" si="6"/>
        <v>21829.65</v>
      </c>
      <c r="V62" s="671">
        <f t="shared" si="7"/>
        <v>15934.05</v>
      </c>
      <c r="W62" s="671">
        <f t="shared" si="8"/>
        <v>5895.6</v>
      </c>
      <c r="X62" s="671">
        <f t="shared" si="9"/>
        <v>21829.65</v>
      </c>
      <c r="Y62" s="691">
        <f t="shared" si="10"/>
        <v>5311.35</v>
      </c>
      <c r="Z62" s="691">
        <v>1</v>
      </c>
      <c r="AA62" s="671">
        <f t="shared" si="11"/>
        <v>15934.05</v>
      </c>
      <c r="AB62" s="671">
        <f t="shared" si="12"/>
        <v>5895.6</v>
      </c>
      <c r="AC62" s="671">
        <f t="shared" si="13"/>
        <v>22702.83</v>
      </c>
      <c r="AD62" s="689">
        <f t="shared" si="14"/>
        <v>5523.8</v>
      </c>
      <c r="AE62" s="691">
        <f t="shared" si="36"/>
        <v>1.04</v>
      </c>
      <c r="AF62" s="671">
        <f t="shared" si="15"/>
        <v>16571.41</v>
      </c>
      <c r="AG62" s="692">
        <f t="shared" si="16"/>
        <v>6131.42</v>
      </c>
      <c r="AH62" s="671">
        <f t="shared" si="17"/>
        <v>23066.07</v>
      </c>
      <c r="AI62" s="691">
        <f t="shared" si="18"/>
        <v>5612.18</v>
      </c>
      <c r="AJ62" s="691">
        <f t="shared" si="37"/>
        <v>1.016</v>
      </c>
      <c r="AK62" s="671">
        <f t="shared" si="19"/>
        <v>16836.55</v>
      </c>
      <c r="AL62" s="671">
        <f t="shared" si="20"/>
        <v>6229.52</v>
      </c>
      <c r="AM62" s="704">
        <v>0.04</v>
      </c>
      <c r="AN62" s="705">
        <f t="shared" si="41"/>
        <v>0.04</v>
      </c>
      <c r="AO62" s="691">
        <f t="shared" si="21"/>
        <v>873.19</v>
      </c>
      <c r="AP62" s="691">
        <f t="shared" si="22"/>
        <v>873.19</v>
      </c>
      <c r="AQ62" s="691">
        <f t="shared" si="23"/>
        <v>908.11</v>
      </c>
      <c r="AR62" s="691">
        <f t="shared" si="24"/>
        <v>922.64</v>
      </c>
      <c r="AS62" s="671">
        <f t="shared" si="25"/>
        <v>20956.460000000003</v>
      </c>
      <c r="AT62" s="671">
        <f t="shared" si="26"/>
        <v>20956.460000000003</v>
      </c>
      <c r="AU62" s="671">
        <f t="shared" si="27"/>
        <v>21794.720000000001</v>
      </c>
      <c r="AV62" s="671">
        <f t="shared" si="28"/>
        <v>22143.43</v>
      </c>
      <c r="AW62" s="695">
        <f t="shared" si="38"/>
        <v>4683.8599999999997</v>
      </c>
      <c r="AX62" s="696">
        <f t="shared" si="29"/>
        <v>4683.8599999999997</v>
      </c>
      <c r="AY62" s="696">
        <f t="shared" si="30"/>
        <v>4871.21</v>
      </c>
      <c r="AZ62" s="697">
        <f t="shared" si="31"/>
        <v>4949.1499999999996</v>
      </c>
      <c r="BA62" s="832"/>
      <c r="BB62" s="663">
        <f t="shared" si="43"/>
        <v>66726.41</v>
      </c>
      <c r="BC62" s="694">
        <f t="shared" si="33"/>
        <v>65276.06</v>
      </c>
      <c r="BD62" s="694">
        <f t="shared" si="34"/>
        <v>24152.14</v>
      </c>
      <c r="BE62" s="663">
        <f t="shared" si="42"/>
        <v>5560.5341666666673</v>
      </c>
      <c r="BF62" s="706"/>
      <c r="BG62" s="699">
        <v>8.4099999999999994E-2</v>
      </c>
      <c r="BH62" s="700">
        <v>0.22</v>
      </c>
    </row>
    <row r="63" spans="1:60" s="388" customFormat="1" ht="21" hidden="1" customHeight="1">
      <c r="A63" s="655" t="s">
        <v>942</v>
      </c>
      <c r="B63" s="655" t="s">
        <v>754</v>
      </c>
      <c r="C63" s="655" t="s">
        <v>755</v>
      </c>
      <c r="D63" s="702">
        <v>8322</v>
      </c>
      <c r="E63" s="702">
        <v>1</v>
      </c>
      <c r="F63" s="702" t="s">
        <v>943</v>
      </c>
      <c r="G63" s="702">
        <v>1</v>
      </c>
      <c r="H63" s="702">
        <v>3</v>
      </c>
      <c r="I63" s="702"/>
      <c r="J63" s="703">
        <v>39.270000000000003</v>
      </c>
      <c r="K63" s="703">
        <f t="shared" si="44"/>
        <v>6522.3091329818399</v>
      </c>
      <c r="L63" s="687">
        <f t="shared" si="2"/>
        <v>6522.09</v>
      </c>
      <c r="M63" s="702">
        <v>12</v>
      </c>
      <c r="N63" s="688">
        <f t="shared" si="39"/>
        <v>782.65</v>
      </c>
      <c r="O63" s="702">
        <v>25</v>
      </c>
      <c r="P63" s="687">
        <f t="shared" si="35"/>
        <v>1630.52</v>
      </c>
      <c r="Q63" s="689">
        <f t="shared" si="3"/>
        <v>8935.26</v>
      </c>
      <c r="R63" s="686">
        <f t="shared" si="4"/>
        <v>8935.26</v>
      </c>
      <c r="S63" s="655">
        <f t="shared" ref="S63:S69" si="45">P63*G63</f>
        <v>1630.52</v>
      </c>
      <c r="T63" s="655"/>
      <c r="U63" s="671">
        <f t="shared" si="6"/>
        <v>26805.78</v>
      </c>
      <c r="V63" s="671">
        <f t="shared" si="7"/>
        <v>19566.27</v>
      </c>
      <c r="W63" s="671">
        <f t="shared" si="8"/>
        <v>7239.51</v>
      </c>
      <c r="X63" s="671">
        <f t="shared" si="9"/>
        <v>26805.78</v>
      </c>
      <c r="Y63" s="691">
        <f t="shared" si="10"/>
        <v>6522.09</v>
      </c>
      <c r="Z63" s="691">
        <v>1</v>
      </c>
      <c r="AA63" s="671">
        <f t="shared" si="11"/>
        <v>19566.27</v>
      </c>
      <c r="AB63" s="671">
        <f t="shared" si="12"/>
        <v>7239.51</v>
      </c>
      <c r="AC63" s="671">
        <f t="shared" si="13"/>
        <v>27878.01</v>
      </c>
      <c r="AD63" s="689">
        <f t="shared" si="14"/>
        <v>6782.97</v>
      </c>
      <c r="AE63" s="691">
        <f t="shared" si="36"/>
        <v>1.04</v>
      </c>
      <c r="AF63" s="671">
        <f t="shared" si="15"/>
        <v>20348.919999999998</v>
      </c>
      <c r="AG63" s="692">
        <f t="shared" si="16"/>
        <v>7529.09</v>
      </c>
      <c r="AH63" s="671">
        <f t="shared" si="17"/>
        <v>28324.06</v>
      </c>
      <c r="AI63" s="691">
        <f t="shared" si="18"/>
        <v>6891.5</v>
      </c>
      <c r="AJ63" s="691">
        <f t="shared" si="37"/>
        <v>1.016</v>
      </c>
      <c r="AK63" s="671">
        <f t="shared" si="19"/>
        <v>20674.5</v>
      </c>
      <c r="AL63" s="671">
        <f t="shared" si="20"/>
        <v>7649.56</v>
      </c>
      <c r="AM63" s="704">
        <v>0.04</v>
      </c>
      <c r="AN63" s="705">
        <f t="shared" si="41"/>
        <v>0.04</v>
      </c>
      <c r="AO63" s="691">
        <f t="shared" si="21"/>
        <v>1072.23</v>
      </c>
      <c r="AP63" s="691">
        <f t="shared" si="22"/>
        <v>1072.23</v>
      </c>
      <c r="AQ63" s="691">
        <f t="shared" si="23"/>
        <v>1115.1199999999999</v>
      </c>
      <c r="AR63" s="691">
        <f t="shared" si="24"/>
        <v>1132.96</v>
      </c>
      <c r="AS63" s="671">
        <f t="shared" si="25"/>
        <v>25733.55</v>
      </c>
      <c r="AT63" s="671">
        <f t="shared" si="26"/>
        <v>25733.55</v>
      </c>
      <c r="AU63" s="671">
        <f t="shared" si="27"/>
        <v>26762.89</v>
      </c>
      <c r="AV63" s="671">
        <f t="shared" si="28"/>
        <v>27191.100000000002</v>
      </c>
      <c r="AW63" s="695">
        <f t="shared" si="38"/>
        <v>5751.56</v>
      </c>
      <c r="AX63" s="696">
        <f t="shared" si="29"/>
        <v>5751.56</v>
      </c>
      <c r="AY63" s="696">
        <f t="shared" si="30"/>
        <v>5981.62</v>
      </c>
      <c r="AZ63" s="697">
        <f t="shared" si="31"/>
        <v>6077.32</v>
      </c>
      <c r="BA63" s="832"/>
      <c r="BB63" s="663">
        <f t="shared" si="43"/>
        <v>81936.66</v>
      </c>
      <c r="BC63" s="694">
        <f t="shared" si="33"/>
        <v>80155.960000000006</v>
      </c>
      <c r="BD63" s="694">
        <f t="shared" si="34"/>
        <v>29657.67</v>
      </c>
      <c r="BE63" s="663">
        <f t="shared" si="42"/>
        <v>6828.0550000000003</v>
      </c>
      <c r="BF63" s="706"/>
      <c r="BG63" s="699">
        <v>8.4099999999999994E-2</v>
      </c>
      <c r="BH63" s="700">
        <v>0.22</v>
      </c>
    </row>
    <row r="64" spans="1:60" s="388" customFormat="1" ht="46.5" customHeight="1">
      <c r="A64" s="711" t="s">
        <v>782</v>
      </c>
      <c r="B64" s="655" t="s">
        <v>944</v>
      </c>
      <c r="C64" s="655" t="s">
        <v>755</v>
      </c>
      <c r="D64" s="702">
        <v>8322</v>
      </c>
      <c r="E64" s="702">
        <v>3</v>
      </c>
      <c r="F64" s="702" t="s">
        <v>945</v>
      </c>
      <c r="G64" s="702">
        <v>3</v>
      </c>
      <c r="H64" s="702">
        <v>3</v>
      </c>
      <c r="I64" s="702">
        <v>3</v>
      </c>
      <c r="J64" s="703">
        <v>33.200000000000003</v>
      </c>
      <c r="K64" s="703">
        <f t="shared" si="44"/>
        <v>5514.1498144893585</v>
      </c>
      <c r="L64" s="687">
        <f t="shared" si="2"/>
        <v>5513.97</v>
      </c>
      <c r="M64" s="702">
        <v>25</v>
      </c>
      <c r="N64" s="688">
        <f t="shared" si="39"/>
        <v>1378.49</v>
      </c>
      <c r="O64" s="702">
        <v>25</v>
      </c>
      <c r="P64" s="687">
        <f t="shared" si="35"/>
        <v>1378.49</v>
      </c>
      <c r="Q64" s="689">
        <f t="shared" si="3"/>
        <v>8270.9500000000007</v>
      </c>
      <c r="R64" s="686">
        <f t="shared" si="4"/>
        <v>24812.85</v>
      </c>
      <c r="S64" s="655">
        <f t="shared" si="45"/>
        <v>4135.47</v>
      </c>
      <c r="T64" s="655"/>
      <c r="U64" s="671">
        <f t="shared" si="6"/>
        <v>74438.55</v>
      </c>
      <c r="V64" s="671">
        <f t="shared" si="7"/>
        <v>49625.73</v>
      </c>
      <c r="W64" s="671">
        <f t="shared" si="8"/>
        <v>24812.82</v>
      </c>
      <c r="X64" s="671">
        <f t="shared" si="9"/>
        <v>74438.55</v>
      </c>
      <c r="Y64" s="691">
        <f t="shared" si="10"/>
        <v>5513.97</v>
      </c>
      <c r="Z64" s="691">
        <v>1</v>
      </c>
      <c r="AA64" s="671">
        <f t="shared" si="11"/>
        <v>49625.73</v>
      </c>
      <c r="AB64" s="671">
        <f t="shared" si="12"/>
        <v>24812.82</v>
      </c>
      <c r="AC64" s="671">
        <f t="shared" si="13"/>
        <v>77416.09</v>
      </c>
      <c r="AD64" s="689">
        <f t="shared" si="14"/>
        <v>5734.53</v>
      </c>
      <c r="AE64" s="691">
        <f t="shared" si="36"/>
        <v>1.04</v>
      </c>
      <c r="AF64" s="671">
        <f t="shared" si="15"/>
        <v>51610.76</v>
      </c>
      <c r="AG64" s="692">
        <f t="shared" si="16"/>
        <v>25805.33</v>
      </c>
      <c r="AH64" s="671">
        <f t="shared" si="17"/>
        <v>78654.75</v>
      </c>
      <c r="AI64" s="691">
        <f t="shared" si="18"/>
        <v>5826.28</v>
      </c>
      <c r="AJ64" s="691">
        <f t="shared" si="37"/>
        <v>1.016</v>
      </c>
      <c r="AK64" s="671">
        <f t="shared" si="19"/>
        <v>52436.53</v>
      </c>
      <c r="AL64" s="671">
        <f t="shared" si="20"/>
        <v>26218.22</v>
      </c>
      <c r="AM64" s="704">
        <v>0.04</v>
      </c>
      <c r="AN64" s="705">
        <f t="shared" si="41"/>
        <v>0.12</v>
      </c>
      <c r="AO64" s="691">
        <f t="shared" si="21"/>
        <v>2977.54</v>
      </c>
      <c r="AP64" s="691">
        <f t="shared" si="22"/>
        <v>2977.54</v>
      </c>
      <c r="AQ64" s="691">
        <f t="shared" si="23"/>
        <v>3096.64</v>
      </c>
      <c r="AR64" s="691">
        <f t="shared" si="24"/>
        <v>3146.19</v>
      </c>
      <c r="AS64" s="671">
        <f t="shared" si="25"/>
        <v>71461.010000000009</v>
      </c>
      <c r="AT64" s="671">
        <f t="shared" si="26"/>
        <v>71461.010000000009</v>
      </c>
      <c r="AU64" s="671">
        <f t="shared" si="27"/>
        <v>74319.45</v>
      </c>
      <c r="AV64" s="671">
        <f t="shared" si="28"/>
        <v>75508.56</v>
      </c>
      <c r="AW64" s="695">
        <f t="shared" si="38"/>
        <v>15971.83</v>
      </c>
      <c r="AX64" s="696">
        <f t="shared" si="29"/>
        <v>15971.83</v>
      </c>
      <c r="AY64" s="696">
        <f t="shared" si="30"/>
        <v>16610.71</v>
      </c>
      <c r="AZ64" s="697">
        <f t="shared" si="31"/>
        <v>16876.48</v>
      </c>
      <c r="BA64" s="832"/>
      <c r="BB64" s="663">
        <f t="shared" si="43"/>
        <v>227532.89</v>
      </c>
      <c r="BC64" s="694">
        <f t="shared" si="33"/>
        <v>203298.75</v>
      </c>
      <c r="BD64" s="694">
        <f t="shared" si="34"/>
        <v>101649.19</v>
      </c>
      <c r="BE64" s="663">
        <f t="shared" si="42"/>
        <v>6320.3580555555563</v>
      </c>
      <c r="BF64" s="706"/>
      <c r="BG64" s="699">
        <v>8.4099999999999994E-2</v>
      </c>
      <c r="BH64" s="700">
        <v>0.22</v>
      </c>
    </row>
    <row r="65" spans="1:60" s="388" customFormat="1" ht="21" customHeight="1">
      <c r="A65" s="711" t="s">
        <v>946</v>
      </c>
      <c r="B65" s="655" t="s">
        <v>754</v>
      </c>
      <c r="C65" s="655" t="s">
        <v>755</v>
      </c>
      <c r="D65" s="702">
        <v>8322</v>
      </c>
      <c r="E65" s="702">
        <v>1</v>
      </c>
      <c r="F65" s="702" t="s">
        <v>947</v>
      </c>
      <c r="G65" s="702">
        <v>1</v>
      </c>
      <c r="H65" s="702">
        <v>3</v>
      </c>
      <c r="I65" s="702">
        <v>1</v>
      </c>
      <c r="J65" s="703">
        <v>35.630000000000003</v>
      </c>
      <c r="K65" s="703">
        <f t="shared" si="44"/>
        <v>5917.7457195860188</v>
      </c>
      <c r="L65" s="687">
        <f t="shared" si="2"/>
        <v>5917.55</v>
      </c>
      <c r="M65" s="702">
        <v>25</v>
      </c>
      <c r="N65" s="688">
        <f t="shared" si="39"/>
        <v>1479.39</v>
      </c>
      <c r="O65" s="702">
        <v>25</v>
      </c>
      <c r="P65" s="687">
        <f t="shared" si="35"/>
        <v>1479.39</v>
      </c>
      <c r="Q65" s="689">
        <f t="shared" si="3"/>
        <v>8876.33</v>
      </c>
      <c r="R65" s="686">
        <f t="shared" si="4"/>
        <v>8876.33</v>
      </c>
      <c r="S65" s="655">
        <f t="shared" si="45"/>
        <v>1479.39</v>
      </c>
      <c r="T65" s="655"/>
      <c r="U65" s="671">
        <f t="shared" si="6"/>
        <v>26628.99</v>
      </c>
      <c r="V65" s="671">
        <f t="shared" si="7"/>
        <v>17752.650000000001</v>
      </c>
      <c r="W65" s="671">
        <f t="shared" si="8"/>
        <v>8876.34</v>
      </c>
      <c r="X65" s="671">
        <f t="shared" si="9"/>
        <v>26628.99</v>
      </c>
      <c r="Y65" s="691">
        <f t="shared" si="10"/>
        <v>5917.55</v>
      </c>
      <c r="Z65" s="691">
        <v>1</v>
      </c>
      <c r="AA65" s="671">
        <f t="shared" si="11"/>
        <v>17752.650000000001</v>
      </c>
      <c r="AB65" s="671">
        <f t="shared" si="12"/>
        <v>8876.34</v>
      </c>
      <c r="AC65" s="671">
        <f t="shared" si="13"/>
        <v>27694.15</v>
      </c>
      <c r="AD65" s="689">
        <f t="shared" si="14"/>
        <v>6154.25</v>
      </c>
      <c r="AE65" s="691">
        <f t="shared" si="36"/>
        <v>1.04</v>
      </c>
      <c r="AF65" s="671">
        <f t="shared" si="15"/>
        <v>18462.759999999998</v>
      </c>
      <c r="AG65" s="692">
        <f t="shared" si="16"/>
        <v>9231.39</v>
      </c>
      <c r="AH65" s="671">
        <f t="shared" si="17"/>
        <v>28137.25</v>
      </c>
      <c r="AI65" s="691">
        <f t="shared" si="18"/>
        <v>6252.72</v>
      </c>
      <c r="AJ65" s="691">
        <f t="shared" si="37"/>
        <v>1.016</v>
      </c>
      <c r="AK65" s="671">
        <f t="shared" si="19"/>
        <v>18758.16</v>
      </c>
      <c r="AL65" s="671">
        <f t="shared" si="20"/>
        <v>9379.09</v>
      </c>
      <c r="AM65" s="704">
        <v>0.04</v>
      </c>
      <c r="AN65" s="705">
        <f t="shared" si="41"/>
        <v>0.04</v>
      </c>
      <c r="AO65" s="691">
        <f t="shared" si="21"/>
        <v>1065.1600000000001</v>
      </c>
      <c r="AP65" s="691">
        <f t="shared" si="22"/>
        <v>1065.1600000000001</v>
      </c>
      <c r="AQ65" s="691">
        <f t="shared" si="23"/>
        <v>1107.77</v>
      </c>
      <c r="AR65" s="691">
        <f t="shared" si="24"/>
        <v>1125.49</v>
      </c>
      <c r="AS65" s="671">
        <f t="shared" si="25"/>
        <v>25563.83</v>
      </c>
      <c r="AT65" s="671">
        <f t="shared" si="26"/>
        <v>25563.83</v>
      </c>
      <c r="AU65" s="671">
        <f t="shared" si="27"/>
        <v>26586.38</v>
      </c>
      <c r="AV65" s="671">
        <f t="shared" si="28"/>
        <v>27011.759999999998</v>
      </c>
      <c r="AW65" s="695">
        <f t="shared" si="38"/>
        <v>5713.62</v>
      </c>
      <c r="AX65" s="696">
        <f t="shared" si="29"/>
        <v>5713.62</v>
      </c>
      <c r="AY65" s="696">
        <f t="shared" si="30"/>
        <v>5942.17</v>
      </c>
      <c r="AZ65" s="697">
        <f t="shared" si="31"/>
        <v>6037.24</v>
      </c>
      <c r="BA65" s="832"/>
      <c r="BB65" s="663">
        <f t="shared" si="43"/>
        <v>81396.27</v>
      </c>
      <c r="BC65" s="694">
        <f t="shared" si="33"/>
        <v>72726.22</v>
      </c>
      <c r="BD65" s="694">
        <f t="shared" si="34"/>
        <v>36363.160000000003</v>
      </c>
      <c r="BE65" s="663">
        <f t="shared" si="42"/>
        <v>6783.0225</v>
      </c>
      <c r="BF65" s="706"/>
      <c r="BG65" s="699">
        <v>8.4099999999999994E-2</v>
      </c>
      <c r="BH65" s="700">
        <v>0.22</v>
      </c>
    </row>
    <row r="66" spans="1:60" s="388" customFormat="1" ht="40.5" customHeight="1">
      <c r="A66" s="711" t="s">
        <v>948</v>
      </c>
      <c r="B66" s="655" t="s">
        <v>944</v>
      </c>
      <c r="C66" s="655" t="s">
        <v>755</v>
      </c>
      <c r="D66" s="702">
        <v>8322</v>
      </c>
      <c r="E66" s="702">
        <v>3</v>
      </c>
      <c r="F66" s="702" t="s">
        <v>949</v>
      </c>
      <c r="G66" s="702">
        <v>3</v>
      </c>
      <c r="H66" s="702">
        <v>3</v>
      </c>
      <c r="I66" s="702">
        <v>3</v>
      </c>
      <c r="J66" s="703">
        <v>33.200000000000003</v>
      </c>
      <c r="K66" s="703">
        <f t="shared" si="44"/>
        <v>5514.1498144893585</v>
      </c>
      <c r="L66" s="687">
        <f t="shared" si="2"/>
        <v>5513.97</v>
      </c>
      <c r="M66" s="702">
        <v>25</v>
      </c>
      <c r="N66" s="688">
        <f t="shared" si="39"/>
        <v>1378.49</v>
      </c>
      <c r="O66" s="702">
        <v>25</v>
      </c>
      <c r="P66" s="687">
        <f t="shared" si="35"/>
        <v>1378.49</v>
      </c>
      <c r="Q66" s="689">
        <f t="shared" si="3"/>
        <v>8270.9500000000007</v>
      </c>
      <c r="R66" s="686">
        <f t="shared" si="4"/>
        <v>24812.85</v>
      </c>
      <c r="S66" s="655">
        <f t="shared" si="45"/>
        <v>4135.47</v>
      </c>
      <c r="T66" s="655"/>
      <c r="U66" s="671">
        <f t="shared" si="6"/>
        <v>74438.55</v>
      </c>
      <c r="V66" s="671">
        <f t="shared" si="7"/>
        <v>49625.73</v>
      </c>
      <c r="W66" s="671">
        <f t="shared" si="8"/>
        <v>24812.82</v>
      </c>
      <c r="X66" s="671">
        <f t="shared" si="9"/>
        <v>74438.55</v>
      </c>
      <c r="Y66" s="691">
        <f t="shared" si="10"/>
        <v>5513.97</v>
      </c>
      <c r="Z66" s="691">
        <v>1</v>
      </c>
      <c r="AA66" s="671">
        <f t="shared" si="11"/>
        <v>49625.73</v>
      </c>
      <c r="AB66" s="671">
        <f t="shared" si="12"/>
        <v>24812.82</v>
      </c>
      <c r="AC66" s="671">
        <f t="shared" si="13"/>
        <v>77416.09</v>
      </c>
      <c r="AD66" s="689">
        <f t="shared" si="14"/>
        <v>5734.53</v>
      </c>
      <c r="AE66" s="691">
        <f t="shared" si="36"/>
        <v>1.04</v>
      </c>
      <c r="AF66" s="671">
        <f t="shared" si="15"/>
        <v>51610.76</v>
      </c>
      <c r="AG66" s="692">
        <f t="shared" si="16"/>
        <v>25805.33</v>
      </c>
      <c r="AH66" s="671">
        <f t="shared" si="17"/>
        <v>78654.75</v>
      </c>
      <c r="AI66" s="691">
        <f t="shared" si="18"/>
        <v>5826.28</v>
      </c>
      <c r="AJ66" s="691">
        <f t="shared" si="37"/>
        <v>1.016</v>
      </c>
      <c r="AK66" s="671">
        <f t="shared" si="19"/>
        <v>52436.53</v>
      </c>
      <c r="AL66" s="671">
        <f t="shared" si="20"/>
        <v>26218.22</v>
      </c>
      <c r="AM66" s="704">
        <v>0.04</v>
      </c>
      <c r="AN66" s="705">
        <f t="shared" si="41"/>
        <v>0.12</v>
      </c>
      <c r="AO66" s="691">
        <f t="shared" si="21"/>
        <v>2977.54</v>
      </c>
      <c r="AP66" s="691">
        <f t="shared" si="22"/>
        <v>2977.54</v>
      </c>
      <c r="AQ66" s="691">
        <f t="shared" si="23"/>
        <v>3096.64</v>
      </c>
      <c r="AR66" s="691">
        <f t="shared" si="24"/>
        <v>3146.19</v>
      </c>
      <c r="AS66" s="671">
        <f t="shared" si="25"/>
        <v>71461.010000000009</v>
      </c>
      <c r="AT66" s="671">
        <f t="shared" si="26"/>
        <v>71461.010000000009</v>
      </c>
      <c r="AU66" s="671">
        <f t="shared" si="27"/>
        <v>74319.45</v>
      </c>
      <c r="AV66" s="671">
        <f t="shared" si="28"/>
        <v>75508.56</v>
      </c>
      <c r="AW66" s="695">
        <f t="shared" si="38"/>
        <v>15971.83</v>
      </c>
      <c r="AX66" s="696">
        <f t="shared" si="29"/>
        <v>15971.83</v>
      </c>
      <c r="AY66" s="696">
        <f t="shared" si="30"/>
        <v>16610.71</v>
      </c>
      <c r="AZ66" s="697">
        <f t="shared" si="31"/>
        <v>16876.48</v>
      </c>
      <c r="BA66" s="832"/>
      <c r="BB66" s="663">
        <f t="shared" si="43"/>
        <v>227532.89</v>
      </c>
      <c r="BC66" s="694">
        <f t="shared" si="33"/>
        <v>203298.75</v>
      </c>
      <c r="BD66" s="694">
        <f t="shared" si="34"/>
        <v>101649.19</v>
      </c>
      <c r="BE66" s="663">
        <f t="shared" si="42"/>
        <v>6320.3580555555563</v>
      </c>
      <c r="BF66" s="706"/>
      <c r="BG66" s="699">
        <v>8.4099999999999994E-2</v>
      </c>
      <c r="BH66" s="700">
        <v>0.22</v>
      </c>
    </row>
    <row r="67" spans="1:60" s="388" customFormat="1" ht="33" hidden="1" customHeight="1">
      <c r="A67" s="711" t="s">
        <v>950</v>
      </c>
      <c r="B67" s="655" t="s">
        <v>944</v>
      </c>
      <c r="C67" s="655" t="s">
        <v>755</v>
      </c>
      <c r="D67" s="702">
        <v>8322</v>
      </c>
      <c r="E67" s="702">
        <v>1</v>
      </c>
      <c r="F67" s="702" t="s">
        <v>951</v>
      </c>
      <c r="G67" s="702">
        <v>1</v>
      </c>
      <c r="H67" s="702">
        <v>3</v>
      </c>
      <c r="I67" s="702"/>
      <c r="J67" s="703">
        <v>33.200000000000003</v>
      </c>
      <c r="K67" s="703">
        <f t="shared" si="44"/>
        <v>5514.1498144893585</v>
      </c>
      <c r="L67" s="687">
        <f t="shared" si="2"/>
        <v>5513.97</v>
      </c>
      <c r="M67" s="702">
        <v>25</v>
      </c>
      <c r="N67" s="688">
        <f t="shared" si="39"/>
        <v>1378.49</v>
      </c>
      <c r="O67" s="702">
        <v>25</v>
      </c>
      <c r="P67" s="687">
        <f t="shared" si="35"/>
        <v>1378.49</v>
      </c>
      <c r="Q67" s="689">
        <f t="shared" si="3"/>
        <v>8270.9500000000007</v>
      </c>
      <c r="R67" s="686">
        <f t="shared" si="4"/>
        <v>8270.9500000000007</v>
      </c>
      <c r="S67" s="655">
        <f t="shared" si="45"/>
        <v>1378.49</v>
      </c>
      <c r="T67" s="655"/>
      <c r="U67" s="671">
        <f t="shared" si="6"/>
        <v>24812.85</v>
      </c>
      <c r="V67" s="671">
        <f t="shared" si="7"/>
        <v>16541.91</v>
      </c>
      <c r="W67" s="671">
        <f t="shared" si="8"/>
        <v>8270.94</v>
      </c>
      <c r="X67" s="671">
        <f t="shared" si="9"/>
        <v>24812.85</v>
      </c>
      <c r="Y67" s="691">
        <f t="shared" si="10"/>
        <v>5513.97</v>
      </c>
      <c r="Z67" s="691">
        <v>1</v>
      </c>
      <c r="AA67" s="671">
        <f t="shared" si="11"/>
        <v>16541.91</v>
      </c>
      <c r="AB67" s="671">
        <f t="shared" si="12"/>
        <v>8270.94</v>
      </c>
      <c r="AC67" s="671">
        <f t="shared" si="13"/>
        <v>25805.37</v>
      </c>
      <c r="AD67" s="689">
        <f t="shared" si="14"/>
        <v>5734.53</v>
      </c>
      <c r="AE67" s="691">
        <f t="shared" si="36"/>
        <v>1.04</v>
      </c>
      <c r="AF67" s="671">
        <f t="shared" si="15"/>
        <v>17203.59</v>
      </c>
      <c r="AG67" s="692">
        <f t="shared" si="16"/>
        <v>8601.7800000000007</v>
      </c>
      <c r="AH67" s="671">
        <f t="shared" si="17"/>
        <v>26218.26</v>
      </c>
      <c r="AI67" s="691">
        <f t="shared" si="18"/>
        <v>5826.28</v>
      </c>
      <c r="AJ67" s="691">
        <f t="shared" si="37"/>
        <v>1.016</v>
      </c>
      <c r="AK67" s="671">
        <f t="shared" si="19"/>
        <v>17478.849999999999</v>
      </c>
      <c r="AL67" s="671">
        <f t="shared" si="20"/>
        <v>8739.41</v>
      </c>
      <c r="AM67" s="704">
        <v>0.04</v>
      </c>
      <c r="AN67" s="705">
        <f t="shared" si="41"/>
        <v>0.04</v>
      </c>
      <c r="AO67" s="691">
        <f t="shared" si="21"/>
        <v>992.51</v>
      </c>
      <c r="AP67" s="691">
        <f t="shared" si="22"/>
        <v>992.51</v>
      </c>
      <c r="AQ67" s="691">
        <f t="shared" si="23"/>
        <v>1032.21</v>
      </c>
      <c r="AR67" s="691">
        <f t="shared" si="24"/>
        <v>1048.73</v>
      </c>
      <c r="AS67" s="671">
        <f t="shared" si="25"/>
        <v>23820.34</v>
      </c>
      <c r="AT67" s="671">
        <f t="shared" si="26"/>
        <v>23820.34</v>
      </c>
      <c r="AU67" s="671">
        <f t="shared" si="27"/>
        <v>24773.16</v>
      </c>
      <c r="AV67" s="671">
        <f t="shared" si="28"/>
        <v>25169.53</v>
      </c>
      <c r="AW67" s="695">
        <f t="shared" si="38"/>
        <v>5323.94</v>
      </c>
      <c r="AX67" s="696">
        <f t="shared" si="29"/>
        <v>5323.94</v>
      </c>
      <c r="AY67" s="696">
        <f t="shared" si="30"/>
        <v>5536.9</v>
      </c>
      <c r="AZ67" s="697">
        <f t="shared" si="31"/>
        <v>5625.49</v>
      </c>
      <c r="BA67" s="832"/>
      <c r="BB67" s="663">
        <f t="shared" si="43"/>
        <v>75845</v>
      </c>
      <c r="BC67" s="694">
        <f t="shared" si="33"/>
        <v>67766.259999999995</v>
      </c>
      <c r="BD67" s="694">
        <f t="shared" si="34"/>
        <v>33883.07</v>
      </c>
      <c r="BE67" s="663">
        <f t="shared" si="42"/>
        <v>6320.416666666667</v>
      </c>
      <c r="BF67" s="706"/>
      <c r="BG67" s="699">
        <v>8.4099999999999994E-2</v>
      </c>
      <c r="BH67" s="700">
        <v>0.22</v>
      </c>
    </row>
    <row r="68" spans="1:60" s="392" customFormat="1" ht="31.5" customHeight="1">
      <c r="A68" s="714" t="s">
        <v>952</v>
      </c>
      <c r="B68" s="713" t="s">
        <v>944</v>
      </c>
      <c r="C68" s="713" t="s">
        <v>755</v>
      </c>
      <c r="D68" s="715">
        <v>8322</v>
      </c>
      <c r="E68" s="715">
        <v>1</v>
      </c>
      <c r="F68" s="715" t="s">
        <v>953</v>
      </c>
      <c r="G68" s="715">
        <v>1</v>
      </c>
      <c r="H68" s="715">
        <v>3</v>
      </c>
      <c r="I68" s="715">
        <v>1</v>
      </c>
      <c r="J68" s="716">
        <v>34.409999999999997</v>
      </c>
      <c r="K68" s="716">
        <f t="shared" si="44"/>
        <v>5715.1173227885174</v>
      </c>
      <c r="L68" s="687">
        <f t="shared" si="2"/>
        <v>5714.93</v>
      </c>
      <c r="M68" s="715">
        <v>25</v>
      </c>
      <c r="N68" s="688">
        <f t="shared" si="39"/>
        <v>1428.73</v>
      </c>
      <c r="O68" s="715">
        <v>25</v>
      </c>
      <c r="P68" s="687">
        <f t="shared" si="35"/>
        <v>1428.73</v>
      </c>
      <c r="Q68" s="689">
        <f t="shared" si="3"/>
        <v>8572.39</v>
      </c>
      <c r="R68" s="686">
        <f t="shared" si="4"/>
        <v>8572.39</v>
      </c>
      <c r="S68" s="713">
        <f t="shared" si="45"/>
        <v>1428.73</v>
      </c>
      <c r="T68" s="713"/>
      <c r="U68" s="671">
        <f t="shared" si="6"/>
        <v>25717.17</v>
      </c>
      <c r="V68" s="671">
        <f t="shared" si="7"/>
        <v>17144.79</v>
      </c>
      <c r="W68" s="671">
        <f t="shared" si="8"/>
        <v>8572.3799999999992</v>
      </c>
      <c r="X68" s="671">
        <f t="shared" si="9"/>
        <v>25717.17</v>
      </c>
      <c r="Y68" s="691">
        <f t="shared" si="10"/>
        <v>5714.93</v>
      </c>
      <c r="Z68" s="691">
        <v>1</v>
      </c>
      <c r="AA68" s="671">
        <f t="shared" si="11"/>
        <v>17144.79</v>
      </c>
      <c r="AB68" s="671">
        <f t="shared" si="12"/>
        <v>8572.3799999999992</v>
      </c>
      <c r="AC68" s="671">
        <f t="shared" si="13"/>
        <v>26745.86</v>
      </c>
      <c r="AD68" s="689">
        <f t="shared" si="14"/>
        <v>5943.53</v>
      </c>
      <c r="AE68" s="691">
        <f t="shared" si="36"/>
        <v>1.04</v>
      </c>
      <c r="AF68" s="671">
        <f t="shared" si="15"/>
        <v>17830.580000000002</v>
      </c>
      <c r="AG68" s="692">
        <f t="shared" si="16"/>
        <v>8915.2800000000007</v>
      </c>
      <c r="AH68" s="671">
        <f t="shared" si="17"/>
        <v>27173.79</v>
      </c>
      <c r="AI68" s="691">
        <f t="shared" si="18"/>
        <v>6038.63</v>
      </c>
      <c r="AJ68" s="691">
        <f t="shared" si="37"/>
        <v>1.016</v>
      </c>
      <c r="AK68" s="671">
        <f t="shared" si="19"/>
        <v>18115.87</v>
      </c>
      <c r="AL68" s="671">
        <f t="shared" si="20"/>
        <v>9057.92</v>
      </c>
      <c r="AM68" s="704">
        <v>0.04</v>
      </c>
      <c r="AN68" s="705">
        <f t="shared" ref="AN68:AN99" si="46">G68*AM68</f>
        <v>0.04</v>
      </c>
      <c r="AO68" s="691">
        <f t="shared" si="21"/>
        <v>1028.69</v>
      </c>
      <c r="AP68" s="691">
        <f t="shared" si="22"/>
        <v>1028.69</v>
      </c>
      <c r="AQ68" s="691">
        <f t="shared" si="23"/>
        <v>1069.83</v>
      </c>
      <c r="AR68" s="691">
        <f t="shared" si="24"/>
        <v>1086.95</v>
      </c>
      <c r="AS68" s="671">
        <f t="shared" si="25"/>
        <v>24688.48</v>
      </c>
      <c r="AT68" s="671">
        <f t="shared" si="26"/>
        <v>24688.48</v>
      </c>
      <c r="AU68" s="671">
        <f t="shared" si="27"/>
        <v>25676.03</v>
      </c>
      <c r="AV68" s="671">
        <f t="shared" si="28"/>
        <v>26086.84</v>
      </c>
      <c r="AW68" s="695">
        <f t="shared" si="38"/>
        <v>5517.98</v>
      </c>
      <c r="AX68" s="696">
        <f t="shared" si="29"/>
        <v>5517.98</v>
      </c>
      <c r="AY68" s="696">
        <f t="shared" si="30"/>
        <v>5738.7</v>
      </c>
      <c r="AZ68" s="697">
        <f t="shared" si="31"/>
        <v>5830.52</v>
      </c>
      <c r="BA68" s="832"/>
      <c r="BB68" s="663">
        <f t="shared" si="43"/>
        <v>78609.17</v>
      </c>
      <c r="BC68" s="694">
        <f t="shared" si="33"/>
        <v>70236.03</v>
      </c>
      <c r="BD68" s="694">
        <f t="shared" si="34"/>
        <v>35117.96</v>
      </c>
      <c r="BE68" s="663">
        <f t="shared" ref="BE68:BE99" si="47">BB68/12/G68</f>
        <v>6550.7641666666668</v>
      </c>
      <c r="BF68" s="720"/>
      <c r="BG68" s="699">
        <v>8.4099999999999994E-2</v>
      </c>
      <c r="BH68" s="700">
        <v>0.22</v>
      </c>
    </row>
    <row r="69" spans="1:60" ht="21" hidden="1" customHeight="1">
      <c r="A69" s="651" t="s">
        <v>954</v>
      </c>
      <c r="B69" s="651" t="s">
        <v>754</v>
      </c>
      <c r="C69" s="651" t="s">
        <v>755</v>
      </c>
      <c r="D69" s="652">
        <v>8322</v>
      </c>
      <c r="E69" s="652">
        <v>3</v>
      </c>
      <c r="F69" s="652" t="s">
        <v>955</v>
      </c>
      <c r="G69" s="652">
        <v>3</v>
      </c>
      <c r="H69" s="652">
        <v>3</v>
      </c>
      <c r="I69" s="652"/>
      <c r="J69" s="654">
        <v>35.630000000000003</v>
      </c>
      <c r="K69" s="654">
        <f t="shared" si="44"/>
        <v>5917.7457195860188</v>
      </c>
      <c r="L69" s="687">
        <f t="shared" ref="L69:L113" si="48">ROUND(J69*$L$1,2)</f>
        <v>5917.55</v>
      </c>
      <c r="M69" s="652">
        <v>12</v>
      </c>
      <c r="N69" s="688">
        <f t="shared" ref="N69:N132" si="49">ROUND(L69*M69/100,2)</f>
        <v>710.11</v>
      </c>
      <c r="O69" s="652">
        <v>25</v>
      </c>
      <c r="P69" s="687">
        <f t="shared" si="35"/>
        <v>1479.39</v>
      </c>
      <c r="Q69" s="689">
        <f t="shared" ref="Q69:Q132" si="50">ROUND(L69+N69+P69,2)</f>
        <v>8107.05</v>
      </c>
      <c r="R69" s="686">
        <f t="shared" ref="R69:R132" si="51">ROUND(G69*Q69,2)</f>
        <v>24321.15</v>
      </c>
      <c r="S69" s="651">
        <f t="shared" si="45"/>
        <v>4438.17</v>
      </c>
      <c r="T69" s="651"/>
      <c r="U69" s="671">
        <f t="shared" ref="U69:U132" si="52">ROUND(V69+W69,2)</f>
        <v>72963.45</v>
      </c>
      <c r="V69" s="671">
        <f t="shared" ref="V69:V132" si="53">ROUND(G69*L69*3,2)</f>
        <v>53257.95</v>
      </c>
      <c r="W69" s="671">
        <f t="shared" ref="W69:W132" si="54">ROUND(G69*3*(N69+P69),2)</f>
        <v>19705.5</v>
      </c>
      <c r="X69" s="671">
        <f t="shared" ref="X69:X132" si="55">AA69+AB69</f>
        <v>72963.45</v>
      </c>
      <c r="Y69" s="691">
        <f t="shared" ref="Y69:Y132" si="56">L69*Z69</f>
        <v>5917.55</v>
      </c>
      <c r="Z69" s="691">
        <v>1</v>
      </c>
      <c r="AA69" s="671">
        <f t="shared" ref="AA69:AA132" si="57">V69*Z69</f>
        <v>53257.95</v>
      </c>
      <c r="AB69" s="671">
        <f t="shared" ref="AB69:AB132" si="58">W69*Z69</f>
        <v>19705.5</v>
      </c>
      <c r="AC69" s="671">
        <f t="shared" ref="AC69:AC132" si="59">ROUND(AF69+AG69,2)</f>
        <v>75881.990000000005</v>
      </c>
      <c r="AD69" s="689">
        <f t="shared" ref="AD69:AD132" si="60">ROUND(Y69*AE69,2)</f>
        <v>6154.25</v>
      </c>
      <c r="AE69" s="691">
        <f t="shared" si="36"/>
        <v>1.04</v>
      </c>
      <c r="AF69" s="671">
        <f t="shared" ref="AF69:AF132" si="61">ROUND(AA69*AE69,2)</f>
        <v>55388.27</v>
      </c>
      <c r="AG69" s="692">
        <f t="shared" ref="AG69:AG132" si="62">ROUND(AB69*AE69,2)</f>
        <v>20493.72</v>
      </c>
      <c r="AH69" s="671">
        <f t="shared" ref="AH69:AH132" si="63">ROUND(AK69+AL69,2)</f>
        <v>77096.100000000006</v>
      </c>
      <c r="AI69" s="691">
        <f t="shared" ref="AI69:AI132" si="64">ROUND(AD69*AJ69,2)</f>
        <v>6252.72</v>
      </c>
      <c r="AJ69" s="691">
        <f t="shared" si="37"/>
        <v>1.016</v>
      </c>
      <c r="AK69" s="671">
        <f t="shared" ref="AK69:AK132" si="65">ROUND(AJ69*AF69,2)</f>
        <v>56274.48</v>
      </c>
      <c r="AL69" s="671">
        <f t="shared" ref="AL69:AL132" si="66">ROUND(AJ69*AG69,2)</f>
        <v>20821.62</v>
      </c>
      <c r="AM69" s="704">
        <v>0.04</v>
      </c>
      <c r="AN69" s="705">
        <f t="shared" si="46"/>
        <v>0.12</v>
      </c>
      <c r="AO69" s="691">
        <f t="shared" ref="AO69:AO132" si="67">ROUND(U69/G69*AN69,2)</f>
        <v>2918.54</v>
      </c>
      <c r="AP69" s="691">
        <f t="shared" ref="AP69:AP132" si="68">ROUND(X69/G69*AN69,2)</f>
        <v>2918.54</v>
      </c>
      <c r="AQ69" s="691">
        <f t="shared" ref="AQ69:AQ132" si="69">ROUND(AC69/G69*AN69,2)</f>
        <v>3035.28</v>
      </c>
      <c r="AR69" s="691">
        <f t="shared" ref="AR69:AR132" si="70">ROUND(AH69/G69*AN69,2)</f>
        <v>3083.84</v>
      </c>
      <c r="AS69" s="671">
        <f t="shared" ref="AS69:AS132" si="71">U69-AO69</f>
        <v>70044.91</v>
      </c>
      <c r="AT69" s="671">
        <f t="shared" ref="AT69:AT132" si="72">X69-AP69</f>
        <v>70044.91</v>
      </c>
      <c r="AU69" s="671">
        <f t="shared" ref="AU69:AU132" si="73">AC69-AQ69</f>
        <v>72846.710000000006</v>
      </c>
      <c r="AV69" s="671">
        <f t="shared" ref="AV69:AV132" si="74">AH69-AR69</f>
        <v>74012.260000000009</v>
      </c>
      <c r="AW69" s="695">
        <f t="shared" ref="AW69:AW132" si="75">ROUND(AO69*BG69+AS69*BH69,2)</f>
        <v>15655.33</v>
      </c>
      <c r="AX69" s="696">
        <f t="shared" ref="AX69:AX132" si="76">ROUND(AP69*BG69+AT69*BH69,2)</f>
        <v>15655.33</v>
      </c>
      <c r="AY69" s="696">
        <f t="shared" ref="AY69:AY132" si="77">ROUND(AQ69*BG69+AU69*BH69,2)</f>
        <v>16281.54</v>
      </c>
      <c r="AZ69" s="697">
        <f t="shared" ref="AZ69:AZ132" si="78">ROUND(AR69*BG69+AV69*BH69,2)</f>
        <v>16542.05</v>
      </c>
      <c r="BA69" s="832"/>
      <c r="BB69" s="663">
        <f t="shared" ref="BB69:BB100" si="79">U69+X69+AE69+AH69</f>
        <v>223024.04</v>
      </c>
      <c r="BC69" s="694">
        <f t="shared" ref="BC69:BC132" si="80">ROUND(V69+AF69+AK69+AA69,2)</f>
        <v>218178.65</v>
      </c>
      <c r="BD69" s="694">
        <f t="shared" ref="BD69:BD132" si="81">ROUND(W69+AG69+AL69+AB69,2)</f>
        <v>80726.34</v>
      </c>
      <c r="BE69" s="663">
        <f t="shared" si="47"/>
        <v>6195.112222222222</v>
      </c>
      <c r="BG69" s="699">
        <v>8.4099999999999994E-2</v>
      </c>
      <c r="BH69" s="700">
        <v>0.22</v>
      </c>
    </row>
    <row r="70" spans="1:60" ht="21" hidden="1" customHeight="1">
      <c r="A70" s="651" t="s">
        <v>580</v>
      </c>
      <c r="B70" s="651" t="s">
        <v>754</v>
      </c>
      <c r="C70" s="651" t="s">
        <v>755</v>
      </c>
      <c r="D70" s="652">
        <v>9333</v>
      </c>
      <c r="E70" s="652"/>
      <c r="F70" s="652"/>
      <c r="G70" s="652">
        <v>2</v>
      </c>
      <c r="H70" s="652"/>
      <c r="I70" s="652"/>
      <c r="J70" s="654">
        <v>21.93</v>
      </c>
      <c r="K70" s="654">
        <v>3642.7</v>
      </c>
      <c r="L70" s="687">
        <f t="shared" si="48"/>
        <v>3642.21</v>
      </c>
      <c r="M70" s="652">
        <v>12</v>
      </c>
      <c r="N70" s="688">
        <f t="shared" si="49"/>
        <v>437.07</v>
      </c>
      <c r="O70" s="652">
        <v>20</v>
      </c>
      <c r="P70" s="687">
        <f t="shared" ref="P70:P133" si="82">ROUND(L70*O70/100,2)</f>
        <v>728.44</v>
      </c>
      <c r="Q70" s="689">
        <f t="shared" si="50"/>
        <v>4807.72</v>
      </c>
      <c r="R70" s="686">
        <f t="shared" si="51"/>
        <v>9615.44</v>
      </c>
      <c r="S70" s="651">
        <f t="shared" si="5"/>
        <v>1456.88</v>
      </c>
      <c r="T70" s="651"/>
      <c r="U70" s="671">
        <f t="shared" si="52"/>
        <v>28846.32</v>
      </c>
      <c r="V70" s="671">
        <f t="shared" si="53"/>
        <v>21853.26</v>
      </c>
      <c r="W70" s="671">
        <f t="shared" si="54"/>
        <v>6993.06</v>
      </c>
      <c r="X70" s="671">
        <f t="shared" si="55"/>
        <v>28846.32</v>
      </c>
      <c r="Y70" s="691">
        <f t="shared" si="56"/>
        <v>3642.21</v>
      </c>
      <c r="Z70" s="691">
        <v>1</v>
      </c>
      <c r="AA70" s="671">
        <f t="shared" si="57"/>
        <v>21853.26</v>
      </c>
      <c r="AB70" s="671">
        <f t="shared" si="58"/>
        <v>6993.06</v>
      </c>
      <c r="AC70" s="671">
        <f t="shared" si="59"/>
        <v>30000.17</v>
      </c>
      <c r="AD70" s="689">
        <f t="shared" si="60"/>
        <v>3787.9</v>
      </c>
      <c r="AE70" s="691">
        <f t="shared" ref="AE70:AE133" si="83">AE69</f>
        <v>1.04</v>
      </c>
      <c r="AF70" s="671">
        <f t="shared" si="61"/>
        <v>22727.39</v>
      </c>
      <c r="AG70" s="692">
        <f t="shared" si="62"/>
        <v>7272.78</v>
      </c>
      <c r="AH70" s="671">
        <f t="shared" si="63"/>
        <v>30480.17</v>
      </c>
      <c r="AI70" s="691">
        <f t="shared" si="64"/>
        <v>3848.51</v>
      </c>
      <c r="AJ70" s="691">
        <f t="shared" ref="AJ70:AJ133" si="84">AJ69</f>
        <v>1.016</v>
      </c>
      <c r="AK70" s="671">
        <f t="shared" si="65"/>
        <v>23091.03</v>
      </c>
      <c r="AL70" s="671">
        <f t="shared" si="66"/>
        <v>7389.14</v>
      </c>
      <c r="AM70" s="661">
        <v>0.04</v>
      </c>
      <c r="AN70" s="662">
        <f t="shared" si="46"/>
        <v>0.08</v>
      </c>
      <c r="AO70" s="691">
        <f t="shared" si="67"/>
        <v>1153.8499999999999</v>
      </c>
      <c r="AP70" s="691">
        <f t="shared" si="68"/>
        <v>1153.8499999999999</v>
      </c>
      <c r="AQ70" s="691">
        <f t="shared" si="69"/>
        <v>1200.01</v>
      </c>
      <c r="AR70" s="691">
        <f t="shared" si="70"/>
        <v>1219.21</v>
      </c>
      <c r="AS70" s="671">
        <f t="shared" si="71"/>
        <v>27692.47</v>
      </c>
      <c r="AT70" s="671">
        <f t="shared" si="72"/>
        <v>27692.47</v>
      </c>
      <c r="AU70" s="671">
        <f t="shared" si="73"/>
        <v>28800.16</v>
      </c>
      <c r="AV70" s="671">
        <f t="shared" si="74"/>
        <v>29260.959999999999</v>
      </c>
      <c r="AW70" s="695">
        <f t="shared" si="75"/>
        <v>6189.38</v>
      </c>
      <c r="AX70" s="696">
        <f t="shared" si="76"/>
        <v>6189.38</v>
      </c>
      <c r="AY70" s="696">
        <f t="shared" si="77"/>
        <v>6436.96</v>
      </c>
      <c r="AZ70" s="697">
        <f t="shared" si="78"/>
        <v>6539.95</v>
      </c>
      <c r="BA70" s="832"/>
      <c r="BB70" s="663">
        <f t="shared" si="79"/>
        <v>88173.85</v>
      </c>
      <c r="BC70" s="694">
        <f t="shared" si="80"/>
        <v>89524.94</v>
      </c>
      <c r="BD70" s="694">
        <f t="shared" si="81"/>
        <v>28648.04</v>
      </c>
      <c r="BE70" s="663">
        <f t="shared" si="47"/>
        <v>3673.9104166666671</v>
      </c>
      <c r="BG70" s="699">
        <v>8.4099999999999994E-2</v>
      </c>
      <c r="BH70" s="700">
        <v>0.22</v>
      </c>
    </row>
    <row r="71" spans="1:60" ht="21" customHeight="1">
      <c r="A71" s="651" t="s">
        <v>793</v>
      </c>
      <c r="B71" s="651" t="s">
        <v>754</v>
      </c>
      <c r="C71" s="651" t="s">
        <v>755</v>
      </c>
      <c r="D71" s="652">
        <v>8322</v>
      </c>
      <c r="E71" s="652">
        <v>15</v>
      </c>
      <c r="F71" s="652" t="s">
        <v>794</v>
      </c>
      <c r="G71" s="652">
        <v>30</v>
      </c>
      <c r="H71" s="652">
        <v>3</v>
      </c>
      <c r="I71" s="652">
        <v>0</v>
      </c>
      <c r="J71" s="654">
        <v>51.21</v>
      </c>
      <c r="K71" s="654">
        <v>8505.41</v>
      </c>
      <c r="L71" s="687">
        <f t="shared" si="48"/>
        <v>8505.1299999999992</v>
      </c>
      <c r="M71" s="652">
        <v>12</v>
      </c>
      <c r="N71" s="688">
        <f t="shared" si="49"/>
        <v>1020.62</v>
      </c>
      <c r="O71" s="652">
        <v>40.5</v>
      </c>
      <c r="P71" s="687">
        <f t="shared" si="82"/>
        <v>3444.58</v>
      </c>
      <c r="Q71" s="689">
        <f t="shared" si="50"/>
        <v>12970.33</v>
      </c>
      <c r="R71" s="686">
        <f t="shared" si="51"/>
        <v>389109.9</v>
      </c>
      <c r="S71" s="651">
        <f t="shared" si="5"/>
        <v>103337.4</v>
      </c>
      <c r="T71" s="651"/>
      <c r="U71" s="671">
        <f t="shared" si="52"/>
        <v>1167329.7</v>
      </c>
      <c r="V71" s="671">
        <f t="shared" si="53"/>
        <v>765461.7</v>
      </c>
      <c r="W71" s="671">
        <f t="shared" si="54"/>
        <v>401868</v>
      </c>
      <c r="X71" s="671">
        <f t="shared" si="55"/>
        <v>1167329.7</v>
      </c>
      <c r="Y71" s="691">
        <f t="shared" si="56"/>
        <v>8505.1299999999992</v>
      </c>
      <c r="Z71" s="691">
        <v>1</v>
      </c>
      <c r="AA71" s="671">
        <f t="shared" si="57"/>
        <v>765461.7</v>
      </c>
      <c r="AB71" s="671">
        <f t="shared" si="58"/>
        <v>401868</v>
      </c>
      <c r="AC71" s="671">
        <f t="shared" si="59"/>
        <v>1214022.8899999999</v>
      </c>
      <c r="AD71" s="689">
        <f t="shared" si="60"/>
        <v>8845.34</v>
      </c>
      <c r="AE71" s="691">
        <f t="shared" si="83"/>
        <v>1.04</v>
      </c>
      <c r="AF71" s="671">
        <f t="shared" si="61"/>
        <v>796080.17</v>
      </c>
      <c r="AG71" s="692">
        <f t="shared" si="62"/>
        <v>417942.72</v>
      </c>
      <c r="AH71" s="671">
        <f t="shared" si="63"/>
        <v>1233447.25</v>
      </c>
      <c r="AI71" s="691">
        <f t="shared" si="64"/>
        <v>8986.8700000000008</v>
      </c>
      <c r="AJ71" s="691">
        <f t="shared" si="84"/>
        <v>1.016</v>
      </c>
      <c r="AK71" s="671">
        <f t="shared" si="65"/>
        <v>808817.45</v>
      </c>
      <c r="AL71" s="671">
        <f t="shared" si="66"/>
        <v>424629.8</v>
      </c>
      <c r="AM71" s="661">
        <v>0.04</v>
      </c>
      <c r="AN71" s="662">
        <f t="shared" si="46"/>
        <v>1.2</v>
      </c>
      <c r="AO71" s="691">
        <f t="shared" si="67"/>
        <v>46693.19</v>
      </c>
      <c r="AP71" s="691">
        <f t="shared" si="68"/>
        <v>46693.19</v>
      </c>
      <c r="AQ71" s="691">
        <f t="shared" si="69"/>
        <v>48560.92</v>
      </c>
      <c r="AR71" s="691">
        <f t="shared" si="70"/>
        <v>49337.89</v>
      </c>
      <c r="AS71" s="671">
        <f t="shared" si="71"/>
        <v>1120636.51</v>
      </c>
      <c r="AT71" s="671">
        <f t="shared" si="72"/>
        <v>1120636.51</v>
      </c>
      <c r="AU71" s="671">
        <f t="shared" si="73"/>
        <v>1165461.97</v>
      </c>
      <c r="AV71" s="671">
        <f t="shared" si="74"/>
        <v>1184109.3600000001</v>
      </c>
      <c r="AW71" s="695">
        <f t="shared" si="75"/>
        <v>250466.93</v>
      </c>
      <c r="AX71" s="696">
        <f t="shared" si="76"/>
        <v>250466.93</v>
      </c>
      <c r="AY71" s="696">
        <f t="shared" si="77"/>
        <v>260485.61</v>
      </c>
      <c r="AZ71" s="697">
        <f t="shared" si="78"/>
        <v>264653.38</v>
      </c>
      <c r="BA71" s="832">
        <f>(U71+X71+AC71/120*140+AH71/120*140)/G71*I71</f>
        <v>0</v>
      </c>
      <c r="BB71" s="663">
        <f t="shared" si="79"/>
        <v>3568107.69</v>
      </c>
      <c r="BC71" s="694">
        <f t="shared" si="80"/>
        <v>3135821.02</v>
      </c>
      <c r="BD71" s="694">
        <f t="shared" si="81"/>
        <v>1646308.52</v>
      </c>
      <c r="BE71" s="663">
        <f t="shared" si="47"/>
        <v>9911.410249999999</v>
      </c>
      <c r="BG71" s="699">
        <v>8.4099999999999994E-2</v>
      </c>
      <c r="BH71" s="700">
        <v>0.22</v>
      </c>
    </row>
    <row r="72" spans="1:60" ht="21" hidden="1" customHeight="1">
      <c r="A72" s="651" t="s">
        <v>582</v>
      </c>
      <c r="B72" s="651" t="s">
        <v>754</v>
      </c>
      <c r="C72" s="651" t="s">
        <v>755</v>
      </c>
      <c r="D72" s="652">
        <v>8131</v>
      </c>
      <c r="E72" s="652">
        <v>2</v>
      </c>
      <c r="F72" s="652"/>
      <c r="G72" s="652">
        <v>4</v>
      </c>
      <c r="H72" s="652"/>
      <c r="I72" s="652"/>
      <c r="J72" s="654">
        <v>35.619999999999997</v>
      </c>
      <c r="K72" s="654">
        <v>5916.35</v>
      </c>
      <c r="L72" s="687">
        <f t="shared" si="48"/>
        <v>5915.89</v>
      </c>
      <c r="M72" s="652">
        <v>24</v>
      </c>
      <c r="N72" s="688">
        <f t="shared" si="49"/>
        <v>1419.81</v>
      </c>
      <c r="O72" s="652">
        <v>20</v>
      </c>
      <c r="P72" s="687">
        <f t="shared" si="82"/>
        <v>1183.18</v>
      </c>
      <c r="Q72" s="689">
        <f t="shared" si="50"/>
        <v>8518.8799999999992</v>
      </c>
      <c r="R72" s="686">
        <f t="shared" si="51"/>
        <v>34075.519999999997</v>
      </c>
      <c r="S72" s="651">
        <f t="shared" si="5"/>
        <v>4732.72</v>
      </c>
      <c r="T72" s="651"/>
      <c r="U72" s="671">
        <f t="shared" si="52"/>
        <v>102226.56</v>
      </c>
      <c r="V72" s="671">
        <f t="shared" si="53"/>
        <v>70990.679999999993</v>
      </c>
      <c r="W72" s="671">
        <f t="shared" si="54"/>
        <v>31235.88</v>
      </c>
      <c r="X72" s="671">
        <f t="shared" si="55"/>
        <v>102226.56</v>
      </c>
      <c r="Y72" s="691">
        <f t="shared" si="56"/>
        <v>5915.89</v>
      </c>
      <c r="Z72" s="691">
        <v>1</v>
      </c>
      <c r="AA72" s="671">
        <f t="shared" si="57"/>
        <v>70990.679999999993</v>
      </c>
      <c r="AB72" s="671">
        <f t="shared" si="58"/>
        <v>31235.88</v>
      </c>
      <c r="AC72" s="671">
        <f t="shared" si="59"/>
        <v>106315.63</v>
      </c>
      <c r="AD72" s="689">
        <f t="shared" si="60"/>
        <v>6152.53</v>
      </c>
      <c r="AE72" s="691">
        <f t="shared" si="83"/>
        <v>1.04</v>
      </c>
      <c r="AF72" s="671">
        <f t="shared" si="61"/>
        <v>73830.31</v>
      </c>
      <c r="AG72" s="692">
        <f t="shared" si="62"/>
        <v>32485.32</v>
      </c>
      <c r="AH72" s="671">
        <f t="shared" si="63"/>
        <v>108016.68</v>
      </c>
      <c r="AI72" s="691">
        <f t="shared" si="64"/>
        <v>6250.97</v>
      </c>
      <c r="AJ72" s="691">
        <f t="shared" si="84"/>
        <v>1.016</v>
      </c>
      <c r="AK72" s="671">
        <f t="shared" si="65"/>
        <v>75011.59</v>
      </c>
      <c r="AL72" s="671">
        <f t="shared" si="66"/>
        <v>33005.089999999997</v>
      </c>
      <c r="AM72" s="661">
        <v>0.04</v>
      </c>
      <c r="AN72" s="662">
        <f t="shared" si="46"/>
        <v>0.16</v>
      </c>
      <c r="AO72" s="691">
        <f t="shared" si="67"/>
        <v>4089.06</v>
      </c>
      <c r="AP72" s="691">
        <f t="shared" si="68"/>
        <v>4089.06</v>
      </c>
      <c r="AQ72" s="691">
        <f t="shared" si="69"/>
        <v>4252.63</v>
      </c>
      <c r="AR72" s="691">
        <f t="shared" si="70"/>
        <v>4320.67</v>
      </c>
      <c r="AS72" s="671">
        <f t="shared" si="71"/>
        <v>98137.5</v>
      </c>
      <c r="AT72" s="671">
        <f t="shared" si="72"/>
        <v>98137.5</v>
      </c>
      <c r="AU72" s="671">
        <f t="shared" si="73"/>
        <v>102063</v>
      </c>
      <c r="AV72" s="671">
        <f t="shared" si="74"/>
        <v>103696.01</v>
      </c>
      <c r="AW72" s="695">
        <f t="shared" si="75"/>
        <v>21934.14</v>
      </c>
      <c r="AX72" s="696">
        <f t="shared" si="76"/>
        <v>21934.14</v>
      </c>
      <c r="AY72" s="696">
        <f t="shared" si="77"/>
        <v>22811.51</v>
      </c>
      <c r="AZ72" s="697">
        <f t="shared" si="78"/>
        <v>23176.49</v>
      </c>
      <c r="BA72" s="832"/>
      <c r="BB72" s="663">
        <f t="shared" si="79"/>
        <v>312470.83999999997</v>
      </c>
      <c r="BC72" s="694">
        <f t="shared" si="80"/>
        <v>290823.26</v>
      </c>
      <c r="BD72" s="694">
        <f t="shared" si="81"/>
        <v>127962.17</v>
      </c>
      <c r="BE72" s="663">
        <f t="shared" si="47"/>
        <v>6509.809166666666</v>
      </c>
      <c r="BG72" s="699">
        <v>8.4099999999999994E-2</v>
      </c>
      <c r="BH72" s="700">
        <v>0.22</v>
      </c>
    </row>
    <row r="73" spans="1:60" ht="21" hidden="1" customHeight="1">
      <c r="A73" s="651" t="s">
        <v>583</v>
      </c>
      <c r="B73" s="651" t="s">
        <v>754</v>
      </c>
      <c r="C73" s="651" t="s">
        <v>755</v>
      </c>
      <c r="D73" s="652">
        <v>8332</v>
      </c>
      <c r="E73" s="652">
        <v>4</v>
      </c>
      <c r="F73" s="652"/>
      <c r="G73" s="652">
        <v>1</v>
      </c>
      <c r="H73" s="652">
        <v>4</v>
      </c>
      <c r="I73" s="652"/>
      <c r="J73" s="654">
        <v>41</v>
      </c>
      <c r="K73" s="654">
        <v>6808.83</v>
      </c>
      <c r="L73" s="687">
        <f t="shared" si="48"/>
        <v>6809.42</v>
      </c>
      <c r="M73" s="652">
        <v>28</v>
      </c>
      <c r="N73" s="688">
        <f t="shared" si="49"/>
        <v>1906.64</v>
      </c>
      <c r="O73" s="652">
        <v>20</v>
      </c>
      <c r="P73" s="687">
        <f t="shared" si="82"/>
        <v>1361.88</v>
      </c>
      <c r="Q73" s="689">
        <f t="shared" si="50"/>
        <v>10077.94</v>
      </c>
      <c r="R73" s="686">
        <f t="shared" si="51"/>
        <v>10077.94</v>
      </c>
      <c r="S73" s="651">
        <f t="shared" si="5"/>
        <v>1361.88</v>
      </c>
      <c r="T73" s="651"/>
      <c r="U73" s="671">
        <f t="shared" si="52"/>
        <v>30233.82</v>
      </c>
      <c r="V73" s="671">
        <f t="shared" si="53"/>
        <v>20428.259999999998</v>
      </c>
      <c r="W73" s="671">
        <f t="shared" si="54"/>
        <v>9805.56</v>
      </c>
      <c r="X73" s="671">
        <f t="shared" si="55"/>
        <v>30233.82</v>
      </c>
      <c r="Y73" s="691">
        <f t="shared" si="56"/>
        <v>6809.42</v>
      </c>
      <c r="Z73" s="691">
        <v>1</v>
      </c>
      <c r="AA73" s="671">
        <f t="shared" si="57"/>
        <v>20428.259999999998</v>
      </c>
      <c r="AB73" s="671">
        <f t="shared" si="58"/>
        <v>9805.56</v>
      </c>
      <c r="AC73" s="671">
        <f t="shared" si="59"/>
        <v>31443.17</v>
      </c>
      <c r="AD73" s="689">
        <f t="shared" si="60"/>
        <v>7081.8</v>
      </c>
      <c r="AE73" s="691">
        <f t="shared" si="83"/>
        <v>1.04</v>
      </c>
      <c r="AF73" s="671">
        <f t="shared" si="61"/>
        <v>21245.39</v>
      </c>
      <c r="AG73" s="692">
        <f t="shared" si="62"/>
        <v>10197.780000000001</v>
      </c>
      <c r="AH73" s="671">
        <f t="shared" si="63"/>
        <v>31946.26</v>
      </c>
      <c r="AI73" s="691">
        <f t="shared" si="64"/>
        <v>7195.11</v>
      </c>
      <c r="AJ73" s="691">
        <f t="shared" si="84"/>
        <v>1.016</v>
      </c>
      <c r="AK73" s="671">
        <f t="shared" si="65"/>
        <v>21585.32</v>
      </c>
      <c r="AL73" s="671">
        <f t="shared" si="66"/>
        <v>10360.94</v>
      </c>
      <c r="AM73" s="661">
        <v>0.04</v>
      </c>
      <c r="AN73" s="662">
        <f t="shared" si="46"/>
        <v>0.04</v>
      </c>
      <c r="AO73" s="691">
        <f t="shared" si="67"/>
        <v>1209.3499999999999</v>
      </c>
      <c r="AP73" s="691">
        <f t="shared" si="68"/>
        <v>1209.3499999999999</v>
      </c>
      <c r="AQ73" s="691">
        <f t="shared" si="69"/>
        <v>1257.73</v>
      </c>
      <c r="AR73" s="691">
        <f t="shared" si="70"/>
        <v>1277.8499999999999</v>
      </c>
      <c r="AS73" s="671">
        <f t="shared" si="71"/>
        <v>29024.47</v>
      </c>
      <c r="AT73" s="671">
        <f t="shared" si="72"/>
        <v>29024.47</v>
      </c>
      <c r="AU73" s="671">
        <f t="shared" si="73"/>
        <v>30185.439999999999</v>
      </c>
      <c r="AV73" s="671">
        <f t="shared" si="74"/>
        <v>30668.41</v>
      </c>
      <c r="AW73" s="695">
        <f t="shared" si="75"/>
        <v>6487.09</v>
      </c>
      <c r="AX73" s="696">
        <f t="shared" si="76"/>
        <v>6487.09</v>
      </c>
      <c r="AY73" s="696">
        <f t="shared" si="77"/>
        <v>6746.57</v>
      </c>
      <c r="AZ73" s="697">
        <f t="shared" si="78"/>
        <v>6854.52</v>
      </c>
      <c r="BA73" s="832"/>
      <c r="BB73" s="663">
        <f t="shared" si="79"/>
        <v>92414.94</v>
      </c>
      <c r="BC73" s="694">
        <f t="shared" si="80"/>
        <v>83687.23</v>
      </c>
      <c r="BD73" s="694">
        <f t="shared" si="81"/>
        <v>40169.839999999997</v>
      </c>
      <c r="BE73" s="663">
        <f t="shared" si="47"/>
        <v>7701.2449999999999</v>
      </c>
      <c r="BG73" s="699">
        <v>8.4099999999999994E-2</v>
      </c>
      <c r="BH73" s="700">
        <v>0.22</v>
      </c>
    </row>
    <row r="74" spans="1:60" ht="21" hidden="1" customHeight="1">
      <c r="A74" s="651" t="s">
        <v>584</v>
      </c>
      <c r="B74" s="651" t="s">
        <v>754</v>
      </c>
      <c r="C74" s="651" t="s">
        <v>755</v>
      </c>
      <c r="D74" s="652">
        <v>8332</v>
      </c>
      <c r="E74" s="652">
        <v>2</v>
      </c>
      <c r="F74" s="652"/>
      <c r="G74" s="652">
        <v>1</v>
      </c>
      <c r="H74" s="652">
        <v>3</v>
      </c>
      <c r="I74" s="652"/>
      <c r="J74" s="654">
        <v>36.44</v>
      </c>
      <c r="K74" s="654">
        <v>6051.53</v>
      </c>
      <c r="L74" s="687">
        <f t="shared" si="48"/>
        <v>6052.08</v>
      </c>
      <c r="M74" s="652">
        <v>24</v>
      </c>
      <c r="N74" s="688">
        <f t="shared" si="49"/>
        <v>1452.5</v>
      </c>
      <c r="O74" s="652">
        <v>20</v>
      </c>
      <c r="P74" s="687">
        <f t="shared" si="82"/>
        <v>1210.42</v>
      </c>
      <c r="Q74" s="689">
        <f t="shared" si="50"/>
        <v>8715</v>
      </c>
      <c r="R74" s="686">
        <f t="shared" si="51"/>
        <v>8715</v>
      </c>
      <c r="S74" s="651">
        <f t="shared" si="5"/>
        <v>1210.42</v>
      </c>
      <c r="T74" s="651"/>
      <c r="U74" s="671">
        <f t="shared" si="52"/>
        <v>26145</v>
      </c>
      <c r="V74" s="671">
        <f t="shared" si="53"/>
        <v>18156.240000000002</v>
      </c>
      <c r="W74" s="671">
        <f t="shared" si="54"/>
        <v>7988.76</v>
      </c>
      <c r="X74" s="671">
        <f t="shared" si="55"/>
        <v>26145</v>
      </c>
      <c r="Y74" s="691">
        <f t="shared" si="56"/>
        <v>6052.08</v>
      </c>
      <c r="Z74" s="691">
        <v>1</v>
      </c>
      <c r="AA74" s="671">
        <f t="shared" si="57"/>
        <v>18156.240000000002</v>
      </c>
      <c r="AB74" s="671">
        <f t="shared" si="58"/>
        <v>7988.76</v>
      </c>
      <c r="AC74" s="671">
        <f t="shared" si="59"/>
        <v>27190.799999999999</v>
      </c>
      <c r="AD74" s="689">
        <f t="shared" si="60"/>
        <v>6294.16</v>
      </c>
      <c r="AE74" s="691">
        <f t="shared" si="83"/>
        <v>1.04</v>
      </c>
      <c r="AF74" s="671">
        <f t="shared" si="61"/>
        <v>18882.490000000002</v>
      </c>
      <c r="AG74" s="692">
        <f t="shared" si="62"/>
        <v>8308.31</v>
      </c>
      <c r="AH74" s="671">
        <f t="shared" si="63"/>
        <v>27625.85</v>
      </c>
      <c r="AI74" s="691">
        <f t="shared" si="64"/>
        <v>6394.87</v>
      </c>
      <c r="AJ74" s="691">
        <f t="shared" si="84"/>
        <v>1.016</v>
      </c>
      <c r="AK74" s="671">
        <f t="shared" si="65"/>
        <v>19184.61</v>
      </c>
      <c r="AL74" s="671">
        <f t="shared" si="66"/>
        <v>8441.24</v>
      </c>
      <c r="AM74" s="661">
        <v>0.04</v>
      </c>
      <c r="AN74" s="662">
        <f t="shared" si="46"/>
        <v>0.04</v>
      </c>
      <c r="AO74" s="691">
        <f t="shared" si="67"/>
        <v>1045.8</v>
      </c>
      <c r="AP74" s="691">
        <f t="shared" si="68"/>
        <v>1045.8</v>
      </c>
      <c r="AQ74" s="691">
        <f t="shared" si="69"/>
        <v>1087.6300000000001</v>
      </c>
      <c r="AR74" s="691">
        <f t="shared" si="70"/>
        <v>1105.03</v>
      </c>
      <c r="AS74" s="671">
        <f t="shared" si="71"/>
        <v>25099.200000000001</v>
      </c>
      <c r="AT74" s="671">
        <f t="shared" si="72"/>
        <v>25099.200000000001</v>
      </c>
      <c r="AU74" s="671">
        <f t="shared" si="73"/>
        <v>26103.17</v>
      </c>
      <c r="AV74" s="671">
        <f t="shared" si="74"/>
        <v>26520.82</v>
      </c>
      <c r="AW74" s="695">
        <f t="shared" si="75"/>
        <v>5609.78</v>
      </c>
      <c r="AX74" s="696">
        <f t="shared" si="76"/>
        <v>5609.78</v>
      </c>
      <c r="AY74" s="696">
        <f t="shared" si="77"/>
        <v>5834.17</v>
      </c>
      <c r="AZ74" s="697">
        <f t="shared" si="78"/>
        <v>5927.51</v>
      </c>
      <c r="BA74" s="832"/>
      <c r="BB74" s="663">
        <f t="shared" si="79"/>
        <v>79916.89</v>
      </c>
      <c r="BC74" s="694">
        <f t="shared" si="80"/>
        <v>74379.58</v>
      </c>
      <c r="BD74" s="694">
        <f t="shared" si="81"/>
        <v>32727.07</v>
      </c>
      <c r="BE74" s="663">
        <f t="shared" si="47"/>
        <v>6659.7408333333333</v>
      </c>
      <c r="BG74" s="699">
        <v>8.4099999999999994E-2</v>
      </c>
      <c r="BH74" s="700">
        <v>0.22</v>
      </c>
    </row>
    <row r="75" spans="1:60" ht="21" hidden="1" customHeight="1">
      <c r="A75" s="651" t="s">
        <v>585</v>
      </c>
      <c r="B75" s="651" t="s">
        <v>754</v>
      </c>
      <c r="C75" s="651" t="s">
        <v>755</v>
      </c>
      <c r="D75" s="652">
        <v>8332</v>
      </c>
      <c r="E75" s="652">
        <v>1</v>
      </c>
      <c r="F75" s="652"/>
      <c r="G75" s="652">
        <v>1</v>
      </c>
      <c r="H75" s="652">
        <v>5</v>
      </c>
      <c r="I75" s="652"/>
      <c r="J75" s="654">
        <v>46.76</v>
      </c>
      <c r="K75" s="654">
        <v>7765.43</v>
      </c>
      <c r="L75" s="687">
        <f t="shared" si="48"/>
        <v>7766.06</v>
      </c>
      <c r="M75" s="652">
        <v>32</v>
      </c>
      <c r="N75" s="688">
        <f t="shared" si="49"/>
        <v>2485.14</v>
      </c>
      <c r="O75" s="652">
        <v>20</v>
      </c>
      <c r="P75" s="687">
        <f t="shared" si="82"/>
        <v>1553.21</v>
      </c>
      <c r="Q75" s="689">
        <f t="shared" si="50"/>
        <v>11804.41</v>
      </c>
      <c r="R75" s="686">
        <f t="shared" si="51"/>
        <v>11804.41</v>
      </c>
      <c r="S75" s="651">
        <f t="shared" si="5"/>
        <v>1553.21</v>
      </c>
      <c r="T75" s="651"/>
      <c r="U75" s="671">
        <f t="shared" si="52"/>
        <v>35413.230000000003</v>
      </c>
      <c r="V75" s="671">
        <f t="shared" si="53"/>
        <v>23298.18</v>
      </c>
      <c r="W75" s="671">
        <f t="shared" si="54"/>
        <v>12115.05</v>
      </c>
      <c r="X75" s="671">
        <f t="shared" si="55"/>
        <v>35413.229999999996</v>
      </c>
      <c r="Y75" s="691">
        <f t="shared" si="56"/>
        <v>7766.06</v>
      </c>
      <c r="Z75" s="691">
        <v>1</v>
      </c>
      <c r="AA75" s="671">
        <f t="shared" si="57"/>
        <v>23298.18</v>
      </c>
      <c r="AB75" s="671">
        <f t="shared" si="58"/>
        <v>12115.05</v>
      </c>
      <c r="AC75" s="671">
        <f t="shared" si="59"/>
        <v>36829.760000000002</v>
      </c>
      <c r="AD75" s="689">
        <f t="shared" si="60"/>
        <v>8076.7</v>
      </c>
      <c r="AE75" s="691">
        <f t="shared" si="83"/>
        <v>1.04</v>
      </c>
      <c r="AF75" s="671">
        <f t="shared" si="61"/>
        <v>24230.11</v>
      </c>
      <c r="AG75" s="692">
        <f t="shared" si="62"/>
        <v>12599.65</v>
      </c>
      <c r="AH75" s="671">
        <f t="shared" si="63"/>
        <v>37419.03</v>
      </c>
      <c r="AI75" s="691">
        <f t="shared" si="64"/>
        <v>8205.93</v>
      </c>
      <c r="AJ75" s="691">
        <f t="shared" si="84"/>
        <v>1.016</v>
      </c>
      <c r="AK75" s="671">
        <f t="shared" si="65"/>
        <v>24617.79</v>
      </c>
      <c r="AL75" s="671">
        <f t="shared" si="66"/>
        <v>12801.24</v>
      </c>
      <c r="AM75" s="661">
        <v>0.04</v>
      </c>
      <c r="AN75" s="662">
        <f t="shared" si="46"/>
        <v>0.04</v>
      </c>
      <c r="AO75" s="691">
        <f t="shared" si="67"/>
        <v>1416.53</v>
      </c>
      <c r="AP75" s="691">
        <f t="shared" si="68"/>
        <v>1416.53</v>
      </c>
      <c r="AQ75" s="691">
        <f t="shared" si="69"/>
        <v>1473.19</v>
      </c>
      <c r="AR75" s="691">
        <f t="shared" si="70"/>
        <v>1496.76</v>
      </c>
      <c r="AS75" s="671">
        <f t="shared" si="71"/>
        <v>33996.700000000004</v>
      </c>
      <c r="AT75" s="671">
        <f t="shared" si="72"/>
        <v>33996.699999999997</v>
      </c>
      <c r="AU75" s="671">
        <f t="shared" si="73"/>
        <v>35356.57</v>
      </c>
      <c r="AV75" s="671">
        <f t="shared" si="74"/>
        <v>35922.269999999997</v>
      </c>
      <c r="AW75" s="695">
        <f t="shared" si="75"/>
        <v>7598.4</v>
      </c>
      <c r="AX75" s="696">
        <f t="shared" si="76"/>
        <v>7598.4</v>
      </c>
      <c r="AY75" s="696">
        <f t="shared" si="77"/>
        <v>7902.34</v>
      </c>
      <c r="AZ75" s="697">
        <f t="shared" si="78"/>
        <v>8028.78</v>
      </c>
      <c r="BA75" s="832"/>
      <c r="BB75" s="663">
        <f t="shared" si="79"/>
        <v>108246.52999999998</v>
      </c>
      <c r="BC75" s="694">
        <f t="shared" si="80"/>
        <v>95444.26</v>
      </c>
      <c r="BD75" s="694">
        <f t="shared" si="81"/>
        <v>49630.99</v>
      </c>
      <c r="BE75" s="663">
        <f t="shared" si="47"/>
        <v>9020.5441666666648</v>
      </c>
      <c r="BG75" s="699">
        <v>8.4099999999999994E-2</v>
      </c>
      <c r="BH75" s="700">
        <v>0.22</v>
      </c>
    </row>
    <row r="76" spans="1:60" s="401" customFormat="1" ht="28.5" hidden="1" customHeight="1">
      <c r="A76" s="686" t="s">
        <v>586</v>
      </c>
      <c r="B76" s="686" t="s">
        <v>754</v>
      </c>
      <c r="C76" s="686" t="s">
        <v>755</v>
      </c>
      <c r="D76" s="686">
        <v>8332</v>
      </c>
      <c r="E76" s="686">
        <v>2</v>
      </c>
      <c r="F76" s="686"/>
      <c r="G76" s="686">
        <v>1</v>
      </c>
      <c r="H76" s="686">
        <v>6</v>
      </c>
      <c r="I76" s="686"/>
      <c r="J76" s="687">
        <v>54.66</v>
      </c>
      <c r="K76" s="687">
        <v>9077.2900000000009</v>
      </c>
      <c r="L76" s="687">
        <f t="shared" si="48"/>
        <v>9078.1200000000008</v>
      </c>
      <c r="M76" s="686">
        <v>36</v>
      </c>
      <c r="N76" s="688">
        <f t="shared" si="49"/>
        <v>3268.12</v>
      </c>
      <c r="O76" s="686">
        <v>20</v>
      </c>
      <c r="P76" s="687">
        <f t="shared" si="82"/>
        <v>1815.62</v>
      </c>
      <c r="Q76" s="689">
        <f t="shared" si="50"/>
        <v>14161.86</v>
      </c>
      <c r="R76" s="686">
        <f t="shared" si="51"/>
        <v>14161.86</v>
      </c>
      <c r="S76" s="686">
        <f t="shared" si="5"/>
        <v>1815.62</v>
      </c>
      <c r="T76" s="686"/>
      <c r="U76" s="671">
        <f t="shared" si="52"/>
        <v>42485.58</v>
      </c>
      <c r="V76" s="671">
        <f t="shared" si="53"/>
        <v>27234.36</v>
      </c>
      <c r="W76" s="671">
        <f t="shared" si="54"/>
        <v>15251.22</v>
      </c>
      <c r="X76" s="671">
        <f t="shared" si="55"/>
        <v>42485.58</v>
      </c>
      <c r="Y76" s="691">
        <f t="shared" si="56"/>
        <v>9078.1200000000008</v>
      </c>
      <c r="Z76" s="691">
        <v>1</v>
      </c>
      <c r="AA76" s="671">
        <f t="shared" si="57"/>
        <v>27234.36</v>
      </c>
      <c r="AB76" s="671">
        <f t="shared" si="58"/>
        <v>15251.22</v>
      </c>
      <c r="AC76" s="671">
        <f t="shared" si="59"/>
        <v>44185</v>
      </c>
      <c r="AD76" s="689">
        <f t="shared" si="60"/>
        <v>9441.24</v>
      </c>
      <c r="AE76" s="691">
        <f t="shared" si="83"/>
        <v>1.04</v>
      </c>
      <c r="AF76" s="671">
        <f t="shared" si="61"/>
        <v>28323.73</v>
      </c>
      <c r="AG76" s="692">
        <f t="shared" si="62"/>
        <v>15861.27</v>
      </c>
      <c r="AH76" s="671">
        <f t="shared" si="63"/>
        <v>44891.96</v>
      </c>
      <c r="AI76" s="691">
        <f t="shared" si="64"/>
        <v>9592.2999999999993</v>
      </c>
      <c r="AJ76" s="691">
        <f t="shared" si="84"/>
        <v>1.016</v>
      </c>
      <c r="AK76" s="671">
        <f t="shared" si="65"/>
        <v>28776.91</v>
      </c>
      <c r="AL76" s="671">
        <f t="shared" si="66"/>
        <v>16115.05</v>
      </c>
      <c r="AM76" s="693">
        <v>0.04</v>
      </c>
      <c r="AN76" s="694">
        <f t="shared" si="46"/>
        <v>0.04</v>
      </c>
      <c r="AO76" s="691">
        <f t="shared" si="67"/>
        <v>1699.42</v>
      </c>
      <c r="AP76" s="691">
        <f t="shared" si="68"/>
        <v>1699.42</v>
      </c>
      <c r="AQ76" s="691">
        <f t="shared" si="69"/>
        <v>1767.4</v>
      </c>
      <c r="AR76" s="691">
        <f t="shared" si="70"/>
        <v>1795.68</v>
      </c>
      <c r="AS76" s="671">
        <f t="shared" si="71"/>
        <v>40786.160000000003</v>
      </c>
      <c r="AT76" s="671">
        <f t="shared" si="72"/>
        <v>40786.160000000003</v>
      </c>
      <c r="AU76" s="671">
        <f t="shared" si="73"/>
        <v>42417.599999999999</v>
      </c>
      <c r="AV76" s="671">
        <f t="shared" si="74"/>
        <v>43096.28</v>
      </c>
      <c r="AW76" s="695">
        <f t="shared" si="75"/>
        <v>9115.8799999999992</v>
      </c>
      <c r="AX76" s="696">
        <f t="shared" si="76"/>
        <v>9115.8799999999992</v>
      </c>
      <c r="AY76" s="696">
        <f t="shared" si="77"/>
        <v>9480.51</v>
      </c>
      <c r="AZ76" s="697">
        <f t="shared" si="78"/>
        <v>9632.2000000000007</v>
      </c>
      <c r="BA76" s="832"/>
      <c r="BB76" s="694">
        <f t="shared" si="79"/>
        <v>129864.16</v>
      </c>
      <c r="BC76" s="694">
        <f t="shared" si="80"/>
        <v>111569.36</v>
      </c>
      <c r="BD76" s="694">
        <f t="shared" si="81"/>
        <v>62478.76</v>
      </c>
      <c r="BE76" s="694">
        <f t="shared" si="47"/>
        <v>10822.013333333334</v>
      </c>
      <c r="BF76" s="694"/>
      <c r="BG76" s="699">
        <v>8.4099999999999994E-2</v>
      </c>
      <c r="BH76" s="700">
        <v>0.22</v>
      </c>
    </row>
    <row r="77" spans="1:60" ht="30" hidden="1" customHeight="1">
      <c r="A77" s="651" t="s">
        <v>587</v>
      </c>
      <c r="B77" s="651" t="s">
        <v>754</v>
      </c>
      <c r="C77" s="651" t="s">
        <v>755</v>
      </c>
      <c r="D77" s="652">
        <v>8332</v>
      </c>
      <c r="E77" s="652">
        <v>1</v>
      </c>
      <c r="F77" s="652" t="s">
        <v>795</v>
      </c>
      <c r="G77" s="652">
        <v>1</v>
      </c>
      <c r="H77" s="652"/>
      <c r="I77" s="652"/>
      <c r="J77" s="654">
        <v>35.619999999999997</v>
      </c>
      <c r="K77" s="654">
        <v>5916.35</v>
      </c>
      <c r="L77" s="687">
        <f t="shared" si="48"/>
        <v>5915.89</v>
      </c>
      <c r="M77" s="652"/>
      <c r="N77" s="688">
        <f t="shared" si="49"/>
        <v>0</v>
      </c>
      <c r="O77" s="652">
        <v>20</v>
      </c>
      <c r="P77" s="687">
        <f t="shared" si="82"/>
        <v>1183.18</v>
      </c>
      <c r="Q77" s="689">
        <f t="shared" si="50"/>
        <v>7099.07</v>
      </c>
      <c r="R77" s="686">
        <f t="shared" si="51"/>
        <v>7099.07</v>
      </c>
      <c r="S77" s="651">
        <f t="shared" si="5"/>
        <v>1183.18</v>
      </c>
      <c r="T77" s="651"/>
      <c r="U77" s="671">
        <f t="shared" si="52"/>
        <v>21297.21</v>
      </c>
      <c r="V77" s="671">
        <f t="shared" si="53"/>
        <v>17747.669999999998</v>
      </c>
      <c r="W77" s="671">
        <f t="shared" si="54"/>
        <v>3549.54</v>
      </c>
      <c r="X77" s="671">
        <f t="shared" si="55"/>
        <v>21297.21</v>
      </c>
      <c r="Y77" s="691">
        <f t="shared" si="56"/>
        <v>5915.89</v>
      </c>
      <c r="Z77" s="691">
        <v>1</v>
      </c>
      <c r="AA77" s="671">
        <f t="shared" si="57"/>
        <v>17747.669999999998</v>
      </c>
      <c r="AB77" s="671">
        <f t="shared" si="58"/>
        <v>3549.54</v>
      </c>
      <c r="AC77" s="671">
        <f t="shared" si="59"/>
        <v>22149.1</v>
      </c>
      <c r="AD77" s="689">
        <f t="shared" si="60"/>
        <v>6152.53</v>
      </c>
      <c r="AE77" s="691">
        <f t="shared" si="83"/>
        <v>1.04</v>
      </c>
      <c r="AF77" s="671">
        <f t="shared" si="61"/>
        <v>18457.580000000002</v>
      </c>
      <c r="AG77" s="692">
        <f t="shared" si="62"/>
        <v>3691.52</v>
      </c>
      <c r="AH77" s="671">
        <f t="shared" si="63"/>
        <v>22503.48</v>
      </c>
      <c r="AI77" s="691">
        <f t="shared" si="64"/>
        <v>6250.97</v>
      </c>
      <c r="AJ77" s="691">
        <f t="shared" si="84"/>
        <v>1.016</v>
      </c>
      <c r="AK77" s="671">
        <f t="shared" si="65"/>
        <v>18752.900000000001</v>
      </c>
      <c r="AL77" s="671">
        <f t="shared" si="66"/>
        <v>3750.58</v>
      </c>
      <c r="AM77" s="661">
        <v>0.04</v>
      </c>
      <c r="AN77" s="662">
        <f t="shared" si="46"/>
        <v>0.04</v>
      </c>
      <c r="AO77" s="691">
        <f t="shared" si="67"/>
        <v>851.89</v>
      </c>
      <c r="AP77" s="691">
        <f t="shared" si="68"/>
        <v>851.89</v>
      </c>
      <c r="AQ77" s="691">
        <f t="shared" si="69"/>
        <v>885.96</v>
      </c>
      <c r="AR77" s="691">
        <f t="shared" si="70"/>
        <v>900.14</v>
      </c>
      <c r="AS77" s="671">
        <f t="shared" si="71"/>
        <v>20445.32</v>
      </c>
      <c r="AT77" s="671">
        <f t="shared" si="72"/>
        <v>20445.32</v>
      </c>
      <c r="AU77" s="671">
        <f t="shared" si="73"/>
        <v>21263.14</v>
      </c>
      <c r="AV77" s="671">
        <f t="shared" si="74"/>
        <v>21603.34</v>
      </c>
      <c r="AW77" s="695">
        <f t="shared" si="75"/>
        <v>4569.6099999999997</v>
      </c>
      <c r="AX77" s="696">
        <f t="shared" si="76"/>
        <v>4569.6099999999997</v>
      </c>
      <c r="AY77" s="696">
        <f t="shared" si="77"/>
        <v>4752.3999999999996</v>
      </c>
      <c r="AZ77" s="697">
        <f t="shared" si="78"/>
        <v>4828.4399999999996</v>
      </c>
      <c r="BA77" s="832"/>
      <c r="BB77" s="663">
        <f t="shared" si="79"/>
        <v>65098.94</v>
      </c>
      <c r="BC77" s="694">
        <f t="shared" si="80"/>
        <v>72705.820000000007</v>
      </c>
      <c r="BD77" s="694">
        <f t="shared" si="81"/>
        <v>14541.18</v>
      </c>
      <c r="BE77" s="663">
        <f t="shared" si="47"/>
        <v>5424.9116666666669</v>
      </c>
      <c r="BG77" s="699">
        <v>8.4099999999999994E-2</v>
      </c>
      <c r="BH77" s="700">
        <v>0.22</v>
      </c>
    </row>
    <row r="78" spans="1:60" s="401" customFormat="1" ht="21" hidden="1" customHeight="1">
      <c r="A78" s="686" t="s">
        <v>588</v>
      </c>
      <c r="B78" s="686" t="s">
        <v>754</v>
      </c>
      <c r="C78" s="686" t="s">
        <v>755</v>
      </c>
      <c r="D78" s="686">
        <v>8332</v>
      </c>
      <c r="E78" s="686">
        <v>1</v>
      </c>
      <c r="F78" s="686"/>
      <c r="G78" s="686">
        <v>1</v>
      </c>
      <c r="H78" s="686">
        <v>6</v>
      </c>
      <c r="I78" s="686"/>
      <c r="J78" s="687">
        <v>54.66</v>
      </c>
      <c r="K78" s="687">
        <v>9077.2900000000009</v>
      </c>
      <c r="L78" s="687">
        <f t="shared" si="48"/>
        <v>9078.1200000000008</v>
      </c>
      <c r="M78" s="686">
        <v>36</v>
      </c>
      <c r="N78" s="688">
        <f t="shared" si="49"/>
        <v>3268.12</v>
      </c>
      <c r="O78" s="686">
        <v>20</v>
      </c>
      <c r="P78" s="687">
        <f t="shared" si="82"/>
        <v>1815.62</v>
      </c>
      <c r="Q78" s="689">
        <f t="shared" si="50"/>
        <v>14161.86</v>
      </c>
      <c r="R78" s="686">
        <f t="shared" si="51"/>
        <v>14161.86</v>
      </c>
      <c r="S78" s="686">
        <f t="shared" si="5"/>
        <v>1815.62</v>
      </c>
      <c r="T78" s="686"/>
      <c r="U78" s="671">
        <f t="shared" si="52"/>
        <v>42485.58</v>
      </c>
      <c r="V78" s="671">
        <f t="shared" si="53"/>
        <v>27234.36</v>
      </c>
      <c r="W78" s="671">
        <f t="shared" si="54"/>
        <v>15251.22</v>
      </c>
      <c r="X78" s="671">
        <f t="shared" si="55"/>
        <v>42485.58</v>
      </c>
      <c r="Y78" s="691">
        <f t="shared" si="56"/>
        <v>9078.1200000000008</v>
      </c>
      <c r="Z78" s="691">
        <v>1</v>
      </c>
      <c r="AA78" s="671">
        <f t="shared" si="57"/>
        <v>27234.36</v>
      </c>
      <c r="AB78" s="671">
        <f t="shared" si="58"/>
        <v>15251.22</v>
      </c>
      <c r="AC78" s="671">
        <f t="shared" si="59"/>
        <v>44185</v>
      </c>
      <c r="AD78" s="689">
        <f t="shared" si="60"/>
        <v>9441.24</v>
      </c>
      <c r="AE78" s="691">
        <f t="shared" si="83"/>
        <v>1.04</v>
      </c>
      <c r="AF78" s="671">
        <f t="shared" si="61"/>
        <v>28323.73</v>
      </c>
      <c r="AG78" s="692">
        <f t="shared" si="62"/>
        <v>15861.27</v>
      </c>
      <c r="AH78" s="671">
        <f t="shared" si="63"/>
        <v>44891.96</v>
      </c>
      <c r="AI78" s="691">
        <f t="shared" si="64"/>
        <v>9592.2999999999993</v>
      </c>
      <c r="AJ78" s="691">
        <f t="shared" si="84"/>
        <v>1.016</v>
      </c>
      <c r="AK78" s="671">
        <f t="shared" si="65"/>
        <v>28776.91</v>
      </c>
      <c r="AL78" s="671">
        <f t="shared" si="66"/>
        <v>16115.05</v>
      </c>
      <c r="AM78" s="693">
        <v>0.04</v>
      </c>
      <c r="AN78" s="694">
        <f t="shared" si="46"/>
        <v>0.04</v>
      </c>
      <c r="AO78" s="691">
        <f t="shared" si="67"/>
        <v>1699.42</v>
      </c>
      <c r="AP78" s="691">
        <f t="shared" si="68"/>
        <v>1699.42</v>
      </c>
      <c r="AQ78" s="691">
        <f t="shared" si="69"/>
        <v>1767.4</v>
      </c>
      <c r="AR78" s="691">
        <f t="shared" si="70"/>
        <v>1795.68</v>
      </c>
      <c r="AS78" s="671">
        <f t="shared" si="71"/>
        <v>40786.160000000003</v>
      </c>
      <c r="AT78" s="671">
        <f t="shared" si="72"/>
        <v>40786.160000000003</v>
      </c>
      <c r="AU78" s="671">
        <f t="shared" si="73"/>
        <v>42417.599999999999</v>
      </c>
      <c r="AV78" s="671">
        <f t="shared" si="74"/>
        <v>43096.28</v>
      </c>
      <c r="AW78" s="695">
        <f t="shared" si="75"/>
        <v>9115.8799999999992</v>
      </c>
      <c r="AX78" s="696">
        <f t="shared" si="76"/>
        <v>9115.8799999999992</v>
      </c>
      <c r="AY78" s="696">
        <f t="shared" si="77"/>
        <v>9480.51</v>
      </c>
      <c r="AZ78" s="697">
        <f t="shared" si="78"/>
        <v>9632.2000000000007</v>
      </c>
      <c r="BA78" s="832"/>
      <c r="BB78" s="694">
        <f t="shared" si="79"/>
        <v>129864.16</v>
      </c>
      <c r="BC78" s="694">
        <f t="shared" si="80"/>
        <v>111569.36</v>
      </c>
      <c r="BD78" s="694">
        <f t="shared" si="81"/>
        <v>62478.76</v>
      </c>
      <c r="BE78" s="694">
        <f t="shared" si="47"/>
        <v>10822.013333333334</v>
      </c>
      <c r="BF78" s="694"/>
      <c r="BG78" s="699">
        <v>8.4099999999999994E-2</v>
      </c>
      <c r="BH78" s="700">
        <v>0.22</v>
      </c>
    </row>
    <row r="79" spans="1:60" ht="21" customHeight="1">
      <c r="A79" s="651" t="s">
        <v>589</v>
      </c>
      <c r="B79" s="651" t="s">
        <v>754</v>
      </c>
      <c r="C79" s="651" t="s">
        <v>755</v>
      </c>
      <c r="D79" s="652">
        <v>8332</v>
      </c>
      <c r="E79" s="652">
        <v>1</v>
      </c>
      <c r="F79" s="652"/>
      <c r="G79" s="652">
        <v>1</v>
      </c>
      <c r="H79" s="652">
        <v>4</v>
      </c>
      <c r="I79" s="652">
        <f>G79</f>
        <v>1</v>
      </c>
      <c r="J79" s="654">
        <v>41</v>
      </c>
      <c r="K79" s="654">
        <v>6808.83</v>
      </c>
      <c r="L79" s="687">
        <f t="shared" si="48"/>
        <v>6809.42</v>
      </c>
      <c r="M79" s="652">
        <v>28</v>
      </c>
      <c r="N79" s="688">
        <f t="shared" si="49"/>
        <v>1906.64</v>
      </c>
      <c r="O79" s="652">
        <v>20</v>
      </c>
      <c r="P79" s="687">
        <f t="shared" si="82"/>
        <v>1361.88</v>
      </c>
      <c r="Q79" s="689">
        <f t="shared" si="50"/>
        <v>10077.94</v>
      </c>
      <c r="R79" s="686">
        <f t="shared" si="51"/>
        <v>10077.94</v>
      </c>
      <c r="S79" s="651">
        <f t="shared" si="5"/>
        <v>1361.88</v>
      </c>
      <c r="T79" s="651"/>
      <c r="U79" s="671">
        <f t="shared" si="52"/>
        <v>30233.82</v>
      </c>
      <c r="V79" s="671">
        <f t="shared" si="53"/>
        <v>20428.259999999998</v>
      </c>
      <c r="W79" s="671">
        <f t="shared" si="54"/>
        <v>9805.56</v>
      </c>
      <c r="X79" s="671">
        <f t="shared" si="55"/>
        <v>30233.82</v>
      </c>
      <c r="Y79" s="691">
        <f t="shared" si="56"/>
        <v>6809.42</v>
      </c>
      <c r="Z79" s="691">
        <v>1</v>
      </c>
      <c r="AA79" s="671">
        <f t="shared" si="57"/>
        <v>20428.259999999998</v>
      </c>
      <c r="AB79" s="671">
        <f t="shared" si="58"/>
        <v>9805.56</v>
      </c>
      <c r="AC79" s="671">
        <f t="shared" si="59"/>
        <v>31443.17</v>
      </c>
      <c r="AD79" s="689">
        <f t="shared" si="60"/>
        <v>7081.8</v>
      </c>
      <c r="AE79" s="691">
        <f t="shared" si="83"/>
        <v>1.04</v>
      </c>
      <c r="AF79" s="671">
        <f t="shared" si="61"/>
        <v>21245.39</v>
      </c>
      <c r="AG79" s="692">
        <f t="shared" si="62"/>
        <v>10197.780000000001</v>
      </c>
      <c r="AH79" s="671">
        <f t="shared" si="63"/>
        <v>31946.26</v>
      </c>
      <c r="AI79" s="691">
        <f t="shared" si="64"/>
        <v>7195.11</v>
      </c>
      <c r="AJ79" s="691">
        <f t="shared" si="84"/>
        <v>1.016</v>
      </c>
      <c r="AK79" s="671">
        <f t="shared" si="65"/>
        <v>21585.32</v>
      </c>
      <c r="AL79" s="671">
        <f t="shared" si="66"/>
        <v>10360.94</v>
      </c>
      <c r="AM79" s="661">
        <v>0.04</v>
      </c>
      <c r="AN79" s="662">
        <f t="shared" si="46"/>
        <v>0.04</v>
      </c>
      <c r="AO79" s="691">
        <f t="shared" si="67"/>
        <v>1209.3499999999999</v>
      </c>
      <c r="AP79" s="691">
        <f t="shared" si="68"/>
        <v>1209.3499999999999</v>
      </c>
      <c r="AQ79" s="691">
        <f t="shared" si="69"/>
        <v>1257.73</v>
      </c>
      <c r="AR79" s="691">
        <f t="shared" si="70"/>
        <v>1277.8499999999999</v>
      </c>
      <c r="AS79" s="671">
        <f t="shared" si="71"/>
        <v>29024.47</v>
      </c>
      <c r="AT79" s="671">
        <f t="shared" si="72"/>
        <v>29024.47</v>
      </c>
      <c r="AU79" s="671">
        <f t="shared" si="73"/>
        <v>30185.439999999999</v>
      </c>
      <c r="AV79" s="671">
        <f t="shared" si="74"/>
        <v>30668.41</v>
      </c>
      <c r="AW79" s="695">
        <f t="shared" si="75"/>
        <v>6487.09</v>
      </c>
      <c r="AX79" s="696">
        <f t="shared" si="76"/>
        <v>6487.09</v>
      </c>
      <c r="AY79" s="696">
        <f t="shared" si="77"/>
        <v>6746.57</v>
      </c>
      <c r="AZ79" s="697">
        <f t="shared" si="78"/>
        <v>6854.52</v>
      </c>
      <c r="BA79" s="832"/>
      <c r="BB79" s="663">
        <f t="shared" si="79"/>
        <v>92414.94</v>
      </c>
      <c r="BC79" s="694">
        <f t="shared" si="80"/>
        <v>83687.23</v>
      </c>
      <c r="BD79" s="694">
        <f t="shared" si="81"/>
        <v>40169.839999999997</v>
      </c>
      <c r="BE79" s="663">
        <f t="shared" si="47"/>
        <v>7701.2449999999999</v>
      </c>
      <c r="BG79" s="699">
        <v>8.4099999999999994E-2</v>
      </c>
      <c r="BH79" s="700">
        <v>0.22</v>
      </c>
    </row>
    <row r="80" spans="1:60" ht="21" customHeight="1">
      <c r="A80" s="651" t="s">
        <v>590</v>
      </c>
      <c r="B80" s="651" t="s">
        <v>754</v>
      </c>
      <c r="C80" s="651" t="s">
        <v>755</v>
      </c>
      <c r="D80" s="652">
        <v>8332</v>
      </c>
      <c r="E80" s="652">
        <v>1</v>
      </c>
      <c r="F80" s="652"/>
      <c r="G80" s="652">
        <v>1</v>
      </c>
      <c r="H80" s="652">
        <v>4</v>
      </c>
      <c r="I80" s="652">
        <f t="shared" ref="I80:I85" si="85">G80</f>
        <v>1</v>
      </c>
      <c r="J80" s="654">
        <v>41</v>
      </c>
      <c r="K80" s="654">
        <v>6808.83</v>
      </c>
      <c r="L80" s="687">
        <f t="shared" si="48"/>
        <v>6809.42</v>
      </c>
      <c r="M80" s="652">
        <v>28</v>
      </c>
      <c r="N80" s="688">
        <f t="shared" si="49"/>
        <v>1906.64</v>
      </c>
      <c r="O80" s="652">
        <v>20</v>
      </c>
      <c r="P80" s="687">
        <f t="shared" si="82"/>
        <v>1361.88</v>
      </c>
      <c r="Q80" s="689">
        <f t="shared" si="50"/>
        <v>10077.94</v>
      </c>
      <c r="R80" s="686">
        <f t="shared" si="51"/>
        <v>10077.94</v>
      </c>
      <c r="S80" s="651">
        <f t="shared" ref="S80:S113" si="86">P80*G80</f>
        <v>1361.88</v>
      </c>
      <c r="T80" s="651"/>
      <c r="U80" s="671">
        <f t="shared" si="52"/>
        <v>30233.82</v>
      </c>
      <c r="V80" s="671">
        <f t="shared" si="53"/>
        <v>20428.259999999998</v>
      </c>
      <c r="W80" s="671">
        <f t="shared" si="54"/>
        <v>9805.56</v>
      </c>
      <c r="X80" s="671">
        <f t="shared" si="55"/>
        <v>30233.82</v>
      </c>
      <c r="Y80" s="691">
        <f t="shared" si="56"/>
        <v>6809.42</v>
      </c>
      <c r="Z80" s="691">
        <v>1</v>
      </c>
      <c r="AA80" s="671">
        <f t="shared" si="57"/>
        <v>20428.259999999998</v>
      </c>
      <c r="AB80" s="671">
        <f t="shared" si="58"/>
        <v>9805.56</v>
      </c>
      <c r="AC80" s="671">
        <f t="shared" si="59"/>
        <v>31443.17</v>
      </c>
      <c r="AD80" s="689">
        <f t="shared" si="60"/>
        <v>7081.8</v>
      </c>
      <c r="AE80" s="691">
        <f t="shared" si="83"/>
        <v>1.04</v>
      </c>
      <c r="AF80" s="671">
        <f t="shared" si="61"/>
        <v>21245.39</v>
      </c>
      <c r="AG80" s="692">
        <f t="shared" si="62"/>
        <v>10197.780000000001</v>
      </c>
      <c r="AH80" s="671">
        <f t="shared" si="63"/>
        <v>31946.26</v>
      </c>
      <c r="AI80" s="691">
        <f t="shared" si="64"/>
        <v>7195.11</v>
      </c>
      <c r="AJ80" s="691">
        <f t="shared" si="84"/>
        <v>1.016</v>
      </c>
      <c r="AK80" s="671">
        <f t="shared" si="65"/>
        <v>21585.32</v>
      </c>
      <c r="AL80" s="671">
        <f t="shared" si="66"/>
        <v>10360.94</v>
      </c>
      <c r="AM80" s="661">
        <v>0.04</v>
      </c>
      <c r="AN80" s="662">
        <f t="shared" si="46"/>
        <v>0.04</v>
      </c>
      <c r="AO80" s="691">
        <f t="shared" si="67"/>
        <v>1209.3499999999999</v>
      </c>
      <c r="AP80" s="691">
        <f t="shared" si="68"/>
        <v>1209.3499999999999</v>
      </c>
      <c r="AQ80" s="691">
        <f t="shared" si="69"/>
        <v>1257.73</v>
      </c>
      <c r="AR80" s="691">
        <f t="shared" si="70"/>
        <v>1277.8499999999999</v>
      </c>
      <c r="AS80" s="671">
        <f t="shared" si="71"/>
        <v>29024.47</v>
      </c>
      <c r="AT80" s="671">
        <f t="shared" si="72"/>
        <v>29024.47</v>
      </c>
      <c r="AU80" s="671">
        <f t="shared" si="73"/>
        <v>30185.439999999999</v>
      </c>
      <c r="AV80" s="671">
        <f t="shared" si="74"/>
        <v>30668.41</v>
      </c>
      <c r="AW80" s="695">
        <f t="shared" si="75"/>
        <v>6487.09</v>
      </c>
      <c r="AX80" s="696">
        <f t="shared" si="76"/>
        <v>6487.09</v>
      </c>
      <c r="AY80" s="696">
        <f t="shared" si="77"/>
        <v>6746.57</v>
      </c>
      <c r="AZ80" s="697">
        <f t="shared" si="78"/>
        <v>6854.52</v>
      </c>
      <c r="BA80" s="832"/>
      <c r="BB80" s="663">
        <f t="shared" si="79"/>
        <v>92414.94</v>
      </c>
      <c r="BC80" s="694">
        <f t="shared" si="80"/>
        <v>83687.23</v>
      </c>
      <c r="BD80" s="694">
        <f t="shared" si="81"/>
        <v>40169.839999999997</v>
      </c>
      <c r="BE80" s="663">
        <f t="shared" si="47"/>
        <v>7701.2449999999999</v>
      </c>
      <c r="BG80" s="699">
        <v>8.4099999999999994E-2</v>
      </c>
      <c r="BH80" s="700">
        <v>0.22</v>
      </c>
    </row>
    <row r="81" spans="1:60" ht="21" customHeight="1">
      <c r="A81" s="651" t="s">
        <v>591</v>
      </c>
      <c r="B81" s="651" t="s">
        <v>754</v>
      </c>
      <c r="C81" s="651" t="s">
        <v>755</v>
      </c>
      <c r="D81" s="652">
        <v>8332</v>
      </c>
      <c r="E81" s="652">
        <v>4</v>
      </c>
      <c r="F81" s="652"/>
      <c r="G81" s="652">
        <v>1</v>
      </c>
      <c r="H81" s="652">
        <v>4</v>
      </c>
      <c r="I81" s="652">
        <f t="shared" si="85"/>
        <v>1</v>
      </c>
      <c r="J81" s="654">
        <v>41</v>
      </c>
      <c r="K81" s="654">
        <v>6808.83</v>
      </c>
      <c r="L81" s="687">
        <f t="shared" si="48"/>
        <v>6809.42</v>
      </c>
      <c r="M81" s="652">
        <v>28</v>
      </c>
      <c r="N81" s="688">
        <f t="shared" si="49"/>
        <v>1906.64</v>
      </c>
      <c r="O81" s="652">
        <v>20</v>
      </c>
      <c r="P81" s="687">
        <f t="shared" si="82"/>
        <v>1361.88</v>
      </c>
      <c r="Q81" s="689">
        <f t="shared" si="50"/>
        <v>10077.94</v>
      </c>
      <c r="R81" s="686">
        <f t="shared" si="51"/>
        <v>10077.94</v>
      </c>
      <c r="S81" s="651">
        <f t="shared" si="86"/>
        <v>1361.88</v>
      </c>
      <c r="T81" s="651"/>
      <c r="U81" s="671">
        <f t="shared" si="52"/>
        <v>30233.82</v>
      </c>
      <c r="V81" s="671">
        <f t="shared" si="53"/>
        <v>20428.259999999998</v>
      </c>
      <c r="W81" s="671">
        <f t="shared" si="54"/>
        <v>9805.56</v>
      </c>
      <c r="X81" s="671">
        <f t="shared" si="55"/>
        <v>30233.82</v>
      </c>
      <c r="Y81" s="691">
        <f t="shared" si="56"/>
        <v>6809.42</v>
      </c>
      <c r="Z81" s="691">
        <v>1</v>
      </c>
      <c r="AA81" s="671">
        <f t="shared" si="57"/>
        <v>20428.259999999998</v>
      </c>
      <c r="AB81" s="671">
        <f t="shared" si="58"/>
        <v>9805.56</v>
      </c>
      <c r="AC81" s="671">
        <f t="shared" si="59"/>
        <v>31443.17</v>
      </c>
      <c r="AD81" s="689">
        <f t="shared" si="60"/>
        <v>7081.8</v>
      </c>
      <c r="AE81" s="691">
        <f t="shared" si="83"/>
        <v>1.04</v>
      </c>
      <c r="AF81" s="671">
        <f t="shared" si="61"/>
        <v>21245.39</v>
      </c>
      <c r="AG81" s="692">
        <f t="shared" si="62"/>
        <v>10197.780000000001</v>
      </c>
      <c r="AH81" s="671">
        <f t="shared" si="63"/>
        <v>31946.26</v>
      </c>
      <c r="AI81" s="691">
        <f t="shared" si="64"/>
        <v>7195.11</v>
      </c>
      <c r="AJ81" s="691">
        <f t="shared" si="84"/>
        <v>1.016</v>
      </c>
      <c r="AK81" s="671">
        <f t="shared" si="65"/>
        <v>21585.32</v>
      </c>
      <c r="AL81" s="671">
        <f t="shared" si="66"/>
        <v>10360.94</v>
      </c>
      <c r="AM81" s="661">
        <v>0.04</v>
      </c>
      <c r="AN81" s="662">
        <f t="shared" si="46"/>
        <v>0.04</v>
      </c>
      <c r="AO81" s="691">
        <f t="shared" si="67"/>
        <v>1209.3499999999999</v>
      </c>
      <c r="AP81" s="691">
        <f t="shared" si="68"/>
        <v>1209.3499999999999</v>
      </c>
      <c r="AQ81" s="691">
        <f t="shared" si="69"/>
        <v>1257.73</v>
      </c>
      <c r="AR81" s="691">
        <f t="shared" si="70"/>
        <v>1277.8499999999999</v>
      </c>
      <c r="AS81" s="671">
        <f t="shared" si="71"/>
        <v>29024.47</v>
      </c>
      <c r="AT81" s="671">
        <f t="shared" si="72"/>
        <v>29024.47</v>
      </c>
      <c r="AU81" s="671">
        <f t="shared" si="73"/>
        <v>30185.439999999999</v>
      </c>
      <c r="AV81" s="671">
        <f t="shared" si="74"/>
        <v>30668.41</v>
      </c>
      <c r="AW81" s="695">
        <f t="shared" si="75"/>
        <v>6487.09</v>
      </c>
      <c r="AX81" s="696">
        <f t="shared" si="76"/>
        <v>6487.09</v>
      </c>
      <c r="AY81" s="696">
        <f t="shared" si="77"/>
        <v>6746.57</v>
      </c>
      <c r="AZ81" s="697">
        <f t="shared" si="78"/>
        <v>6854.52</v>
      </c>
      <c r="BA81" s="832"/>
      <c r="BB81" s="663">
        <f t="shared" si="79"/>
        <v>92414.94</v>
      </c>
      <c r="BC81" s="694">
        <f t="shared" si="80"/>
        <v>83687.23</v>
      </c>
      <c r="BD81" s="694">
        <f t="shared" si="81"/>
        <v>40169.839999999997</v>
      </c>
      <c r="BE81" s="663">
        <f t="shared" si="47"/>
        <v>7701.2449999999999</v>
      </c>
      <c r="BG81" s="699">
        <v>8.4099999999999994E-2</v>
      </c>
      <c r="BH81" s="700">
        <v>0.22</v>
      </c>
    </row>
    <row r="82" spans="1:60" ht="21" customHeight="1">
      <c r="A82" s="651" t="s">
        <v>592</v>
      </c>
      <c r="B82" s="651" t="s">
        <v>754</v>
      </c>
      <c r="C82" s="651" t="s">
        <v>755</v>
      </c>
      <c r="D82" s="652">
        <v>8332</v>
      </c>
      <c r="E82" s="652">
        <v>3</v>
      </c>
      <c r="F82" s="652"/>
      <c r="G82" s="652">
        <v>1</v>
      </c>
      <c r="H82" s="652">
        <v>5</v>
      </c>
      <c r="I82" s="652">
        <f t="shared" si="85"/>
        <v>1</v>
      </c>
      <c r="J82" s="654">
        <v>46.76</v>
      </c>
      <c r="K82" s="654">
        <v>7765.43</v>
      </c>
      <c r="L82" s="687">
        <f t="shared" si="48"/>
        <v>7766.06</v>
      </c>
      <c r="M82" s="652">
        <v>32</v>
      </c>
      <c r="N82" s="688">
        <f t="shared" si="49"/>
        <v>2485.14</v>
      </c>
      <c r="O82" s="652">
        <v>20</v>
      </c>
      <c r="P82" s="687">
        <f t="shared" si="82"/>
        <v>1553.21</v>
      </c>
      <c r="Q82" s="689">
        <f t="shared" si="50"/>
        <v>11804.41</v>
      </c>
      <c r="R82" s="686">
        <f t="shared" si="51"/>
        <v>11804.41</v>
      </c>
      <c r="S82" s="651">
        <f t="shared" si="86"/>
        <v>1553.21</v>
      </c>
      <c r="T82" s="651"/>
      <c r="U82" s="671">
        <f t="shared" si="52"/>
        <v>35413.230000000003</v>
      </c>
      <c r="V82" s="671">
        <f t="shared" si="53"/>
        <v>23298.18</v>
      </c>
      <c r="W82" s="671">
        <f t="shared" si="54"/>
        <v>12115.05</v>
      </c>
      <c r="X82" s="671">
        <f t="shared" si="55"/>
        <v>35413.229999999996</v>
      </c>
      <c r="Y82" s="691">
        <f t="shared" si="56"/>
        <v>7766.06</v>
      </c>
      <c r="Z82" s="691">
        <v>1</v>
      </c>
      <c r="AA82" s="671">
        <f t="shared" si="57"/>
        <v>23298.18</v>
      </c>
      <c r="AB82" s="671">
        <f t="shared" si="58"/>
        <v>12115.05</v>
      </c>
      <c r="AC82" s="671">
        <f t="shared" si="59"/>
        <v>36829.760000000002</v>
      </c>
      <c r="AD82" s="689">
        <f t="shared" si="60"/>
        <v>8076.7</v>
      </c>
      <c r="AE82" s="691">
        <f t="shared" si="83"/>
        <v>1.04</v>
      </c>
      <c r="AF82" s="671">
        <f t="shared" si="61"/>
        <v>24230.11</v>
      </c>
      <c r="AG82" s="692">
        <f t="shared" si="62"/>
        <v>12599.65</v>
      </c>
      <c r="AH82" s="671">
        <f t="shared" si="63"/>
        <v>37419.03</v>
      </c>
      <c r="AI82" s="691">
        <f t="shared" si="64"/>
        <v>8205.93</v>
      </c>
      <c r="AJ82" s="691">
        <f t="shared" si="84"/>
        <v>1.016</v>
      </c>
      <c r="AK82" s="671">
        <f t="shared" si="65"/>
        <v>24617.79</v>
      </c>
      <c r="AL82" s="671">
        <f t="shared" si="66"/>
        <v>12801.24</v>
      </c>
      <c r="AM82" s="661">
        <v>0.04</v>
      </c>
      <c r="AN82" s="662">
        <f t="shared" si="46"/>
        <v>0.04</v>
      </c>
      <c r="AO82" s="691">
        <f t="shared" si="67"/>
        <v>1416.53</v>
      </c>
      <c r="AP82" s="691">
        <f t="shared" si="68"/>
        <v>1416.53</v>
      </c>
      <c r="AQ82" s="691">
        <f t="shared" si="69"/>
        <v>1473.19</v>
      </c>
      <c r="AR82" s="691">
        <f t="shared" si="70"/>
        <v>1496.76</v>
      </c>
      <c r="AS82" s="671">
        <f t="shared" si="71"/>
        <v>33996.700000000004</v>
      </c>
      <c r="AT82" s="671">
        <f t="shared" si="72"/>
        <v>33996.699999999997</v>
      </c>
      <c r="AU82" s="671">
        <f t="shared" si="73"/>
        <v>35356.57</v>
      </c>
      <c r="AV82" s="671">
        <f t="shared" si="74"/>
        <v>35922.269999999997</v>
      </c>
      <c r="AW82" s="695">
        <f t="shared" si="75"/>
        <v>7598.4</v>
      </c>
      <c r="AX82" s="696">
        <f t="shared" si="76"/>
        <v>7598.4</v>
      </c>
      <c r="AY82" s="696">
        <f t="shared" si="77"/>
        <v>7902.34</v>
      </c>
      <c r="AZ82" s="697">
        <f t="shared" si="78"/>
        <v>8028.78</v>
      </c>
      <c r="BA82" s="832"/>
      <c r="BB82" s="663">
        <f t="shared" si="79"/>
        <v>108246.52999999998</v>
      </c>
      <c r="BC82" s="694">
        <f t="shared" si="80"/>
        <v>95444.26</v>
      </c>
      <c r="BD82" s="694">
        <f t="shared" si="81"/>
        <v>49630.99</v>
      </c>
      <c r="BE82" s="663">
        <f t="shared" si="47"/>
        <v>9020.5441666666648</v>
      </c>
      <c r="BG82" s="699">
        <v>8.4099999999999994E-2</v>
      </c>
      <c r="BH82" s="700">
        <v>0.22</v>
      </c>
    </row>
    <row r="83" spans="1:60" ht="21" customHeight="1">
      <c r="A83" s="651" t="s">
        <v>593</v>
      </c>
      <c r="B83" s="651" t="s">
        <v>754</v>
      </c>
      <c r="C83" s="651" t="s">
        <v>755</v>
      </c>
      <c r="D83" s="652">
        <v>8332</v>
      </c>
      <c r="E83" s="652">
        <v>1</v>
      </c>
      <c r="F83" s="652"/>
      <c r="G83" s="652">
        <v>1</v>
      </c>
      <c r="H83" s="652">
        <v>5</v>
      </c>
      <c r="I83" s="652">
        <f t="shared" si="85"/>
        <v>1</v>
      </c>
      <c r="J83" s="654">
        <v>46.76</v>
      </c>
      <c r="K83" s="654">
        <v>7765.43</v>
      </c>
      <c r="L83" s="687">
        <f t="shared" si="48"/>
        <v>7766.06</v>
      </c>
      <c r="M83" s="652">
        <v>32</v>
      </c>
      <c r="N83" s="688">
        <f t="shared" si="49"/>
        <v>2485.14</v>
      </c>
      <c r="O83" s="652">
        <v>20</v>
      </c>
      <c r="P83" s="687">
        <f t="shared" si="82"/>
        <v>1553.21</v>
      </c>
      <c r="Q83" s="689">
        <f t="shared" si="50"/>
        <v>11804.41</v>
      </c>
      <c r="R83" s="686">
        <f t="shared" si="51"/>
        <v>11804.41</v>
      </c>
      <c r="S83" s="651">
        <f t="shared" si="86"/>
        <v>1553.21</v>
      </c>
      <c r="T83" s="651"/>
      <c r="U83" s="671">
        <f t="shared" si="52"/>
        <v>35413.230000000003</v>
      </c>
      <c r="V83" s="671">
        <f t="shared" si="53"/>
        <v>23298.18</v>
      </c>
      <c r="W83" s="671">
        <f t="shared" si="54"/>
        <v>12115.05</v>
      </c>
      <c r="X83" s="671">
        <f t="shared" si="55"/>
        <v>35413.229999999996</v>
      </c>
      <c r="Y83" s="691">
        <f t="shared" si="56"/>
        <v>7766.06</v>
      </c>
      <c r="Z83" s="691">
        <v>1</v>
      </c>
      <c r="AA83" s="671">
        <f t="shared" si="57"/>
        <v>23298.18</v>
      </c>
      <c r="AB83" s="671">
        <f t="shared" si="58"/>
        <v>12115.05</v>
      </c>
      <c r="AC83" s="671">
        <f t="shared" si="59"/>
        <v>36829.760000000002</v>
      </c>
      <c r="AD83" s="689">
        <f t="shared" si="60"/>
        <v>8076.7</v>
      </c>
      <c r="AE83" s="691">
        <f t="shared" si="83"/>
        <v>1.04</v>
      </c>
      <c r="AF83" s="671">
        <f t="shared" si="61"/>
        <v>24230.11</v>
      </c>
      <c r="AG83" s="692">
        <f t="shared" si="62"/>
        <v>12599.65</v>
      </c>
      <c r="AH83" s="671">
        <f t="shared" si="63"/>
        <v>37419.03</v>
      </c>
      <c r="AI83" s="691">
        <f t="shared" si="64"/>
        <v>8205.93</v>
      </c>
      <c r="AJ83" s="691">
        <f t="shared" si="84"/>
        <v>1.016</v>
      </c>
      <c r="AK83" s="671">
        <f t="shared" si="65"/>
        <v>24617.79</v>
      </c>
      <c r="AL83" s="671">
        <f t="shared" si="66"/>
        <v>12801.24</v>
      </c>
      <c r="AM83" s="661">
        <v>0.04</v>
      </c>
      <c r="AN83" s="662">
        <f t="shared" si="46"/>
        <v>0.04</v>
      </c>
      <c r="AO83" s="691">
        <f t="shared" si="67"/>
        <v>1416.53</v>
      </c>
      <c r="AP83" s="691">
        <f t="shared" si="68"/>
        <v>1416.53</v>
      </c>
      <c r="AQ83" s="691">
        <f t="shared" si="69"/>
        <v>1473.19</v>
      </c>
      <c r="AR83" s="691">
        <f t="shared" si="70"/>
        <v>1496.76</v>
      </c>
      <c r="AS83" s="671">
        <f t="shared" si="71"/>
        <v>33996.700000000004</v>
      </c>
      <c r="AT83" s="671">
        <f t="shared" si="72"/>
        <v>33996.699999999997</v>
      </c>
      <c r="AU83" s="671">
        <f t="shared" si="73"/>
        <v>35356.57</v>
      </c>
      <c r="AV83" s="671">
        <f t="shared" si="74"/>
        <v>35922.269999999997</v>
      </c>
      <c r="AW83" s="695">
        <f t="shared" si="75"/>
        <v>7598.4</v>
      </c>
      <c r="AX83" s="696">
        <f t="shared" si="76"/>
        <v>7598.4</v>
      </c>
      <c r="AY83" s="696">
        <f t="shared" si="77"/>
        <v>7902.34</v>
      </c>
      <c r="AZ83" s="697">
        <f t="shared" si="78"/>
        <v>8028.78</v>
      </c>
      <c r="BA83" s="832"/>
      <c r="BB83" s="663">
        <f t="shared" si="79"/>
        <v>108246.52999999998</v>
      </c>
      <c r="BC83" s="694">
        <f t="shared" si="80"/>
        <v>95444.26</v>
      </c>
      <c r="BD83" s="694">
        <f t="shared" si="81"/>
        <v>49630.99</v>
      </c>
      <c r="BE83" s="663">
        <f t="shared" si="47"/>
        <v>9020.5441666666648</v>
      </c>
      <c r="BG83" s="699">
        <v>8.4099999999999994E-2</v>
      </c>
      <c r="BH83" s="700">
        <v>0.22</v>
      </c>
    </row>
    <row r="84" spans="1:60" ht="21" customHeight="1">
      <c r="A84" s="651" t="s">
        <v>594</v>
      </c>
      <c r="B84" s="651" t="s">
        <v>754</v>
      </c>
      <c r="C84" s="651" t="s">
        <v>755</v>
      </c>
      <c r="D84" s="652">
        <v>8332</v>
      </c>
      <c r="E84" s="652">
        <v>1</v>
      </c>
      <c r="F84" s="652"/>
      <c r="G84" s="652">
        <v>1</v>
      </c>
      <c r="H84" s="652">
        <v>6</v>
      </c>
      <c r="I84" s="652">
        <f t="shared" si="85"/>
        <v>1</v>
      </c>
      <c r="J84" s="654">
        <v>54.66</v>
      </c>
      <c r="K84" s="654">
        <v>9077.2900000000009</v>
      </c>
      <c r="L84" s="687">
        <f t="shared" si="48"/>
        <v>9078.1200000000008</v>
      </c>
      <c r="M84" s="652">
        <v>36</v>
      </c>
      <c r="N84" s="688">
        <f t="shared" si="49"/>
        <v>3268.12</v>
      </c>
      <c r="O84" s="652">
        <v>20</v>
      </c>
      <c r="P84" s="687">
        <f t="shared" si="82"/>
        <v>1815.62</v>
      </c>
      <c r="Q84" s="689">
        <f t="shared" si="50"/>
        <v>14161.86</v>
      </c>
      <c r="R84" s="686">
        <f t="shared" si="51"/>
        <v>14161.86</v>
      </c>
      <c r="S84" s="651">
        <f t="shared" si="86"/>
        <v>1815.62</v>
      </c>
      <c r="T84" s="651"/>
      <c r="U84" s="671">
        <f t="shared" si="52"/>
        <v>42485.58</v>
      </c>
      <c r="V84" s="671">
        <f t="shared" si="53"/>
        <v>27234.36</v>
      </c>
      <c r="W84" s="671">
        <f t="shared" si="54"/>
        <v>15251.22</v>
      </c>
      <c r="X84" s="671">
        <f t="shared" si="55"/>
        <v>42485.58</v>
      </c>
      <c r="Y84" s="691">
        <f t="shared" si="56"/>
        <v>9078.1200000000008</v>
      </c>
      <c r="Z84" s="691">
        <v>1</v>
      </c>
      <c r="AA84" s="671">
        <f t="shared" si="57"/>
        <v>27234.36</v>
      </c>
      <c r="AB84" s="671">
        <f t="shared" si="58"/>
        <v>15251.22</v>
      </c>
      <c r="AC84" s="671">
        <f t="shared" si="59"/>
        <v>44185</v>
      </c>
      <c r="AD84" s="689">
        <f t="shared" si="60"/>
        <v>9441.24</v>
      </c>
      <c r="AE84" s="691">
        <f t="shared" si="83"/>
        <v>1.04</v>
      </c>
      <c r="AF84" s="671">
        <f t="shared" si="61"/>
        <v>28323.73</v>
      </c>
      <c r="AG84" s="692">
        <f t="shared" si="62"/>
        <v>15861.27</v>
      </c>
      <c r="AH84" s="671">
        <f t="shared" si="63"/>
        <v>44891.96</v>
      </c>
      <c r="AI84" s="691">
        <f t="shared" si="64"/>
        <v>9592.2999999999993</v>
      </c>
      <c r="AJ84" s="691">
        <f t="shared" si="84"/>
        <v>1.016</v>
      </c>
      <c r="AK84" s="671">
        <f t="shared" si="65"/>
        <v>28776.91</v>
      </c>
      <c r="AL84" s="671">
        <f t="shared" si="66"/>
        <v>16115.05</v>
      </c>
      <c r="AM84" s="661">
        <v>0.04</v>
      </c>
      <c r="AN84" s="662">
        <f t="shared" si="46"/>
        <v>0.04</v>
      </c>
      <c r="AO84" s="691">
        <f t="shared" si="67"/>
        <v>1699.42</v>
      </c>
      <c r="AP84" s="691">
        <f t="shared" si="68"/>
        <v>1699.42</v>
      </c>
      <c r="AQ84" s="691">
        <f t="shared" si="69"/>
        <v>1767.4</v>
      </c>
      <c r="AR84" s="691">
        <f t="shared" si="70"/>
        <v>1795.68</v>
      </c>
      <c r="AS84" s="671">
        <f t="shared" si="71"/>
        <v>40786.160000000003</v>
      </c>
      <c r="AT84" s="671">
        <f t="shared" si="72"/>
        <v>40786.160000000003</v>
      </c>
      <c r="AU84" s="671">
        <f t="shared" si="73"/>
        <v>42417.599999999999</v>
      </c>
      <c r="AV84" s="671">
        <f t="shared" si="74"/>
        <v>43096.28</v>
      </c>
      <c r="AW84" s="695">
        <f t="shared" si="75"/>
        <v>9115.8799999999992</v>
      </c>
      <c r="AX84" s="696">
        <f t="shared" si="76"/>
        <v>9115.8799999999992</v>
      </c>
      <c r="AY84" s="696">
        <f t="shared" si="77"/>
        <v>9480.51</v>
      </c>
      <c r="AZ84" s="697">
        <f t="shared" si="78"/>
        <v>9632.2000000000007</v>
      </c>
      <c r="BA84" s="832"/>
      <c r="BB84" s="663">
        <f t="shared" si="79"/>
        <v>129864.16</v>
      </c>
      <c r="BC84" s="694">
        <f t="shared" si="80"/>
        <v>111569.36</v>
      </c>
      <c r="BD84" s="694">
        <f t="shared" si="81"/>
        <v>62478.76</v>
      </c>
      <c r="BE84" s="663">
        <f t="shared" si="47"/>
        <v>10822.013333333334</v>
      </c>
      <c r="BG84" s="699">
        <v>8.4099999999999994E-2</v>
      </c>
      <c r="BH84" s="700">
        <v>0.22</v>
      </c>
    </row>
    <row r="85" spans="1:60" ht="21" customHeight="1">
      <c r="A85" s="651" t="s">
        <v>595</v>
      </c>
      <c r="B85" s="651" t="s">
        <v>754</v>
      </c>
      <c r="C85" s="651" t="s">
        <v>755</v>
      </c>
      <c r="D85" s="652">
        <v>8332</v>
      </c>
      <c r="E85" s="652">
        <v>2</v>
      </c>
      <c r="F85" s="652"/>
      <c r="G85" s="652">
        <v>1</v>
      </c>
      <c r="H85" s="652">
        <v>6</v>
      </c>
      <c r="I85" s="652">
        <f t="shared" si="85"/>
        <v>1</v>
      </c>
      <c r="J85" s="654">
        <v>54.66</v>
      </c>
      <c r="K85" s="654">
        <v>9077.2900000000009</v>
      </c>
      <c r="L85" s="687">
        <f t="shared" si="48"/>
        <v>9078.1200000000008</v>
      </c>
      <c r="M85" s="652">
        <v>36</v>
      </c>
      <c r="N85" s="688">
        <f t="shared" si="49"/>
        <v>3268.12</v>
      </c>
      <c r="O85" s="652">
        <v>20</v>
      </c>
      <c r="P85" s="687">
        <f t="shared" si="82"/>
        <v>1815.62</v>
      </c>
      <c r="Q85" s="689">
        <f t="shared" si="50"/>
        <v>14161.86</v>
      </c>
      <c r="R85" s="686">
        <f t="shared" si="51"/>
        <v>14161.86</v>
      </c>
      <c r="S85" s="651">
        <f t="shared" si="86"/>
        <v>1815.62</v>
      </c>
      <c r="T85" s="651"/>
      <c r="U85" s="671">
        <f t="shared" si="52"/>
        <v>42485.58</v>
      </c>
      <c r="V85" s="671">
        <f t="shared" si="53"/>
        <v>27234.36</v>
      </c>
      <c r="W85" s="671">
        <f t="shared" si="54"/>
        <v>15251.22</v>
      </c>
      <c r="X85" s="671">
        <f t="shared" si="55"/>
        <v>42485.58</v>
      </c>
      <c r="Y85" s="691">
        <f t="shared" si="56"/>
        <v>9078.1200000000008</v>
      </c>
      <c r="Z85" s="691">
        <v>1</v>
      </c>
      <c r="AA85" s="671">
        <f t="shared" si="57"/>
        <v>27234.36</v>
      </c>
      <c r="AB85" s="671">
        <f t="shared" si="58"/>
        <v>15251.22</v>
      </c>
      <c r="AC85" s="671">
        <f t="shared" si="59"/>
        <v>44185</v>
      </c>
      <c r="AD85" s="689">
        <f t="shared" si="60"/>
        <v>9441.24</v>
      </c>
      <c r="AE85" s="691">
        <f t="shared" si="83"/>
        <v>1.04</v>
      </c>
      <c r="AF85" s="671">
        <f t="shared" si="61"/>
        <v>28323.73</v>
      </c>
      <c r="AG85" s="692">
        <f t="shared" si="62"/>
        <v>15861.27</v>
      </c>
      <c r="AH85" s="671">
        <f t="shared" si="63"/>
        <v>44891.96</v>
      </c>
      <c r="AI85" s="691">
        <f t="shared" si="64"/>
        <v>9592.2999999999993</v>
      </c>
      <c r="AJ85" s="691">
        <f t="shared" si="84"/>
        <v>1.016</v>
      </c>
      <c r="AK85" s="671">
        <f t="shared" si="65"/>
        <v>28776.91</v>
      </c>
      <c r="AL85" s="671">
        <f t="shared" si="66"/>
        <v>16115.05</v>
      </c>
      <c r="AM85" s="661">
        <v>0.04</v>
      </c>
      <c r="AN85" s="662">
        <f t="shared" si="46"/>
        <v>0.04</v>
      </c>
      <c r="AO85" s="691">
        <f t="shared" si="67"/>
        <v>1699.42</v>
      </c>
      <c r="AP85" s="691">
        <f t="shared" si="68"/>
        <v>1699.42</v>
      </c>
      <c r="AQ85" s="691">
        <f t="shared" si="69"/>
        <v>1767.4</v>
      </c>
      <c r="AR85" s="691">
        <f t="shared" si="70"/>
        <v>1795.68</v>
      </c>
      <c r="AS85" s="671">
        <f t="shared" si="71"/>
        <v>40786.160000000003</v>
      </c>
      <c r="AT85" s="671">
        <f t="shared" si="72"/>
        <v>40786.160000000003</v>
      </c>
      <c r="AU85" s="671">
        <f t="shared" si="73"/>
        <v>42417.599999999999</v>
      </c>
      <c r="AV85" s="671">
        <f t="shared" si="74"/>
        <v>43096.28</v>
      </c>
      <c r="AW85" s="695">
        <f t="shared" si="75"/>
        <v>9115.8799999999992</v>
      </c>
      <c r="AX85" s="696">
        <f t="shared" si="76"/>
        <v>9115.8799999999992</v>
      </c>
      <c r="AY85" s="696">
        <f t="shared" si="77"/>
        <v>9480.51</v>
      </c>
      <c r="AZ85" s="697">
        <f t="shared" si="78"/>
        <v>9632.2000000000007</v>
      </c>
      <c r="BA85" s="832"/>
      <c r="BB85" s="663">
        <f t="shared" si="79"/>
        <v>129864.16</v>
      </c>
      <c r="BC85" s="694">
        <f t="shared" si="80"/>
        <v>111569.36</v>
      </c>
      <c r="BD85" s="694">
        <f t="shared" si="81"/>
        <v>62478.76</v>
      </c>
      <c r="BE85" s="663">
        <f t="shared" si="47"/>
        <v>10822.013333333334</v>
      </c>
      <c r="BG85" s="699">
        <v>8.4099999999999994E-2</v>
      </c>
      <c r="BH85" s="700">
        <v>0.22</v>
      </c>
    </row>
    <row r="86" spans="1:60" ht="21" hidden="1" customHeight="1">
      <c r="A86" s="651" t="s">
        <v>596</v>
      </c>
      <c r="B86" s="651" t="s">
        <v>754</v>
      </c>
      <c r="C86" s="651" t="s">
        <v>755</v>
      </c>
      <c r="D86" s="652">
        <v>8332</v>
      </c>
      <c r="E86" s="652">
        <v>1</v>
      </c>
      <c r="F86" s="652"/>
      <c r="G86" s="652">
        <v>1</v>
      </c>
      <c r="H86" s="652">
        <v>4</v>
      </c>
      <c r="I86" s="652"/>
      <c r="J86" s="654">
        <v>41</v>
      </c>
      <c r="K86" s="654">
        <v>6808.83</v>
      </c>
      <c r="L86" s="687">
        <f t="shared" si="48"/>
        <v>6809.42</v>
      </c>
      <c r="M86" s="652">
        <v>28</v>
      </c>
      <c r="N86" s="688">
        <f t="shared" si="49"/>
        <v>1906.64</v>
      </c>
      <c r="O86" s="652">
        <v>20</v>
      </c>
      <c r="P86" s="687">
        <f t="shared" si="82"/>
        <v>1361.88</v>
      </c>
      <c r="Q86" s="689">
        <f t="shared" si="50"/>
        <v>10077.94</v>
      </c>
      <c r="R86" s="686">
        <f t="shared" si="51"/>
        <v>10077.94</v>
      </c>
      <c r="S86" s="651">
        <f t="shared" si="86"/>
        <v>1361.88</v>
      </c>
      <c r="T86" s="651"/>
      <c r="U86" s="671">
        <f t="shared" si="52"/>
        <v>30233.82</v>
      </c>
      <c r="V86" s="671">
        <f t="shared" si="53"/>
        <v>20428.259999999998</v>
      </c>
      <c r="W86" s="671">
        <f t="shared" si="54"/>
        <v>9805.56</v>
      </c>
      <c r="X86" s="671">
        <f t="shared" si="55"/>
        <v>30233.82</v>
      </c>
      <c r="Y86" s="691">
        <f t="shared" si="56"/>
        <v>6809.42</v>
      </c>
      <c r="Z86" s="691">
        <v>1</v>
      </c>
      <c r="AA86" s="671">
        <f t="shared" si="57"/>
        <v>20428.259999999998</v>
      </c>
      <c r="AB86" s="671">
        <f t="shared" si="58"/>
        <v>9805.56</v>
      </c>
      <c r="AC86" s="671">
        <f t="shared" si="59"/>
        <v>31443.17</v>
      </c>
      <c r="AD86" s="689">
        <f t="shared" si="60"/>
        <v>7081.8</v>
      </c>
      <c r="AE86" s="691">
        <f t="shared" si="83"/>
        <v>1.04</v>
      </c>
      <c r="AF86" s="671">
        <f t="shared" si="61"/>
        <v>21245.39</v>
      </c>
      <c r="AG86" s="692">
        <f t="shared" si="62"/>
        <v>10197.780000000001</v>
      </c>
      <c r="AH86" s="671">
        <f t="shared" si="63"/>
        <v>31946.26</v>
      </c>
      <c r="AI86" s="691">
        <f t="shared" si="64"/>
        <v>7195.11</v>
      </c>
      <c r="AJ86" s="691">
        <f t="shared" si="84"/>
        <v>1.016</v>
      </c>
      <c r="AK86" s="671">
        <f t="shared" si="65"/>
        <v>21585.32</v>
      </c>
      <c r="AL86" s="671">
        <f t="shared" si="66"/>
        <v>10360.94</v>
      </c>
      <c r="AM86" s="661">
        <v>0.04</v>
      </c>
      <c r="AN86" s="662">
        <f t="shared" si="46"/>
        <v>0.04</v>
      </c>
      <c r="AO86" s="691">
        <f t="shared" si="67"/>
        <v>1209.3499999999999</v>
      </c>
      <c r="AP86" s="691">
        <f t="shared" si="68"/>
        <v>1209.3499999999999</v>
      </c>
      <c r="AQ86" s="691">
        <f t="shared" si="69"/>
        <v>1257.73</v>
      </c>
      <c r="AR86" s="691">
        <f t="shared" si="70"/>
        <v>1277.8499999999999</v>
      </c>
      <c r="AS86" s="671">
        <f t="shared" si="71"/>
        <v>29024.47</v>
      </c>
      <c r="AT86" s="671">
        <f t="shared" si="72"/>
        <v>29024.47</v>
      </c>
      <c r="AU86" s="671">
        <f t="shared" si="73"/>
        <v>30185.439999999999</v>
      </c>
      <c r="AV86" s="671">
        <f t="shared" si="74"/>
        <v>30668.41</v>
      </c>
      <c r="AW86" s="695">
        <f t="shared" si="75"/>
        <v>6487.09</v>
      </c>
      <c r="AX86" s="696">
        <f t="shared" si="76"/>
        <v>6487.09</v>
      </c>
      <c r="AY86" s="696">
        <f t="shared" si="77"/>
        <v>6746.57</v>
      </c>
      <c r="AZ86" s="697">
        <f t="shared" si="78"/>
        <v>6854.52</v>
      </c>
      <c r="BA86" s="832"/>
      <c r="BB86" s="663">
        <f t="shared" si="79"/>
        <v>92414.94</v>
      </c>
      <c r="BC86" s="694">
        <f t="shared" si="80"/>
        <v>83687.23</v>
      </c>
      <c r="BD86" s="694">
        <f t="shared" si="81"/>
        <v>40169.839999999997</v>
      </c>
      <c r="BE86" s="663">
        <f t="shared" si="47"/>
        <v>7701.2449999999999</v>
      </c>
      <c r="BG86" s="699">
        <v>8.4099999999999994E-2</v>
      </c>
      <c r="BH86" s="700">
        <v>0.22</v>
      </c>
    </row>
    <row r="87" spans="1:60" ht="21" hidden="1" customHeight="1">
      <c r="A87" s="651" t="s">
        <v>597</v>
      </c>
      <c r="B87" s="651" t="s">
        <v>754</v>
      </c>
      <c r="C87" s="651" t="s">
        <v>755</v>
      </c>
      <c r="D87" s="652">
        <v>8332</v>
      </c>
      <c r="E87" s="652">
        <v>2</v>
      </c>
      <c r="F87" s="652"/>
      <c r="G87" s="652">
        <v>1</v>
      </c>
      <c r="H87" s="652">
        <v>6</v>
      </c>
      <c r="I87" s="652"/>
      <c r="J87" s="654">
        <v>54.66</v>
      </c>
      <c r="K87" s="654">
        <v>9077.2900000000009</v>
      </c>
      <c r="L87" s="687">
        <f t="shared" si="48"/>
        <v>9078.1200000000008</v>
      </c>
      <c r="M87" s="652">
        <v>36</v>
      </c>
      <c r="N87" s="688">
        <f t="shared" si="49"/>
        <v>3268.12</v>
      </c>
      <c r="O87" s="652">
        <v>20</v>
      </c>
      <c r="P87" s="687">
        <f t="shared" si="82"/>
        <v>1815.62</v>
      </c>
      <c r="Q87" s="689">
        <f t="shared" si="50"/>
        <v>14161.86</v>
      </c>
      <c r="R87" s="686">
        <f t="shared" si="51"/>
        <v>14161.86</v>
      </c>
      <c r="S87" s="651">
        <f t="shared" si="86"/>
        <v>1815.62</v>
      </c>
      <c r="T87" s="651"/>
      <c r="U87" s="671">
        <f t="shared" si="52"/>
        <v>42485.58</v>
      </c>
      <c r="V87" s="671">
        <f t="shared" si="53"/>
        <v>27234.36</v>
      </c>
      <c r="W87" s="671">
        <f t="shared" si="54"/>
        <v>15251.22</v>
      </c>
      <c r="X87" s="671">
        <f t="shared" si="55"/>
        <v>42485.58</v>
      </c>
      <c r="Y87" s="691">
        <f t="shared" si="56"/>
        <v>9078.1200000000008</v>
      </c>
      <c r="Z87" s="691">
        <v>1</v>
      </c>
      <c r="AA87" s="671">
        <f t="shared" si="57"/>
        <v>27234.36</v>
      </c>
      <c r="AB87" s="671">
        <f t="shared" si="58"/>
        <v>15251.22</v>
      </c>
      <c r="AC87" s="671">
        <f t="shared" si="59"/>
        <v>44185</v>
      </c>
      <c r="AD87" s="689">
        <f t="shared" si="60"/>
        <v>9441.24</v>
      </c>
      <c r="AE87" s="691">
        <f t="shared" si="83"/>
        <v>1.04</v>
      </c>
      <c r="AF87" s="671">
        <f t="shared" si="61"/>
        <v>28323.73</v>
      </c>
      <c r="AG87" s="692">
        <f t="shared" si="62"/>
        <v>15861.27</v>
      </c>
      <c r="AH87" s="671">
        <f t="shared" si="63"/>
        <v>44891.96</v>
      </c>
      <c r="AI87" s="691">
        <f t="shared" si="64"/>
        <v>9592.2999999999993</v>
      </c>
      <c r="AJ87" s="691">
        <f t="shared" si="84"/>
        <v>1.016</v>
      </c>
      <c r="AK87" s="671">
        <f t="shared" si="65"/>
        <v>28776.91</v>
      </c>
      <c r="AL87" s="671">
        <f t="shared" si="66"/>
        <v>16115.05</v>
      </c>
      <c r="AM87" s="661">
        <v>0.04</v>
      </c>
      <c r="AN87" s="662">
        <f t="shared" si="46"/>
        <v>0.04</v>
      </c>
      <c r="AO87" s="691">
        <f t="shared" si="67"/>
        <v>1699.42</v>
      </c>
      <c r="AP87" s="691">
        <f t="shared" si="68"/>
        <v>1699.42</v>
      </c>
      <c r="AQ87" s="691">
        <f t="shared" si="69"/>
        <v>1767.4</v>
      </c>
      <c r="AR87" s="691">
        <f t="shared" si="70"/>
        <v>1795.68</v>
      </c>
      <c r="AS87" s="671">
        <f t="shared" si="71"/>
        <v>40786.160000000003</v>
      </c>
      <c r="AT87" s="671">
        <f t="shared" si="72"/>
        <v>40786.160000000003</v>
      </c>
      <c r="AU87" s="671">
        <f t="shared" si="73"/>
        <v>42417.599999999999</v>
      </c>
      <c r="AV87" s="671">
        <f t="shared" si="74"/>
        <v>43096.28</v>
      </c>
      <c r="AW87" s="695">
        <f t="shared" si="75"/>
        <v>9115.8799999999992</v>
      </c>
      <c r="AX87" s="696">
        <f t="shared" si="76"/>
        <v>9115.8799999999992</v>
      </c>
      <c r="AY87" s="696">
        <f t="shared" si="77"/>
        <v>9480.51</v>
      </c>
      <c r="AZ87" s="697">
        <f t="shared" si="78"/>
        <v>9632.2000000000007</v>
      </c>
      <c r="BA87" s="832"/>
      <c r="BB87" s="663">
        <f t="shared" si="79"/>
        <v>129864.16</v>
      </c>
      <c r="BC87" s="694">
        <f t="shared" si="80"/>
        <v>111569.36</v>
      </c>
      <c r="BD87" s="694">
        <f t="shared" si="81"/>
        <v>62478.76</v>
      </c>
      <c r="BE87" s="663">
        <f t="shared" si="47"/>
        <v>10822.013333333334</v>
      </c>
      <c r="BG87" s="699">
        <v>8.4099999999999994E-2</v>
      </c>
      <c r="BH87" s="700">
        <v>0.22</v>
      </c>
    </row>
    <row r="88" spans="1:60" ht="21" hidden="1" customHeight="1">
      <c r="A88" s="651" t="s">
        <v>598</v>
      </c>
      <c r="B88" s="651" t="s">
        <v>754</v>
      </c>
      <c r="C88" s="651" t="s">
        <v>755</v>
      </c>
      <c r="D88" s="652">
        <v>8332</v>
      </c>
      <c r="E88" s="652">
        <v>1</v>
      </c>
      <c r="F88" s="652"/>
      <c r="G88" s="652">
        <v>1</v>
      </c>
      <c r="H88" s="652">
        <v>6</v>
      </c>
      <c r="I88" s="652"/>
      <c r="J88" s="654">
        <v>54.66</v>
      </c>
      <c r="K88" s="654">
        <v>9077.2900000000009</v>
      </c>
      <c r="L88" s="687">
        <f t="shared" si="48"/>
        <v>9078.1200000000008</v>
      </c>
      <c r="M88" s="652">
        <v>36</v>
      </c>
      <c r="N88" s="688">
        <f t="shared" si="49"/>
        <v>3268.12</v>
      </c>
      <c r="O88" s="652">
        <v>20</v>
      </c>
      <c r="P88" s="687">
        <f t="shared" si="82"/>
        <v>1815.62</v>
      </c>
      <c r="Q88" s="689">
        <f t="shared" si="50"/>
        <v>14161.86</v>
      </c>
      <c r="R88" s="686">
        <f t="shared" si="51"/>
        <v>14161.86</v>
      </c>
      <c r="S88" s="651">
        <f t="shared" si="86"/>
        <v>1815.62</v>
      </c>
      <c r="T88" s="651"/>
      <c r="U88" s="671">
        <f t="shared" si="52"/>
        <v>42485.58</v>
      </c>
      <c r="V88" s="671">
        <f t="shared" si="53"/>
        <v>27234.36</v>
      </c>
      <c r="W88" s="671">
        <f t="shared" si="54"/>
        <v>15251.22</v>
      </c>
      <c r="X88" s="671">
        <f t="shared" si="55"/>
        <v>42485.58</v>
      </c>
      <c r="Y88" s="691">
        <f t="shared" si="56"/>
        <v>9078.1200000000008</v>
      </c>
      <c r="Z88" s="691">
        <v>1</v>
      </c>
      <c r="AA88" s="671">
        <f t="shared" si="57"/>
        <v>27234.36</v>
      </c>
      <c r="AB88" s="671">
        <f t="shared" si="58"/>
        <v>15251.22</v>
      </c>
      <c r="AC88" s="671">
        <f t="shared" si="59"/>
        <v>44185</v>
      </c>
      <c r="AD88" s="689">
        <f t="shared" si="60"/>
        <v>9441.24</v>
      </c>
      <c r="AE88" s="691">
        <f t="shared" si="83"/>
        <v>1.04</v>
      </c>
      <c r="AF88" s="671">
        <f t="shared" si="61"/>
        <v>28323.73</v>
      </c>
      <c r="AG88" s="692">
        <f t="shared" si="62"/>
        <v>15861.27</v>
      </c>
      <c r="AH88" s="671">
        <f t="shared" si="63"/>
        <v>44891.96</v>
      </c>
      <c r="AI88" s="691">
        <f t="shared" si="64"/>
        <v>9592.2999999999993</v>
      </c>
      <c r="AJ88" s="691">
        <f t="shared" si="84"/>
        <v>1.016</v>
      </c>
      <c r="AK88" s="671">
        <f t="shared" si="65"/>
        <v>28776.91</v>
      </c>
      <c r="AL88" s="671">
        <f t="shared" si="66"/>
        <v>16115.05</v>
      </c>
      <c r="AM88" s="661">
        <v>0.04</v>
      </c>
      <c r="AN88" s="662">
        <f t="shared" si="46"/>
        <v>0.04</v>
      </c>
      <c r="AO88" s="691">
        <f t="shared" si="67"/>
        <v>1699.42</v>
      </c>
      <c r="AP88" s="691">
        <f t="shared" si="68"/>
        <v>1699.42</v>
      </c>
      <c r="AQ88" s="691">
        <f t="shared" si="69"/>
        <v>1767.4</v>
      </c>
      <c r="AR88" s="691">
        <f t="shared" si="70"/>
        <v>1795.68</v>
      </c>
      <c r="AS88" s="671">
        <f t="shared" si="71"/>
        <v>40786.160000000003</v>
      </c>
      <c r="AT88" s="671">
        <f t="shared" si="72"/>
        <v>40786.160000000003</v>
      </c>
      <c r="AU88" s="671">
        <f t="shared" si="73"/>
        <v>42417.599999999999</v>
      </c>
      <c r="AV88" s="671">
        <f t="shared" si="74"/>
        <v>43096.28</v>
      </c>
      <c r="AW88" s="695">
        <f t="shared" si="75"/>
        <v>9115.8799999999992</v>
      </c>
      <c r="AX88" s="696">
        <f t="shared" si="76"/>
        <v>9115.8799999999992</v>
      </c>
      <c r="AY88" s="696">
        <f t="shared" si="77"/>
        <v>9480.51</v>
      </c>
      <c r="AZ88" s="697">
        <f t="shared" si="78"/>
        <v>9632.2000000000007</v>
      </c>
      <c r="BA88" s="832"/>
      <c r="BB88" s="663">
        <f t="shared" si="79"/>
        <v>129864.16</v>
      </c>
      <c r="BC88" s="694">
        <f t="shared" si="80"/>
        <v>111569.36</v>
      </c>
      <c r="BD88" s="694">
        <f t="shared" si="81"/>
        <v>62478.76</v>
      </c>
      <c r="BE88" s="663">
        <f t="shared" si="47"/>
        <v>10822.013333333334</v>
      </c>
      <c r="BG88" s="699">
        <v>8.4099999999999994E-2</v>
      </c>
      <c r="BH88" s="700">
        <v>0.22</v>
      </c>
    </row>
    <row r="89" spans="1:60" ht="21" hidden="1" customHeight="1">
      <c r="A89" s="651" t="s">
        <v>599</v>
      </c>
      <c r="B89" s="651" t="s">
        <v>754</v>
      </c>
      <c r="C89" s="651" t="s">
        <v>755</v>
      </c>
      <c r="D89" s="652">
        <v>8332</v>
      </c>
      <c r="E89" s="652">
        <v>1</v>
      </c>
      <c r="F89" s="652"/>
      <c r="G89" s="652">
        <v>1</v>
      </c>
      <c r="H89" s="652">
        <v>5</v>
      </c>
      <c r="I89" s="652"/>
      <c r="J89" s="654">
        <v>46.76</v>
      </c>
      <c r="K89" s="654">
        <v>7765.43</v>
      </c>
      <c r="L89" s="687">
        <f t="shared" si="48"/>
        <v>7766.06</v>
      </c>
      <c r="M89" s="652">
        <v>32</v>
      </c>
      <c r="N89" s="688">
        <f t="shared" si="49"/>
        <v>2485.14</v>
      </c>
      <c r="O89" s="652">
        <v>20</v>
      </c>
      <c r="P89" s="687">
        <f t="shared" si="82"/>
        <v>1553.21</v>
      </c>
      <c r="Q89" s="689">
        <f t="shared" si="50"/>
        <v>11804.41</v>
      </c>
      <c r="R89" s="686">
        <f t="shared" si="51"/>
        <v>11804.41</v>
      </c>
      <c r="S89" s="651">
        <f t="shared" si="86"/>
        <v>1553.21</v>
      </c>
      <c r="T89" s="651"/>
      <c r="U89" s="671">
        <f t="shared" si="52"/>
        <v>35413.230000000003</v>
      </c>
      <c r="V89" s="671">
        <f t="shared" si="53"/>
        <v>23298.18</v>
      </c>
      <c r="W89" s="671">
        <f t="shared" si="54"/>
        <v>12115.05</v>
      </c>
      <c r="X89" s="671">
        <f t="shared" si="55"/>
        <v>35413.229999999996</v>
      </c>
      <c r="Y89" s="691">
        <f t="shared" si="56"/>
        <v>7766.06</v>
      </c>
      <c r="Z89" s="691">
        <v>1</v>
      </c>
      <c r="AA89" s="671">
        <f t="shared" si="57"/>
        <v>23298.18</v>
      </c>
      <c r="AB89" s="671">
        <f t="shared" si="58"/>
        <v>12115.05</v>
      </c>
      <c r="AC89" s="671">
        <f t="shared" si="59"/>
        <v>36829.760000000002</v>
      </c>
      <c r="AD89" s="689">
        <f t="shared" si="60"/>
        <v>8076.7</v>
      </c>
      <c r="AE89" s="691">
        <f t="shared" si="83"/>
        <v>1.04</v>
      </c>
      <c r="AF89" s="671">
        <f t="shared" si="61"/>
        <v>24230.11</v>
      </c>
      <c r="AG89" s="692">
        <f t="shared" si="62"/>
        <v>12599.65</v>
      </c>
      <c r="AH89" s="671">
        <f t="shared" si="63"/>
        <v>37419.03</v>
      </c>
      <c r="AI89" s="691">
        <f t="shared" si="64"/>
        <v>8205.93</v>
      </c>
      <c r="AJ89" s="691">
        <f t="shared" si="84"/>
        <v>1.016</v>
      </c>
      <c r="AK89" s="671">
        <f t="shared" si="65"/>
        <v>24617.79</v>
      </c>
      <c r="AL89" s="671">
        <f t="shared" si="66"/>
        <v>12801.24</v>
      </c>
      <c r="AM89" s="661">
        <v>0.04</v>
      </c>
      <c r="AN89" s="662">
        <f t="shared" si="46"/>
        <v>0.04</v>
      </c>
      <c r="AO89" s="691">
        <f t="shared" si="67"/>
        <v>1416.53</v>
      </c>
      <c r="AP89" s="691">
        <f t="shared" si="68"/>
        <v>1416.53</v>
      </c>
      <c r="AQ89" s="691">
        <f t="shared" si="69"/>
        <v>1473.19</v>
      </c>
      <c r="AR89" s="691">
        <f t="shared" si="70"/>
        <v>1496.76</v>
      </c>
      <c r="AS89" s="671">
        <f t="shared" si="71"/>
        <v>33996.700000000004</v>
      </c>
      <c r="AT89" s="671">
        <f t="shared" si="72"/>
        <v>33996.699999999997</v>
      </c>
      <c r="AU89" s="671">
        <f t="shared" si="73"/>
        <v>35356.57</v>
      </c>
      <c r="AV89" s="671">
        <f t="shared" si="74"/>
        <v>35922.269999999997</v>
      </c>
      <c r="AW89" s="695">
        <f t="shared" si="75"/>
        <v>7598.4</v>
      </c>
      <c r="AX89" s="696">
        <f t="shared" si="76"/>
        <v>7598.4</v>
      </c>
      <c r="AY89" s="696">
        <f t="shared" si="77"/>
        <v>7902.34</v>
      </c>
      <c r="AZ89" s="697">
        <f t="shared" si="78"/>
        <v>8028.78</v>
      </c>
      <c r="BA89" s="832"/>
      <c r="BB89" s="663">
        <f t="shared" si="79"/>
        <v>108246.52999999998</v>
      </c>
      <c r="BC89" s="694">
        <f t="shared" si="80"/>
        <v>95444.26</v>
      </c>
      <c r="BD89" s="694">
        <f t="shared" si="81"/>
        <v>49630.99</v>
      </c>
      <c r="BE89" s="663">
        <f t="shared" si="47"/>
        <v>9020.5441666666648</v>
      </c>
      <c r="BG89" s="699">
        <v>8.4099999999999994E-2</v>
      </c>
      <c r="BH89" s="700">
        <v>0.22</v>
      </c>
    </row>
    <row r="90" spans="1:60" ht="21" hidden="1" customHeight="1">
      <c r="A90" s="651" t="s">
        <v>600</v>
      </c>
      <c r="B90" s="651" t="s">
        <v>754</v>
      </c>
      <c r="C90" s="651" t="s">
        <v>755</v>
      </c>
      <c r="D90" s="652">
        <v>8332</v>
      </c>
      <c r="E90" s="652">
        <v>1</v>
      </c>
      <c r="F90" s="652"/>
      <c r="G90" s="652">
        <v>1</v>
      </c>
      <c r="H90" s="652">
        <v>3</v>
      </c>
      <c r="I90" s="652"/>
      <c r="J90" s="654">
        <v>36.44</v>
      </c>
      <c r="K90" s="654">
        <v>6051.53</v>
      </c>
      <c r="L90" s="687">
        <f t="shared" si="48"/>
        <v>6052.08</v>
      </c>
      <c r="M90" s="652">
        <v>24</v>
      </c>
      <c r="N90" s="688">
        <f t="shared" si="49"/>
        <v>1452.5</v>
      </c>
      <c r="O90" s="652">
        <v>20</v>
      </c>
      <c r="P90" s="687">
        <f t="shared" si="82"/>
        <v>1210.42</v>
      </c>
      <c r="Q90" s="689">
        <f t="shared" si="50"/>
        <v>8715</v>
      </c>
      <c r="R90" s="686">
        <f t="shared" si="51"/>
        <v>8715</v>
      </c>
      <c r="S90" s="651">
        <f t="shared" si="86"/>
        <v>1210.42</v>
      </c>
      <c r="T90" s="651"/>
      <c r="U90" s="671">
        <f t="shared" si="52"/>
        <v>26145</v>
      </c>
      <c r="V90" s="671">
        <f t="shared" si="53"/>
        <v>18156.240000000002</v>
      </c>
      <c r="W90" s="671">
        <f t="shared" si="54"/>
        <v>7988.76</v>
      </c>
      <c r="X90" s="671">
        <f t="shared" si="55"/>
        <v>26145</v>
      </c>
      <c r="Y90" s="691">
        <f t="shared" si="56"/>
        <v>6052.08</v>
      </c>
      <c r="Z90" s="691">
        <v>1</v>
      </c>
      <c r="AA90" s="671">
        <f t="shared" si="57"/>
        <v>18156.240000000002</v>
      </c>
      <c r="AB90" s="671">
        <f t="shared" si="58"/>
        <v>7988.76</v>
      </c>
      <c r="AC90" s="671">
        <f t="shared" si="59"/>
        <v>27190.799999999999</v>
      </c>
      <c r="AD90" s="689">
        <f t="shared" si="60"/>
        <v>6294.16</v>
      </c>
      <c r="AE90" s="691">
        <f t="shared" si="83"/>
        <v>1.04</v>
      </c>
      <c r="AF90" s="671">
        <f t="shared" si="61"/>
        <v>18882.490000000002</v>
      </c>
      <c r="AG90" s="692">
        <f t="shared" si="62"/>
        <v>8308.31</v>
      </c>
      <c r="AH90" s="671">
        <f t="shared" si="63"/>
        <v>27625.85</v>
      </c>
      <c r="AI90" s="691">
        <f t="shared" si="64"/>
        <v>6394.87</v>
      </c>
      <c r="AJ90" s="691">
        <f t="shared" si="84"/>
        <v>1.016</v>
      </c>
      <c r="AK90" s="671">
        <f t="shared" si="65"/>
        <v>19184.61</v>
      </c>
      <c r="AL90" s="671">
        <f t="shared" si="66"/>
        <v>8441.24</v>
      </c>
      <c r="AM90" s="661">
        <v>0.04</v>
      </c>
      <c r="AN90" s="662">
        <f t="shared" si="46"/>
        <v>0.04</v>
      </c>
      <c r="AO90" s="691">
        <f t="shared" si="67"/>
        <v>1045.8</v>
      </c>
      <c r="AP90" s="691">
        <f t="shared" si="68"/>
        <v>1045.8</v>
      </c>
      <c r="AQ90" s="691">
        <f t="shared" si="69"/>
        <v>1087.6300000000001</v>
      </c>
      <c r="AR90" s="691">
        <f t="shared" si="70"/>
        <v>1105.03</v>
      </c>
      <c r="AS90" s="671">
        <f t="shared" si="71"/>
        <v>25099.200000000001</v>
      </c>
      <c r="AT90" s="671">
        <f t="shared" si="72"/>
        <v>25099.200000000001</v>
      </c>
      <c r="AU90" s="671">
        <f t="shared" si="73"/>
        <v>26103.17</v>
      </c>
      <c r="AV90" s="671">
        <f t="shared" si="74"/>
        <v>26520.82</v>
      </c>
      <c r="AW90" s="695">
        <f t="shared" si="75"/>
        <v>5609.78</v>
      </c>
      <c r="AX90" s="696">
        <f t="shared" si="76"/>
        <v>5609.78</v>
      </c>
      <c r="AY90" s="696">
        <f t="shared" si="77"/>
        <v>5834.17</v>
      </c>
      <c r="AZ90" s="697">
        <f t="shared" si="78"/>
        <v>5927.51</v>
      </c>
      <c r="BA90" s="832"/>
      <c r="BB90" s="663">
        <f t="shared" si="79"/>
        <v>79916.89</v>
      </c>
      <c r="BC90" s="694">
        <f t="shared" si="80"/>
        <v>74379.58</v>
      </c>
      <c r="BD90" s="694">
        <f t="shared" si="81"/>
        <v>32727.07</v>
      </c>
      <c r="BE90" s="663">
        <f t="shared" si="47"/>
        <v>6659.7408333333333</v>
      </c>
      <c r="BG90" s="699">
        <v>8.4099999999999994E-2</v>
      </c>
      <c r="BH90" s="700">
        <v>0.22</v>
      </c>
    </row>
    <row r="91" spans="1:60" ht="21" hidden="1" customHeight="1">
      <c r="A91" s="651" t="s">
        <v>601</v>
      </c>
      <c r="B91" s="651" t="s">
        <v>754</v>
      </c>
      <c r="C91" s="651" t="s">
        <v>755</v>
      </c>
      <c r="D91" s="652">
        <v>8332</v>
      </c>
      <c r="E91" s="652">
        <v>2</v>
      </c>
      <c r="F91" s="652"/>
      <c r="G91" s="652">
        <v>1</v>
      </c>
      <c r="H91" s="652">
        <v>4</v>
      </c>
      <c r="I91" s="652"/>
      <c r="J91" s="654">
        <v>41</v>
      </c>
      <c r="K91" s="654">
        <v>6808.83</v>
      </c>
      <c r="L91" s="687">
        <f t="shared" si="48"/>
        <v>6809.42</v>
      </c>
      <c r="M91" s="652">
        <v>28</v>
      </c>
      <c r="N91" s="688">
        <f t="shared" si="49"/>
        <v>1906.64</v>
      </c>
      <c r="O91" s="652">
        <v>20</v>
      </c>
      <c r="P91" s="687">
        <f t="shared" si="82"/>
        <v>1361.88</v>
      </c>
      <c r="Q91" s="689">
        <f t="shared" si="50"/>
        <v>10077.94</v>
      </c>
      <c r="R91" s="686">
        <f t="shared" si="51"/>
        <v>10077.94</v>
      </c>
      <c r="S91" s="651">
        <f t="shared" si="86"/>
        <v>1361.88</v>
      </c>
      <c r="T91" s="651"/>
      <c r="U91" s="671">
        <f t="shared" si="52"/>
        <v>30233.82</v>
      </c>
      <c r="V91" s="671">
        <f t="shared" si="53"/>
        <v>20428.259999999998</v>
      </c>
      <c r="W91" s="671">
        <f t="shared" si="54"/>
        <v>9805.56</v>
      </c>
      <c r="X91" s="671">
        <f t="shared" si="55"/>
        <v>30233.82</v>
      </c>
      <c r="Y91" s="691">
        <f t="shared" si="56"/>
        <v>6809.42</v>
      </c>
      <c r="Z91" s="691">
        <v>1</v>
      </c>
      <c r="AA91" s="671">
        <f t="shared" si="57"/>
        <v>20428.259999999998</v>
      </c>
      <c r="AB91" s="671">
        <f t="shared" si="58"/>
        <v>9805.56</v>
      </c>
      <c r="AC91" s="671">
        <f t="shared" si="59"/>
        <v>31443.17</v>
      </c>
      <c r="AD91" s="689">
        <f t="shared" si="60"/>
        <v>7081.8</v>
      </c>
      <c r="AE91" s="691">
        <f t="shared" si="83"/>
        <v>1.04</v>
      </c>
      <c r="AF91" s="671">
        <f t="shared" si="61"/>
        <v>21245.39</v>
      </c>
      <c r="AG91" s="692">
        <f t="shared" si="62"/>
        <v>10197.780000000001</v>
      </c>
      <c r="AH91" s="671">
        <f t="shared" si="63"/>
        <v>31946.26</v>
      </c>
      <c r="AI91" s="691">
        <f t="shared" si="64"/>
        <v>7195.11</v>
      </c>
      <c r="AJ91" s="691">
        <f t="shared" si="84"/>
        <v>1.016</v>
      </c>
      <c r="AK91" s="671">
        <f t="shared" si="65"/>
        <v>21585.32</v>
      </c>
      <c r="AL91" s="671">
        <f t="shared" si="66"/>
        <v>10360.94</v>
      </c>
      <c r="AM91" s="661">
        <v>0.04</v>
      </c>
      <c r="AN91" s="662">
        <f t="shared" si="46"/>
        <v>0.04</v>
      </c>
      <c r="AO91" s="691">
        <f t="shared" si="67"/>
        <v>1209.3499999999999</v>
      </c>
      <c r="AP91" s="691">
        <f t="shared" si="68"/>
        <v>1209.3499999999999</v>
      </c>
      <c r="AQ91" s="691">
        <f t="shared" si="69"/>
        <v>1257.73</v>
      </c>
      <c r="AR91" s="691">
        <f t="shared" si="70"/>
        <v>1277.8499999999999</v>
      </c>
      <c r="AS91" s="671">
        <f t="shared" si="71"/>
        <v>29024.47</v>
      </c>
      <c r="AT91" s="671">
        <f t="shared" si="72"/>
        <v>29024.47</v>
      </c>
      <c r="AU91" s="671">
        <f t="shared" si="73"/>
        <v>30185.439999999999</v>
      </c>
      <c r="AV91" s="671">
        <f t="shared" si="74"/>
        <v>30668.41</v>
      </c>
      <c r="AW91" s="695">
        <f t="shared" si="75"/>
        <v>6487.09</v>
      </c>
      <c r="AX91" s="696">
        <f t="shared" si="76"/>
        <v>6487.09</v>
      </c>
      <c r="AY91" s="696">
        <f t="shared" si="77"/>
        <v>6746.57</v>
      </c>
      <c r="AZ91" s="697">
        <f t="shared" si="78"/>
        <v>6854.52</v>
      </c>
      <c r="BA91" s="832"/>
      <c r="BB91" s="663">
        <f t="shared" si="79"/>
        <v>92414.94</v>
      </c>
      <c r="BC91" s="694">
        <f t="shared" si="80"/>
        <v>83687.23</v>
      </c>
      <c r="BD91" s="694">
        <f t="shared" si="81"/>
        <v>40169.839999999997</v>
      </c>
      <c r="BE91" s="663">
        <f t="shared" si="47"/>
        <v>7701.2449999999999</v>
      </c>
      <c r="BG91" s="699">
        <v>8.4099999999999994E-2</v>
      </c>
      <c r="BH91" s="700">
        <v>0.22</v>
      </c>
    </row>
    <row r="92" spans="1:60" ht="21" hidden="1" customHeight="1">
      <c r="A92" s="651" t="s">
        <v>602</v>
      </c>
      <c r="B92" s="651" t="s">
        <v>754</v>
      </c>
      <c r="C92" s="651" t="s">
        <v>755</v>
      </c>
      <c r="D92" s="652">
        <v>8332</v>
      </c>
      <c r="E92" s="652">
        <v>1</v>
      </c>
      <c r="F92" s="652"/>
      <c r="G92" s="652">
        <v>1</v>
      </c>
      <c r="H92" s="652">
        <v>6</v>
      </c>
      <c r="I92" s="652"/>
      <c r="J92" s="654">
        <v>54.66</v>
      </c>
      <c r="K92" s="654">
        <v>9077.2900000000009</v>
      </c>
      <c r="L92" s="687">
        <f t="shared" si="48"/>
        <v>9078.1200000000008</v>
      </c>
      <c r="M92" s="652">
        <v>36</v>
      </c>
      <c r="N92" s="688">
        <f t="shared" si="49"/>
        <v>3268.12</v>
      </c>
      <c r="O92" s="652">
        <v>20</v>
      </c>
      <c r="P92" s="687">
        <f t="shared" si="82"/>
        <v>1815.62</v>
      </c>
      <c r="Q92" s="689">
        <f t="shared" si="50"/>
        <v>14161.86</v>
      </c>
      <c r="R92" s="686">
        <f t="shared" si="51"/>
        <v>14161.86</v>
      </c>
      <c r="S92" s="651">
        <f t="shared" si="86"/>
        <v>1815.62</v>
      </c>
      <c r="T92" s="651"/>
      <c r="U92" s="671">
        <f t="shared" si="52"/>
        <v>42485.58</v>
      </c>
      <c r="V92" s="671">
        <f t="shared" si="53"/>
        <v>27234.36</v>
      </c>
      <c r="W92" s="671">
        <f t="shared" si="54"/>
        <v>15251.22</v>
      </c>
      <c r="X92" s="671">
        <f t="shared" si="55"/>
        <v>42485.58</v>
      </c>
      <c r="Y92" s="691">
        <f t="shared" si="56"/>
        <v>9078.1200000000008</v>
      </c>
      <c r="Z92" s="691">
        <v>1</v>
      </c>
      <c r="AA92" s="671">
        <f t="shared" si="57"/>
        <v>27234.36</v>
      </c>
      <c r="AB92" s="671">
        <f t="shared" si="58"/>
        <v>15251.22</v>
      </c>
      <c r="AC92" s="671">
        <f t="shared" si="59"/>
        <v>44185</v>
      </c>
      <c r="AD92" s="689">
        <f t="shared" si="60"/>
        <v>9441.24</v>
      </c>
      <c r="AE92" s="691">
        <f t="shared" si="83"/>
        <v>1.04</v>
      </c>
      <c r="AF92" s="671">
        <f t="shared" si="61"/>
        <v>28323.73</v>
      </c>
      <c r="AG92" s="692">
        <f t="shared" si="62"/>
        <v>15861.27</v>
      </c>
      <c r="AH92" s="671">
        <f t="shared" si="63"/>
        <v>44891.96</v>
      </c>
      <c r="AI92" s="691">
        <f t="shared" si="64"/>
        <v>9592.2999999999993</v>
      </c>
      <c r="AJ92" s="691">
        <f t="shared" si="84"/>
        <v>1.016</v>
      </c>
      <c r="AK92" s="671">
        <f t="shared" si="65"/>
        <v>28776.91</v>
      </c>
      <c r="AL92" s="671">
        <f t="shared" si="66"/>
        <v>16115.05</v>
      </c>
      <c r="AM92" s="661">
        <v>0.04</v>
      </c>
      <c r="AN92" s="662">
        <f t="shared" si="46"/>
        <v>0.04</v>
      </c>
      <c r="AO92" s="691">
        <f t="shared" si="67"/>
        <v>1699.42</v>
      </c>
      <c r="AP92" s="691">
        <f t="shared" si="68"/>
        <v>1699.42</v>
      </c>
      <c r="AQ92" s="691">
        <f t="shared" si="69"/>
        <v>1767.4</v>
      </c>
      <c r="AR92" s="691">
        <f t="shared" si="70"/>
        <v>1795.68</v>
      </c>
      <c r="AS92" s="671">
        <f t="shared" si="71"/>
        <v>40786.160000000003</v>
      </c>
      <c r="AT92" s="671">
        <f t="shared" si="72"/>
        <v>40786.160000000003</v>
      </c>
      <c r="AU92" s="671">
        <f t="shared" si="73"/>
        <v>42417.599999999999</v>
      </c>
      <c r="AV92" s="671">
        <f t="shared" si="74"/>
        <v>43096.28</v>
      </c>
      <c r="AW92" s="695">
        <f t="shared" si="75"/>
        <v>9115.8799999999992</v>
      </c>
      <c r="AX92" s="696">
        <f t="shared" si="76"/>
        <v>9115.8799999999992</v>
      </c>
      <c r="AY92" s="696">
        <f t="shared" si="77"/>
        <v>9480.51</v>
      </c>
      <c r="AZ92" s="697">
        <f t="shared" si="78"/>
        <v>9632.2000000000007</v>
      </c>
      <c r="BA92" s="832"/>
      <c r="BB92" s="663">
        <f t="shared" si="79"/>
        <v>129864.16</v>
      </c>
      <c r="BC92" s="694">
        <f t="shared" si="80"/>
        <v>111569.36</v>
      </c>
      <c r="BD92" s="694">
        <f t="shared" si="81"/>
        <v>62478.76</v>
      </c>
      <c r="BE92" s="663">
        <f t="shared" si="47"/>
        <v>10822.013333333334</v>
      </c>
      <c r="BG92" s="699">
        <v>8.4099999999999994E-2</v>
      </c>
      <c r="BH92" s="700">
        <v>0.22</v>
      </c>
    </row>
    <row r="93" spans="1:60" ht="21" hidden="1" customHeight="1">
      <c r="A93" s="651" t="s">
        <v>603</v>
      </c>
      <c r="B93" s="651" t="s">
        <v>754</v>
      </c>
      <c r="C93" s="651" t="s">
        <v>755</v>
      </c>
      <c r="D93" s="652">
        <v>8332</v>
      </c>
      <c r="E93" s="652">
        <v>1</v>
      </c>
      <c r="F93" s="652"/>
      <c r="G93" s="652">
        <v>1</v>
      </c>
      <c r="H93" s="652">
        <v>6</v>
      </c>
      <c r="I93" s="652"/>
      <c r="J93" s="654">
        <v>54.66</v>
      </c>
      <c r="K93" s="654">
        <v>9077.2900000000009</v>
      </c>
      <c r="L93" s="687">
        <f t="shared" si="48"/>
        <v>9078.1200000000008</v>
      </c>
      <c r="M93" s="652">
        <v>36</v>
      </c>
      <c r="N93" s="688">
        <f t="shared" si="49"/>
        <v>3268.12</v>
      </c>
      <c r="O93" s="652">
        <v>20</v>
      </c>
      <c r="P93" s="687">
        <f t="shared" si="82"/>
        <v>1815.62</v>
      </c>
      <c r="Q93" s="689">
        <f t="shared" si="50"/>
        <v>14161.86</v>
      </c>
      <c r="R93" s="686">
        <f t="shared" si="51"/>
        <v>14161.86</v>
      </c>
      <c r="S93" s="651">
        <f t="shared" si="86"/>
        <v>1815.62</v>
      </c>
      <c r="T93" s="651"/>
      <c r="U93" s="671">
        <f t="shared" si="52"/>
        <v>42485.58</v>
      </c>
      <c r="V93" s="671">
        <f t="shared" si="53"/>
        <v>27234.36</v>
      </c>
      <c r="W93" s="671">
        <f t="shared" si="54"/>
        <v>15251.22</v>
      </c>
      <c r="X93" s="671">
        <f t="shared" si="55"/>
        <v>42485.58</v>
      </c>
      <c r="Y93" s="691">
        <f t="shared" si="56"/>
        <v>9078.1200000000008</v>
      </c>
      <c r="Z93" s="691">
        <v>1</v>
      </c>
      <c r="AA93" s="671">
        <f t="shared" si="57"/>
        <v>27234.36</v>
      </c>
      <c r="AB93" s="671">
        <f t="shared" si="58"/>
        <v>15251.22</v>
      </c>
      <c r="AC93" s="671">
        <f t="shared" si="59"/>
        <v>44185</v>
      </c>
      <c r="AD93" s="689">
        <f t="shared" si="60"/>
        <v>9441.24</v>
      </c>
      <c r="AE93" s="691">
        <f t="shared" si="83"/>
        <v>1.04</v>
      </c>
      <c r="AF93" s="671">
        <f t="shared" si="61"/>
        <v>28323.73</v>
      </c>
      <c r="AG93" s="692">
        <f t="shared" si="62"/>
        <v>15861.27</v>
      </c>
      <c r="AH93" s="671">
        <f t="shared" si="63"/>
        <v>44891.96</v>
      </c>
      <c r="AI93" s="691">
        <f t="shared" si="64"/>
        <v>9592.2999999999993</v>
      </c>
      <c r="AJ93" s="691">
        <f t="shared" si="84"/>
        <v>1.016</v>
      </c>
      <c r="AK93" s="671">
        <f t="shared" si="65"/>
        <v>28776.91</v>
      </c>
      <c r="AL93" s="671">
        <f t="shared" si="66"/>
        <v>16115.05</v>
      </c>
      <c r="AM93" s="661">
        <v>0.04</v>
      </c>
      <c r="AN93" s="662">
        <f t="shared" si="46"/>
        <v>0.04</v>
      </c>
      <c r="AO93" s="691">
        <f t="shared" si="67"/>
        <v>1699.42</v>
      </c>
      <c r="AP93" s="691">
        <f t="shared" si="68"/>
        <v>1699.42</v>
      </c>
      <c r="AQ93" s="691">
        <f t="shared" si="69"/>
        <v>1767.4</v>
      </c>
      <c r="AR93" s="691">
        <f t="shared" si="70"/>
        <v>1795.68</v>
      </c>
      <c r="AS93" s="671">
        <f t="shared" si="71"/>
        <v>40786.160000000003</v>
      </c>
      <c r="AT93" s="671">
        <f t="shared" si="72"/>
        <v>40786.160000000003</v>
      </c>
      <c r="AU93" s="671">
        <f t="shared" si="73"/>
        <v>42417.599999999999</v>
      </c>
      <c r="AV93" s="671">
        <f t="shared" si="74"/>
        <v>43096.28</v>
      </c>
      <c r="AW93" s="695">
        <f t="shared" si="75"/>
        <v>9115.8799999999992</v>
      </c>
      <c r="AX93" s="696">
        <f t="shared" si="76"/>
        <v>9115.8799999999992</v>
      </c>
      <c r="AY93" s="696">
        <f t="shared" si="77"/>
        <v>9480.51</v>
      </c>
      <c r="AZ93" s="697">
        <f t="shared" si="78"/>
        <v>9632.2000000000007</v>
      </c>
      <c r="BA93" s="832"/>
      <c r="BB93" s="663">
        <f t="shared" si="79"/>
        <v>129864.16</v>
      </c>
      <c r="BC93" s="694">
        <f t="shared" si="80"/>
        <v>111569.36</v>
      </c>
      <c r="BD93" s="694">
        <f t="shared" si="81"/>
        <v>62478.76</v>
      </c>
      <c r="BE93" s="663">
        <f t="shared" si="47"/>
        <v>10822.013333333334</v>
      </c>
      <c r="BG93" s="699">
        <v>8.4099999999999994E-2</v>
      </c>
      <c r="BH93" s="700">
        <v>0.22</v>
      </c>
    </row>
    <row r="94" spans="1:60" ht="21" hidden="1" customHeight="1">
      <c r="A94" s="651" t="s">
        <v>604</v>
      </c>
      <c r="B94" s="651" t="s">
        <v>754</v>
      </c>
      <c r="C94" s="651" t="s">
        <v>755</v>
      </c>
      <c r="D94" s="652">
        <v>8332</v>
      </c>
      <c r="E94" s="652">
        <v>8</v>
      </c>
      <c r="F94" s="652"/>
      <c r="G94" s="652">
        <v>1</v>
      </c>
      <c r="H94" s="652">
        <v>5</v>
      </c>
      <c r="I94" s="652"/>
      <c r="J94" s="654">
        <v>46.76</v>
      </c>
      <c r="K94" s="654">
        <v>7765.43</v>
      </c>
      <c r="L94" s="687">
        <f t="shared" si="48"/>
        <v>7766.06</v>
      </c>
      <c r="M94" s="652">
        <v>32</v>
      </c>
      <c r="N94" s="688">
        <f t="shared" si="49"/>
        <v>2485.14</v>
      </c>
      <c r="O94" s="652">
        <v>20</v>
      </c>
      <c r="P94" s="687">
        <f t="shared" si="82"/>
        <v>1553.21</v>
      </c>
      <c r="Q94" s="689">
        <f t="shared" si="50"/>
        <v>11804.41</v>
      </c>
      <c r="R94" s="686">
        <f t="shared" si="51"/>
        <v>11804.41</v>
      </c>
      <c r="S94" s="651">
        <f t="shared" si="86"/>
        <v>1553.21</v>
      </c>
      <c r="T94" s="651"/>
      <c r="U94" s="671">
        <f t="shared" si="52"/>
        <v>35413.230000000003</v>
      </c>
      <c r="V94" s="671">
        <f t="shared" si="53"/>
        <v>23298.18</v>
      </c>
      <c r="W94" s="671">
        <f t="shared" si="54"/>
        <v>12115.05</v>
      </c>
      <c r="X94" s="671">
        <f t="shared" si="55"/>
        <v>35413.229999999996</v>
      </c>
      <c r="Y94" s="691">
        <f t="shared" si="56"/>
        <v>7766.06</v>
      </c>
      <c r="Z94" s="691">
        <v>1</v>
      </c>
      <c r="AA94" s="671">
        <f t="shared" si="57"/>
        <v>23298.18</v>
      </c>
      <c r="AB94" s="671">
        <f t="shared" si="58"/>
        <v>12115.05</v>
      </c>
      <c r="AC94" s="671">
        <f t="shared" si="59"/>
        <v>36829.760000000002</v>
      </c>
      <c r="AD94" s="689">
        <f t="shared" si="60"/>
        <v>8076.7</v>
      </c>
      <c r="AE94" s="691">
        <f t="shared" si="83"/>
        <v>1.04</v>
      </c>
      <c r="AF94" s="671">
        <f t="shared" si="61"/>
        <v>24230.11</v>
      </c>
      <c r="AG94" s="692">
        <f t="shared" si="62"/>
        <v>12599.65</v>
      </c>
      <c r="AH94" s="671">
        <f t="shared" si="63"/>
        <v>37419.03</v>
      </c>
      <c r="AI94" s="691">
        <f t="shared" si="64"/>
        <v>8205.93</v>
      </c>
      <c r="AJ94" s="691">
        <f t="shared" si="84"/>
        <v>1.016</v>
      </c>
      <c r="AK94" s="671">
        <f t="shared" si="65"/>
        <v>24617.79</v>
      </c>
      <c r="AL94" s="671">
        <f t="shared" si="66"/>
        <v>12801.24</v>
      </c>
      <c r="AM94" s="661">
        <v>0.04</v>
      </c>
      <c r="AN94" s="662">
        <f t="shared" si="46"/>
        <v>0.04</v>
      </c>
      <c r="AO94" s="691">
        <f t="shared" si="67"/>
        <v>1416.53</v>
      </c>
      <c r="AP94" s="691">
        <f t="shared" si="68"/>
        <v>1416.53</v>
      </c>
      <c r="AQ94" s="691">
        <f t="shared" si="69"/>
        <v>1473.19</v>
      </c>
      <c r="AR94" s="691">
        <f t="shared" si="70"/>
        <v>1496.76</v>
      </c>
      <c r="AS94" s="671">
        <f t="shared" si="71"/>
        <v>33996.700000000004</v>
      </c>
      <c r="AT94" s="671">
        <f t="shared" si="72"/>
        <v>33996.699999999997</v>
      </c>
      <c r="AU94" s="671">
        <f t="shared" si="73"/>
        <v>35356.57</v>
      </c>
      <c r="AV94" s="671">
        <f t="shared" si="74"/>
        <v>35922.269999999997</v>
      </c>
      <c r="AW94" s="695">
        <f t="shared" si="75"/>
        <v>7598.4</v>
      </c>
      <c r="AX94" s="696">
        <f t="shared" si="76"/>
        <v>7598.4</v>
      </c>
      <c r="AY94" s="696">
        <f t="shared" si="77"/>
        <v>7902.34</v>
      </c>
      <c r="AZ94" s="697">
        <f t="shared" si="78"/>
        <v>8028.78</v>
      </c>
      <c r="BA94" s="832"/>
      <c r="BB94" s="663">
        <f t="shared" si="79"/>
        <v>108246.52999999998</v>
      </c>
      <c r="BC94" s="694">
        <f t="shared" si="80"/>
        <v>95444.26</v>
      </c>
      <c r="BD94" s="694">
        <f t="shared" si="81"/>
        <v>49630.99</v>
      </c>
      <c r="BE94" s="663">
        <f t="shared" si="47"/>
        <v>9020.5441666666648</v>
      </c>
      <c r="BG94" s="699">
        <v>8.4099999999999994E-2</v>
      </c>
      <c r="BH94" s="700">
        <v>0.22</v>
      </c>
    </row>
    <row r="95" spans="1:60" s="322" customFormat="1" ht="21" hidden="1" customHeight="1">
      <c r="A95" s="862" t="s">
        <v>606</v>
      </c>
      <c r="B95" s="862" t="s">
        <v>784</v>
      </c>
      <c r="C95" s="862" t="s">
        <v>755</v>
      </c>
      <c r="D95" s="863">
        <v>8211</v>
      </c>
      <c r="E95" s="863"/>
      <c r="F95" s="863"/>
      <c r="G95" s="863">
        <v>1</v>
      </c>
      <c r="H95" s="863">
        <v>6</v>
      </c>
      <c r="I95" s="863"/>
      <c r="J95" s="650">
        <v>48.1</v>
      </c>
      <c r="K95" s="650">
        <v>7988.98</v>
      </c>
      <c r="L95" s="724">
        <f t="shared" si="48"/>
        <v>7988.61</v>
      </c>
      <c r="M95" s="863">
        <v>24</v>
      </c>
      <c r="N95" s="723">
        <f t="shared" si="49"/>
        <v>1917.27</v>
      </c>
      <c r="O95" s="863">
        <v>20</v>
      </c>
      <c r="P95" s="724">
        <f t="shared" si="82"/>
        <v>1597.72</v>
      </c>
      <c r="Q95" s="864">
        <f t="shared" si="50"/>
        <v>11503.6</v>
      </c>
      <c r="R95" s="865">
        <f t="shared" si="51"/>
        <v>11503.6</v>
      </c>
      <c r="S95" s="862">
        <f t="shared" si="86"/>
        <v>1597.72</v>
      </c>
      <c r="T95" s="862"/>
      <c r="U95" s="725">
        <f t="shared" si="52"/>
        <v>34510.800000000003</v>
      </c>
      <c r="V95" s="725">
        <f t="shared" si="53"/>
        <v>23965.83</v>
      </c>
      <c r="W95" s="725">
        <f t="shared" si="54"/>
        <v>10544.97</v>
      </c>
      <c r="X95" s="725">
        <f t="shared" si="55"/>
        <v>34510.800000000003</v>
      </c>
      <c r="Y95" s="866">
        <f t="shared" si="56"/>
        <v>7988.61</v>
      </c>
      <c r="Z95" s="866">
        <v>1</v>
      </c>
      <c r="AA95" s="725">
        <f t="shared" si="57"/>
        <v>23965.83</v>
      </c>
      <c r="AB95" s="725">
        <f t="shared" si="58"/>
        <v>10544.97</v>
      </c>
      <c r="AC95" s="725">
        <f t="shared" si="59"/>
        <v>35891.230000000003</v>
      </c>
      <c r="AD95" s="864">
        <f t="shared" si="60"/>
        <v>8308.15</v>
      </c>
      <c r="AE95" s="866">
        <f t="shared" si="83"/>
        <v>1.04</v>
      </c>
      <c r="AF95" s="725">
        <f t="shared" si="61"/>
        <v>24924.46</v>
      </c>
      <c r="AG95" s="726">
        <f t="shared" si="62"/>
        <v>10966.77</v>
      </c>
      <c r="AH95" s="725">
        <f t="shared" si="63"/>
        <v>36465.49</v>
      </c>
      <c r="AI95" s="866">
        <f t="shared" si="64"/>
        <v>8441.08</v>
      </c>
      <c r="AJ95" s="866">
        <f t="shared" si="84"/>
        <v>1.016</v>
      </c>
      <c r="AK95" s="725">
        <f t="shared" si="65"/>
        <v>25323.25</v>
      </c>
      <c r="AL95" s="725">
        <f t="shared" si="66"/>
        <v>11142.24</v>
      </c>
      <c r="AM95" s="867">
        <v>0.04</v>
      </c>
      <c r="AN95" s="868">
        <f t="shared" si="46"/>
        <v>0.04</v>
      </c>
      <c r="AO95" s="866">
        <f t="shared" si="67"/>
        <v>1380.43</v>
      </c>
      <c r="AP95" s="866">
        <f t="shared" si="68"/>
        <v>1380.43</v>
      </c>
      <c r="AQ95" s="866">
        <f t="shared" si="69"/>
        <v>1435.65</v>
      </c>
      <c r="AR95" s="866">
        <f t="shared" si="70"/>
        <v>1458.62</v>
      </c>
      <c r="AS95" s="725">
        <f t="shared" si="71"/>
        <v>33130.370000000003</v>
      </c>
      <c r="AT95" s="725">
        <f t="shared" si="72"/>
        <v>33130.370000000003</v>
      </c>
      <c r="AU95" s="725">
        <f t="shared" si="73"/>
        <v>34455.58</v>
      </c>
      <c r="AV95" s="725">
        <f t="shared" si="74"/>
        <v>35006.869999999995</v>
      </c>
      <c r="AW95" s="729">
        <f t="shared" si="75"/>
        <v>7404.78</v>
      </c>
      <c r="AX95" s="730">
        <f t="shared" si="76"/>
        <v>7404.78</v>
      </c>
      <c r="AY95" s="730">
        <f t="shared" si="77"/>
        <v>7700.97</v>
      </c>
      <c r="AZ95" s="731">
        <f t="shared" si="78"/>
        <v>7824.18</v>
      </c>
      <c r="BA95" s="869"/>
      <c r="BB95" s="739">
        <f t="shared" si="79"/>
        <v>105488.13</v>
      </c>
      <c r="BC95" s="871">
        <f t="shared" si="80"/>
        <v>98179.37</v>
      </c>
      <c r="BD95" s="871">
        <f t="shared" si="81"/>
        <v>43198.95</v>
      </c>
      <c r="BE95" s="870">
        <f t="shared" si="47"/>
        <v>8790.6774999999998</v>
      </c>
      <c r="BF95" s="870"/>
      <c r="BG95" s="872">
        <v>8.4099999999999994E-2</v>
      </c>
      <c r="BH95" s="873">
        <v>0.22</v>
      </c>
    </row>
    <row r="96" spans="1:60" s="322" customFormat="1" ht="21" hidden="1" customHeight="1">
      <c r="A96" s="862" t="s">
        <v>607</v>
      </c>
      <c r="B96" s="862" t="s">
        <v>784</v>
      </c>
      <c r="C96" s="862" t="s">
        <v>755</v>
      </c>
      <c r="D96" s="863">
        <v>7212</v>
      </c>
      <c r="E96" s="863"/>
      <c r="F96" s="863"/>
      <c r="G96" s="863">
        <v>1</v>
      </c>
      <c r="H96" s="863">
        <v>5</v>
      </c>
      <c r="I96" s="863"/>
      <c r="J96" s="650">
        <v>41.15</v>
      </c>
      <c r="K96" s="650">
        <v>6834.83</v>
      </c>
      <c r="L96" s="724">
        <f t="shared" si="48"/>
        <v>6834.33</v>
      </c>
      <c r="M96" s="863">
        <v>28</v>
      </c>
      <c r="N96" s="723">
        <f t="shared" si="49"/>
        <v>1913.61</v>
      </c>
      <c r="O96" s="863">
        <v>20</v>
      </c>
      <c r="P96" s="724">
        <f t="shared" si="82"/>
        <v>1366.87</v>
      </c>
      <c r="Q96" s="864">
        <f t="shared" si="50"/>
        <v>10114.81</v>
      </c>
      <c r="R96" s="865">
        <f t="shared" si="51"/>
        <v>10114.81</v>
      </c>
      <c r="S96" s="862">
        <f t="shared" si="86"/>
        <v>1366.87</v>
      </c>
      <c r="T96" s="862"/>
      <c r="U96" s="725">
        <f t="shared" si="52"/>
        <v>30344.43</v>
      </c>
      <c r="V96" s="725">
        <f t="shared" si="53"/>
        <v>20502.990000000002</v>
      </c>
      <c r="W96" s="725">
        <f t="shared" si="54"/>
        <v>9841.44</v>
      </c>
      <c r="X96" s="725">
        <f t="shared" si="55"/>
        <v>30344.43</v>
      </c>
      <c r="Y96" s="866">
        <f t="shared" si="56"/>
        <v>6834.33</v>
      </c>
      <c r="Z96" s="866">
        <v>1</v>
      </c>
      <c r="AA96" s="725">
        <f t="shared" si="57"/>
        <v>20502.990000000002</v>
      </c>
      <c r="AB96" s="725">
        <f t="shared" si="58"/>
        <v>9841.44</v>
      </c>
      <c r="AC96" s="725">
        <f t="shared" si="59"/>
        <v>31558.21</v>
      </c>
      <c r="AD96" s="864">
        <f t="shared" si="60"/>
        <v>7107.7</v>
      </c>
      <c r="AE96" s="866">
        <f t="shared" si="83"/>
        <v>1.04</v>
      </c>
      <c r="AF96" s="725">
        <f t="shared" si="61"/>
        <v>21323.11</v>
      </c>
      <c r="AG96" s="726">
        <f t="shared" si="62"/>
        <v>10235.1</v>
      </c>
      <c r="AH96" s="725">
        <f t="shared" si="63"/>
        <v>32063.14</v>
      </c>
      <c r="AI96" s="866">
        <f t="shared" si="64"/>
        <v>7221.42</v>
      </c>
      <c r="AJ96" s="866">
        <f t="shared" si="84"/>
        <v>1.016</v>
      </c>
      <c r="AK96" s="725">
        <f t="shared" si="65"/>
        <v>21664.28</v>
      </c>
      <c r="AL96" s="725">
        <f t="shared" si="66"/>
        <v>10398.86</v>
      </c>
      <c r="AM96" s="867">
        <v>0.04</v>
      </c>
      <c r="AN96" s="868">
        <f t="shared" si="46"/>
        <v>0.04</v>
      </c>
      <c r="AO96" s="866">
        <f t="shared" si="67"/>
        <v>1213.78</v>
      </c>
      <c r="AP96" s="866">
        <f t="shared" si="68"/>
        <v>1213.78</v>
      </c>
      <c r="AQ96" s="866">
        <f t="shared" si="69"/>
        <v>1262.33</v>
      </c>
      <c r="AR96" s="866">
        <f t="shared" si="70"/>
        <v>1282.53</v>
      </c>
      <c r="AS96" s="725">
        <f t="shared" si="71"/>
        <v>29130.65</v>
      </c>
      <c r="AT96" s="725">
        <f t="shared" si="72"/>
        <v>29130.65</v>
      </c>
      <c r="AU96" s="725">
        <f t="shared" si="73"/>
        <v>30295.879999999997</v>
      </c>
      <c r="AV96" s="725">
        <f t="shared" si="74"/>
        <v>30780.61</v>
      </c>
      <c r="AW96" s="729">
        <f t="shared" si="75"/>
        <v>6510.82</v>
      </c>
      <c r="AX96" s="730">
        <f t="shared" si="76"/>
        <v>6510.82</v>
      </c>
      <c r="AY96" s="730">
        <f t="shared" si="77"/>
        <v>6771.26</v>
      </c>
      <c r="AZ96" s="731">
        <f t="shared" si="78"/>
        <v>6879.59</v>
      </c>
      <c r="BA96" s="869"/>
      <c r="BB96" s="739">
        <f t="shared" si="79"/>
        <v>92753.040000000008</v>
      </c>
      <c r="BC96" s="871">
        <f t="shared" si="80"/>
        <v>83993.37</v>
      </c>
      <c r="BD96" s="871">
        <f t="shared" si="81"/>
        <v>40316.839999999997</v>
      </c>
      <c r="BE96" s="870">
        <f t="shared" si="47"/>
        <v>7729.420000000001</v>
      </c>
      <c r="BF96" s="870"/>
      <c r="BG96" s="872">
        <v>8.4099999999999994E-2</v>
      </c>
      <c r="BH96" s="873">
        <v>0.22</v>
      </c>
    </row>
    <row r="97" spans="1:60" s="322" customFormat="1" ht="21" hidden="1" customHeight="1">
      <c r="A97" s="862" t="s">
        <v>608</v>
      </c>
      <c r="B97" s="862" t="s">
        <v>784</v>
      </c>
      <c r="C97" s="862" t="s">
        <v>755</v>
      </c>
      <c r="D97" s="863">
        <v>7136</v>
      </c>
      <c r="E97" s="863"/>
      <c r="F97" s="863"/>
      <c r="G97" s="863">
        <v>1</v>
      </c>
      <c r="H97" s="863">
        <v>5</v>
      </c>
      <c r="I97" s="863"/>
      <c r="J97" s="650">
        <v>41.15</v>
      </c>
      <c r="K97" s="650">
        <v>6834.83</v>
      </c>
      <c r="L97" s="724">
        <f t="shared" si="48"/>
        <v>6834.33</v>
      </c>
      <c r="M97" s="863">
        <v>20</v>
      </c>
      <c r="N97" s="723">
        <f t="shared" si="49"/>
        <v>1366.87</v>
      </c>
      <c r="O97" s="863">
        <v>20</v>
      </c>
      <c r="P97" s="724">
        <f t="shared" si="82"/>
        <v>1366.87</v>
      </c>
      <c r="Q97" s="864">
        <f t="shared" si="50"/>
        <v>9568.07</v>
      </c>
      <c r="R97" s="865">
        <f t="shared" si="51"/>
        <v>9568.07</v>
      </c>
      <c r="S97" s="862">
        <f t="shared" si="86"/>
        <v>1366.87</v>
      </c>
      <c r="T97" s="862"/>
      <c r="U97" s="725">
        <f t="shared" si="52"/>
        <v>28704.21</v>
      </c>
      <c r="V97" s="725">
        <f t="shared" si="53"/>
        <v>20502.990000000002</v>
      </c>
      <c r="W97" s="725">
        <f t="shared" si="54"/>
        <v>8201.2199999999993</v>
      </c>
      <c r="X97" s="725">
        <f t="shared" si="55"/>
        <v>28704.21</v>
      </c>
      <c r="Y97" s="866">
        <f t="shared" si="56"/>
        <v>6834.33</v>
      </c>
      <c r="Z97" s="866">
        <v>1</v>
      </c>
      <c r="AA97" s="725">
        <f t="shared" si="57"/>
        <v>20502.990000000002</v>
      </c>
      <c r="AB97" s="725">
        <f t="shared" si="58"/>
        <v>8201.2199999999993</v>
      </c>
      <c r="AC97" s="725">
        <f t="shared" si="59"/>
        <v>29852.38</v>
      </c>
      <c r="AD97" s="864">
        <f t="shared" si="60"/>
        <v>7107.7</v>
      </c>
      <c r="AE97" s="866">
        <f t="shared" si="83"/>
        <v>1.04</v>
      </c>
      <c r="AF97" s="725">
        <f t="shared" si="61"/>
        <v>21323.11</v>
      </c>
      <c r="AG97" s="726">
        <f t="shared" si="62"/>
        <v>8529.27</v>
      </c>
      <c r="AH97" s="725">
        <f t="shared" si="63"/>
        <v>30330.02</v>
      </c>
      <c r="AI97" s="866">
        <f t="shared" si="64"/>
        <v>7221.42</v>
      </c>
      <c r="AJ97" s="866">
        <f t="shared" si="84"/>
        <v>1.016</v>
      </c>
      <c r="AK97" s="725">
        <f t="shared" si="65"/>
        <v>21664.28</v>
      </c>
      <c r="AL97" s="725">
        <f t="shared" si="66"/>
        <v>8665.74</v>
      </c>
      <c r="AM97" s="867">
        <v>0.04</v>
      </c>
      <c r="AN97" s="868">
        <f t="shared" si="46"/>
        <v>0.04</v>
      </c>
      <c r="AO97" s="866">
        <f t="shared" si="67"/>
        <v>1148.17</v>
      </c>
      <c r="AP97" s="866">
        <f t="shared" si="68"/>
        <v>1148.17</v>
      </c>
      <c r="AQ97" s="866">
        <f t="shared" si="69"/>
        <v>1194.0999999999999</v>
      </c>
      <c r="AR97" s="866">
        <f t="shared" si="70"/>
        <v>1213.2</v>
      </c>
      <c r="AS97" s="725">
        <f t="shared" si="71"/>
        <v>27556.04</v>
      </c>
      <c r="AT97" s="725">
        <f t="shared" si="72"/>
        <v>27556.04</v>
      </c>
      <c r="AU97" s="725">
        <f t="shared" si="73"/>
        <v>28658.280000000002</v>
      </c>
      <c r="AV97" s="725">
        <f t="shared" si="74"/>
        <v>29116.82</v>
      </c>
      <c r="AW97" s="729">
        <f t="shared" si="75"/>
        <v>6158.89</v>
      </c>
      <c r="AX97" s="730">
        <f t="shared" si="76"/>
        <v>6158.89</v>
      </c>
      <c r="AY97" s="730">
        <f t="shared" si="77"/>
        <v>6405.25</v>
      </c>
      <c r="AZ97" s="731">
        <f t="shared" si="78"/>
        <v>6507.73</v>
      </c>
      <c r="BA97" s="869"/>
      <c r="BB97" s="739">
        <f t="shared" si="79"/>
        <v>87739.48</v>
      </c>
      <c r="BC97" s="871">
        <f t="shared" si="80"/>
        <v>83993.37</v>
      </c>
      <c r="BD97" s="871">
        <f t="shared" si="81"/>
        <v>33597.449999999997</v>
      </c>
      <c r="BE97" s="870">
        <f t="shared" si="47"/>
        <v>7311.623333333333</v>
      </c>
      <c r="BF97" s="870"/>
      <c r="BG97" s="872">
        <v>8.4099999999999994E-2</v>
      </c>
      <c r="BH97" s="873">
        <v>0.22</v>
      </c>
    </row>
    <row r="98" spans="1:60" s="322" customFormat="1" ht="21" hidden="1" customHeight="1">
      <c r="A98" s="862" t="s">
        <v>609</v>
      </c>
      <c r="B98" s="862" t="s">
        <v>784</v>
      </c>
      <c r="C98" s="862" t="s">
        <v>755</v>
      </c>
      <c r="D98" s="863">
        <v>7233</v>
      </c>
      <c r="E98" s="863"/>
      <c r="F98" s="863"/>
      <c r="G98" s="863">
        <v>1</v>
      </c>
      <c r="H98" s="863">
        <v>5</v>
      </c>
      <c r="I98" s="863"/>
      <c r="J98" s="650">
        <v>41.15</v>
      </c>
      <c r="K98" s="650">
        <v>6834.83</v>
      </c>
      <c r="L98" s="724">
        <f t="shared" si="48"/>
        <v>6834.33</v>
      </c>
      <c r="M98" s="863">
        <v>20</v>
      </c>
      <c r="N98" s="723">
        <f t="shared" si="49"/>
        <v>1366.87</v>
      </c>
      <c r="O98" s="863">
        <v>20</v>
      </c>
      <c r="P98" s="724">
        <f t="shared" si="82"/>
        <v>1366.87</v>
      </c>
      <c r="Q98" s="864">
        <f t="shared" si="50"/>
        <v>9568.07</v>
      </c>
      <c r="R98" s="865">
        <f t="shared" si="51"/>
        <v>9568.07</v>
      </c>
      <c r="S98" s="862">
        <f t="shared" si="86"/>
        <v>1366.87</v>
      </c>
      <c r="T98" s="862"/>
      <c r="U98" s="725">
        <f t="shared" si="52"/>
        <v>28704.21</v>
      </c>
      <c r="V98" s="725">
        <f t="shared" si="53"/>
        <v>20502.990000000002</v>
      </c>
      <c r="W98" s="725">
        <f t="shared" si="54"/>
        <v>8201.2199999999993</v>
      </c>
      <c r="X98" s="725">
        <f t="shared" si="55"/>
        <v>28704.21</v>
      </c>
      <c r="Y98" s="866">
        <f t="shared" si="56"/>
        <v>6834.33</v>
      </c>
      <c r="Z98" s="866">
        <v>1</v>
      </c>
      <c r="AA98" s="725">
        <f t="shared" si="57"/>
        <v>20502.990000000002</v>
      </c>
      <c r="AB98" s="725">
        <f t="shared" si="58"/>
        <v>8201.2199999999993</v>
      </c>
      <c r="AC98" s="725">
        <f t="shared" si="59"/>
        <v>29852.38</v>
      </c>
      <c r="AD98" s="864">
        <f t="shared" si="60"/>
        <v>7107.7</v>
      </c>
      <c r="AE98" s="866">
        <f t="shared" si="83"/>
        <v>1.04</v>
      </c>
      <c r="AF98" s="725">
        <f t="shared" si="61"/>
        <v>21323.11</v>
      </c>
      <c r="AG98" s="726">
        <f t="shared" si="62"/>
        <v>8529.27</v>
      </c>
      <c r="AH98" s="725">
        <f t="shared" si="63"/>
        <v>30330.02</v>
      </c>
      <c r="AI98" s="866">
        <f t="shared" si="64"/>
        <v>7221.42</v>
      </c>
      <c r="AJ98" s="866">
        <f t="shared" si="84"/>
        <v>1.016</v>
      </c>
      <c r="AK98" s="725">
        <f t="shared" si="65"/>
        <v>21664.28</v>
      </c>
      <c r="AL98" s="725">
        <f t="shared" si="66"/>
        <v>8665.74</v>
      </c>
      <c r="AM98" s="867">
        <v>0.04</v>
      </c>
      <c r="AN98" s="868">
        <f t="shared" si="46"/>
        <v>0.04</v>
      </c>
      <c r="AO98" s="866">
        <f t="shared" si="67"/>
        <v>1148.17</v>
      </c>
      <c r="AP98" s="866">
        <f t="shared" si="68"/>
        <v>1148.17</v>
      </c>
      <c r="AQ98" s="866">
        <f t="shared" si="69"/>
        <v>1194.0999999999999</v>
      </c>
      <c r="AR98" s="866">
        <f t="shared" si="70"/>
        <v>1213.2</v>
      </c>
      <c r="AS98" s="725">
        <f t="shared" si="71"/>
        <v>27556.04</v>
      </c>
      <c r="AT98" s="725">
        <f t="shared" si="72"/>
        <v>27556.04</v>
      </c>
      <c r="AU98" s="725">
        <f t="shared" si="73"/>
        <v>28658.280000000002</v>
      </c>
      <c r="AV98" s="725">
        <f t="shared" si="74"/>
        <v>29116.82</v>
      </c>
      <c r="AW98" s="729">
        <f t="shared" si="75"/>
        <v>6158.89</v>
      </c>
      <c r="AX98" s="730">
        <f t="shared" si="76"/>
        <v>6158.89</v>
      </c>
      <c r="AY98" s="730">
        <f t="shared" si="77"/>
        <v>6405.25</v>
      </c>
      <c r="AZ98" s="731">
        <f t="shared" si="78"/>
        <v>6507.73</v>
      </c>
      <c r="BA98" s="869"/>
      <c r="BB98" s="739">
        <f t="shared" si="79"/>
        <v>87739.48</v>
      </c>
      <c r="BC98" s="871">
        <f t="shared" si="80"/>
        <v>83993.37</v>
      </c>
      <c r="BD98" s="871">
        <f t="shared" si="81"/>
        <v>33597.449999999997</v>
      </c>
      <c r="BE98" s="870">
        <f t="shared" si="47"/>
        <v>7311.623333333333</v>
      </c>
      <c r="BF98" s="870"/>
      <c r="BG98" s="872">
        <v>8.4099999999999994E-2</v>
      </c>
      <c r="BH98" s="873">
        <v>0.22</v>
      </c>
    </row>
    <row r="99" spans="1:60" s="322" customFormat="1" ht="21" hidden="1" customHeight="1">
      <c r="A99" s="862" t="s">
        <v>610</v>
      </c>
      <c r="B99" s="862" t="s">
        <v>784</v>
      </c>
      <c r="C99" s="862" t="s">
        <v>755</v>
      </c>
      <c r="D99" s="863">
        <v>7241</v>
      </c>
      <c r="E99" s="863"/>
      <c r="F99" s="863"/>
      <c r="G99" s="863">
        <v>1</v>
      </c>
      <c r="H99" s="863">
        <v>5</v>
      </c>
      <c r="I99" s="863"/>
      <c r="J99" s="650">
        <v>41.15</v>
      </c>
      <c r="K99" s="650">
        <v>6834.83</v>
      </c>
      <c r="L99" s="724">
        <f t="shared" si="48"/>
        <v>6834.33</v>
      </c>
      <c r="M99" s="863">
        <v>20</v>
      </c>
      <c r="N99" s="723">
        <f t="shared" si="49"/>
        <v>1366.87</v>
      </c>
      <c r="O99" s="863">
        <v>20</v>
      </c>
      <c r="P99" s="724">
        <f t="shared" si="82"/>
        <v>1366.87</v>
      </c>
      <c r="Q99" s="864">
        <f t="shared" si="50"/>
        <v>9568.07</v>
      </c>
      <c r="R99" s="865">
        <f t="shared" si="51"/>
        <v>9568.07</v>
      </c>
      <c r="S99" s="862">
        <f t="shared" si="86"/>
        <v>1366.87</v>
      </c>
      <c r="T99" s="862"/>
      <c r="U99" s="725">
        <f t="shared" si="52"/>
        <v>28704.21</v>
      </c>
      <c r="V99" s="725">
        <f t="shared" si="53"/>
        <v>20502.990000000002</v>
      </c>
      <c r="W99" s="725">
        <f t="shared" si="54"/>
        <v>8201.2199999999993</v>
      </c>
      <c r="X99" s="725">
        <f t="shared" si="55"/>
        <v>28704.21</v>
      </c>
      <c r="Y99" s="866">
        <f t="shared" si="56"/>
        <v>6834.33</v>
      </c>
      <c r="Z99" s="866">
        <v>1</v>
      </c>
      <c r="AA99" s="725">
        <f t="shared" si="57"/>
        <v>20502.990000000002</v>
      </c>
      <c r="AB99" s="725">
        <f t="shared" si="58"/>
        <v>8201.2199999999993</v>
      </c>
      <c r="AC99" s="725">
        <f t="shared" si="59"/>
        <v>29852.38</v>
      </c>
      <c r="AD99" s="864">
        <f t="shared" si="60"/>
        <v>7107.7</v>
      </c>
      <c r="AE99" s="866">
        <f t="shared" si="83"/>
        <v>1.04</v>
      </c>
      <c r="AF99" s="725">
        <f t="shared" si="61"/>
        <v>21323.11</v>
      </c>
      <c r="AG99" s="726">
        <f t="shared" si="62"/>
        <v>8529.27</v>
      </c>
      <c r="AH99" s="725">
        <f t="shared" si="63"/>
        <v>30330.02</v>
      </c>
      <c r="AI99" s="866">
        <f t="shared" si="64"/>
        <v>7221.42</v>
      </c>
      <c r="AJ99" s="866">
        <f t="shared" si="84"/>
        <v>1.016</v>
      </c>
      <c r="AK99" s="725">
        <f t="shared" si="65"/>
        <v>21664.28</v>
      </c>
      <c r="AL99" s="725">
        <f t="shared" si="66"/>
        <v>8665.74</v>
      </c>
      <c r="AM99" s="867">
        <v>0.04</v>
      </c>
      <c r="AN99" s="868">
        <f t="shared" si="46"/>
        <v>0.04</v>
      </c>
      <c r="AO99" s="866">
        <f t="shared" si="67"/>
        <v>1148.17</v>
      </c>
      <c r="AP99" s="866">
        <f t="shared" si="68"/>
        <v>1148.17</v>
      </c>
      <c r="AQ99" s="866">
        <f t="shared" si="69"/>
        <v>1194.0999999999999</v>
      </c>
      <c r="AR99" s="866">
        <f t="shared" si="70"/>
        <v>1213.2</v>
      </c>
      <c r="AS99" s="725">
        <f t="shared" si="71"/>
        <v>27556.04</v>
      </c>
      <c r="AT99" s="725">
        <f t="shared" si="72"/>
        <v>27556.04</v>
      </c>
      <c r="AU99" s="725">
        <f t="shared" si="73"/>
        <v>28658.280000000002</v>
      </c>
      <c r="AV99" s="725">
        <f t="shared" si="74"/>
        <v>29116.82</v>
      </c>
      <c r="AW99" s="729">
        <f t="shared" si="75"/>
        <v>6158.89</v>
      </c>
      <c r="AX99" s="730">
        <f t="shared" si="76"/>
        <v>6158.89</v>
      </c>
      <c r="AY99" s="730">
        <f t="shared" si="77"/>
        <v>6405.25</v>
      </c>
      <c r="AZ99" s="731">
        <f t="shared" si="78"/>
        <v>6507.73</v>
      </c>
      <c r="BA99" s="869"/>
      <c r="BB99" s="739">
        <f t="shared" si="79"/>
        <v>87739.48</v>
      </c>
      <c r="BC99" s="871">
        <f t="shared" si="80"/>
        <v>83993.37</v>
      </c>
      <c r="BD99" s="871">
        <f t="shared" si="81"/>
        <v>33597.449999999997</v>
      </c>
      <c r="BE99" s="870">
        <f t="shared" si="47"/>
        <v>7311.623333333333</v>
      </c>
      <c r="BF99" s="870"/>
      <c r="BG99" s="872">
        <v>8.4099999999999994E-2</v>
      </c>
      <c r="BH99" s="873">
        <v>0.22</v>
      </c>
    </row>
    <row r="100" spans="1:60" s="322" customFormat="1" ht="21" hidden="1" customHeight="1">
      <c r="A100" s="862" t="s">
        <v>612</v>
      </c>
      <c r="B100" s="862" t="s">
        <v>784</v>
      </c>
      <c r="C100" s="862" t="s">
        <v>755</v>
      </c>
      <c r="D100" s="863">
        <v>7231</v>
      </c>
      <c r="E100" s="863"/>
      <c r="F100" s="863"/>
      <c r="G100" s="863">
        <v>5</v>
      </c>
      <c r="H100" s="863">
        <v>5</v>
      </c>
      <c r="I100" s="863"/>
      <c r="J100" s="650">
        <v>41.15</v>
      </c>
      <c r="K100" s="650">
        <v>6834.83</v>
      </c>
      <c r="L100" s="724">
        <f t="shared" si="48"/>
        <v>6834.33</v>
      </c>
      <c r="M100" s="863">
        <v>20</v>
      </c>
      <c r="N100" s="723">
        <f t="shared" si="49"/>
        <v>1366.87</v>
      </c>
      <c r="O100" s="863">
        <v>20</v>
      </c>
      <c r="P100" s="724">
        <f t="shared" si="82"/>
        <v>1366.87</v>
      </c>
      <c r="Q100" s="864">
        <f t="shared" si="50"/>
        <v>9568.07</v>
      </c>
      <c r="R100" s="865">
        <f t="shared" si="51"/>
        <v>47840.35</v>
      </c>
      <c r="S100" s="862">
        <f t="shared" si="86"/>
        <v>6834.3499999999995</v>
      </c>
      <c r="T100" s="862"/>
      <c r="U100" s="725">
        <f t="shared" si="52"/>
        <v>143521.04999999999</v>
      </c>
      <c r="V100" s="725">
        <f t="shared" si="53"/>
        <v>102514.95</v>
      </c>
      <c r="W100" s="725">
        <f t="shared" si="54"/>
        <v>41006.1</v>
      </c>
      <c r="X100" s="725">
        <f t="shared" si="55"/>
        <v>143521.04999999999</v>
      </c>
      <c r="Y100" s="866">
        <f t="shared" si="56"/>
        <v>6834.33</v>
      </c>
      <c r="Z100" s="866">
        <v>1</v>
      </c>
      <c r="AA100" s="725">
        <f t="shared" si="57"/>
        <v>102514.95</v>
      </c>
      <c r="AB100" s="725">
        <f t="shared" si="58"/>
        <v>41006.1</v>
      </c>
      <c r="AC100" s="725">
        <f t="shared" si="59"/>
        <v>149261.89000000001</v>
      </c>
      <c r="AD100" s="864">
        <f t="shared" si="60"/>
        <v>7107.7</v>
      </c>
      <c r="AE100" s="866">
        <f t="shared" si="83"/>
        <v>1.04</v>
      </c>
      <c r="AF100" s="725">
        <f t="shared" si="61"/>
        <v>106615.55</v>
      </c>
      <c r="AG100" s="726">
        <f t="shared" si="62"/>
        <v>42646.34</v>
      </c>
      <c r="AH100" s="725">
        <f t="shared" si="63"/>
        <v>151650.07999999999</v>
      </c>
      <c r="AI100" s="866">
        <f t="shared" si="64"/>
        <v>7221.42</v>
      </c>
      <c r="AJ100" s="866">
        <f t="shared" si="84"/>
        <v>1.016</v>
      </c>
      <c r="AK100" s="725">
        <f t="shared" si="65"/>
        <v>108321.4</v>
      </c>
      <c r="AL100" s="725">
        <f t="shared" si="66"/>
        <v>43328.68</v>
      </c>
      <c r="AM100" s="867">
        <v>0.04</v>
      </c>
      <c r="AN100" s="868">
        <f t="shared" ref="AN100:AN131" si="87">G100*AM100</f>
        <v>0.2</v>
      </c>
      <c r="AO100" s="866">
        <f t="shared" si="67"/>
        <v>5740.84</v>
      </c>
      <c r="AP100" s="866">
        <f t="shared" si="68"/>
        <v>5740.84</v>
      </c>
      <c r="AQ100" s="866">
        <f t="shared" si="69"/>
        <v>5970.48</v>
      </c>
      <c r="AR100" s="866">
        <f t="shared" si="70"/>
        <v>6066</v>
      </c>
      <c r="AS100" s="725">
        <f t="shared" si="71"/>
        <v>137780.21</v>
      </c>
      <c r="AT100" s="725">
        <f t="shared" si="72"/>
        <v>137780.21</v>
      </c>
      <c r="AU100" s="725">
        <f t="shared" si="73"/>
        <v>143291.41</v>
      </c>
      <c r="AV100" s="725">
        <f t="shared" si="74"/>
        <v>145584.07999999999</v>
      </c>
      <c r="AW100" s="729">
        <f t="shared" si="75"/>
        <v>30794.45</v>
      </c>
      <c r="AX100" s="730">
        <f t="shared" si="76"/>
        <v>30794.45</v>
      </c>
      <c r="AY100" s="730">
        <f t="shared" si="77"/>
        <v>32026.23</v>
      </c>
      <c r="AZ100" s="731">
        <f t="shared" si="78"/>
        <v>32538.65</v>
      </c>
      <c r="BA100" s="869"/>
      <c r="BB100" s="739">
        <f t="shared" si="79"/>
        <v>438693.22</v>
      </c>
      <c r="BC100" s="871">
        <f t="shared" si="80"/>
        <v>419966.85</v>
      </c>
      <c r="BD100" s="871">
        <f t="shared" si="81"/>
        <v>167987.22</v>
      </c>
      <c r="BE100" s="870">
        <f t="shared" ref="BE100:BE131" si="88">BB100/12/G100</f>
        <v>7311.5536666666667</v>
      </c>
      <c r="BF100" s="870"/>
      <c r="BG100" s="872">
        <v>8.4099999999999994E-2</v>
      </c>
      <c r="BH100" s="873">
        <v>0.22</v>
      </c>
    </row>
    <row r="101" spans="1:60" s="322" customFormat="1" ht="21" hidden="1" customHeight="1">
      <c r="A101" s="862" t="s">
        <v>612</v>
      </c>
      <c r="B101" s="862" t="s">
        <v>784</v>
      </c>
      <c r="C101" s="862" t="s">
        <v>755</v>
      </c>
      <c r="D101" s="863">
        <v>7231</v>
      </c>
      <c r="E101" s="863"/>
      <c r="F101" s="863"/>
      <c r="G101" s="863">
        <v>1</v>
      </c>
      <c r="H101" s="863">
        <v>6</v>
      </c>
      <c r="I101" s="863"/>
      <c r="J101" s="650">
        <v>48.1</v>
      </c>
      <c r="K101" s="650">
        <v>7988.98</v>
      </c>
      <c r="L101" s="724">
        <f t="shared" si="48"/>
        <v>7988.61</v>
      </c>
      <c r="M101" s="863">
        <v>24</v>
      </c>
      <c r="N101" s="723">
        <f t="shared" si="49"/>
        <v>1917.27</v>
      </c>
      <c r="O101" s="863">
        <v>20</v>
      </c>
      <c r="P101" s="724">
        <f t="shared" si="82"/>
        <v>1597.72</v>
      </c>
      <c r="Q101" s="864">
        <f t="shared" si="50"/>
        <v>11503.6</v>
      </c>
      <c r="R101" s="865">
        <f t="shared" si="51"/>
        <v>11503.6</v>
      </c>
      <c r="S101" s="862">
        <f t="shared" si="86"/>
        <v>1597.72</v>
      </c>
      <c r="T101" s="862"/>
      <c r="U101" s="725">
        <f t="shared" si="52"/>
        <v>34510.800000000003</v>
      </c>
      <c r="V101" s="725">
        <f t="shared" si="53"/>
        <v>23965.83</v>
      </c>
      <c r="W101" s="725">
        <f t="shared" si="54"/>
        <v>10544.97</v>
      </c>
      <c r="X101" s="725">
        <f t="shared" si="55"/>
        <v>34510.800000000003</v>
      </c>
      <c r="Y101" s="866">
        <f t="shared" si="56"/>
        <v>7988.61</v>
      </c>
      <c r="Z101" s="866">
        <v>1</v>
      </c>
      <c r="AA101" s="725">
        <f t="shared" si="57"/>
        <v>23965.83</v>
      </c>
      <c r="AB101" s="725">
        <f t="shared" si="58"/>
        <v>10544.97</v>
      </c>
      <c r="AC101" s="725">
        <f t="shared" si="59"/>
        <v>35891.230000000003</v>
      </c>
      <c r="AD101" s="864">
        <f t="shared" si="60"/>
        <v>8308.15</v>
      </c>
      <c r="AE101" s="866">
        <f t="shared" si="83"/>
        <v>1.04</v>
      </c>
      <c r="AF101" s="725">
        <f t="shared" si="61"/>
        <v>24924.46</v>
      </c>
      <c r="AG101" s="726">
        <f t="shared" si="62"/>
        <v>10966.77</v>
      </c>
      <c r="AH101" s="725">
        <f t="shared" si="63"/>
        <v>36465.49</v>
      </c>
      <c r="AI101" s="866">
        <f t="shared" si="64"/>
        <v>8441.08</v>
      </c>
      <c r="AJ101" s="866">
        <f t="shared" si="84"/>
        <v>1.016</v>
      </c>
      <c r="AK101" s="725">
        <f t="shared" si="65"/>
        <v>25323.25</v>
      </c>
      <c r="AL101" s="725">
        <f t="shared" si="66"/>
        <v>11142.24</v>
      </c>
      <c r="AM101" s="867">
        <v>0.04</v>
      </c>
      <c r="AN101" s="868">
        <f t="shared" si="87"/>
        <v>0.04</v>
      </c>
      <c r="AO101" s="866">
        <f t="shared" si="67"/>
        <v>1380.43</v>
      </c>
      <c r="AP101" s="866">
        <f t="shared" si="68"/>
        <v>1380.43</v>
      </c>
      <c r="AQ101" s="866">
        <f t="shared" si="69"/>
        <v>1435.65</v>
      </c>
      <c r="AR101" s="866">
        <f t="shared" si="70"/>
        <v>1458.62</v>
      </c>
      <c r="AS101" s="725">
        <f t="shared" si="71"/>
        <v>33130.370000000003</v>
      </c>
      <c r="AT101" s="725">
        <f t="shared" si="72"/>
        <v>33130.370000000003</v>
      </c>
      <c r="AU101" s="725">
        <f t="shared" si="73"/>
        <v>34455.58</v>
      </c>
      <c r="AV101" s="725">
        <f t="shared" si="74"/>
        <v>35006.869999999995</v>
      </c>
      <c r="AW101" s="729">
        <f t="shared" si="75"/>
        <v>7404.78</v>
      </c>
      <c r="AX101" s="730">
        <f t="shared" si="76"/>
        <v>7404.78</v>
      </c>
      <c r="AY101" s="730">
        <f t="shared" si="77"/>
        <v>7700.97</v>
      </c>
      <c r="AZ101" s="731">
        <f t="shared" si="78"/>
        <v>7824.18</v>
      </c>
      <c r="BA101" s="869"/>
      <c r="BB101" s="739">
        <f t="shared" ref="BB101:BB132" si="89">U101+X101+AE101+AH101</f>
        <v>105488.13</v>
      </c>
      <c r="BC101" s="871">
        <f t="shared" si="80"/>
        <v>98179.37</v>
      </c>
      <c r="BD101" s="871">
        <f t="shared" si="81"/>
        <v>43198.95</v>
      </c>
      <c r="BE101" s="870">
        <f t="shared" si="88"/>
        <v>8790.6774999999998</v>
      </c>
      <c r="BF101" s="870"/>
      <c r="BG101" s="872">
        <v>8.4099999999999994E-2</v>
      </c>
      <c r="BH101" s="873">
        <v>0.22</v>
      </c>
    </row>
    <row r="102" spans="1:60" s="322" customFormat="1" ht="21" hidden="1" customHeight="1">
      <c r="A102" s="862" t="s">
        <v>613</v>
      </c>
      <c r="B102" s="862" t="s">
        <v>784</v>
      </c>
      <c r="C102" s="862" t="s">
        <v>755</v>
      </c>
      <c r="D102" s="863">
        <v>7222</v>
      </c>
      <c r="E102" s="863"/>
      <c r="F102" s="863"/>
      <c r="G102" s="863">
        <v>1</v>
      </c>
      <c r="H102" s="863">
        <v>5</v>
      </c>
      <c r="I102" s="863"/>
      <c r="J102" s="650">
        <v>41.15</v>
      </c>
      <c r="K102" s="650">
        <v>6834.83</v>
      </c>
      <c r="L102" s="724">
        <f t="shared" si="48"/>
        <v>6834.33</v>
      </c>
      <c r="M102" s="863">
        <v>20</v>
      </c>
      <c r="N102" s="723">
        <f t="shared" si="49"/>
        <v>1366.87</v>
      </c>
      <c r="O102" s="863">
        <v>20</v>
      </c>
      <c r="P102" s="724">
        <f t="shared" si="82"/>
        <v>1366.87</v>
      </c>
      <c r="Q102" s="864">
        <f t="shared" si="50"/>
        <v>9568.07</v>
      </c>
      <c r="R102" s="865">
        <f t="shared" si="51"/>
        <v>9568.07</v>
      </c>
      <c r="S102" s="862">
        <f t="shared" si="86"/>
        <v>1366.87</v>
      </c>
      <c r="T102" s="862"/>
      <c r="U102" s="725">
        <f t="shared" si="52"/>
        <v>28704.21</v>
      </c>
      <c r="V102" s="725">
        <f t="shared" si="53"/>
        <v>20502.990000000002</v>
      </c>
      <c r="W102" s="725">
        <f t="shared" si="54"/>
        <v>8201.2199999999993</v>
      </c>
      <c r="X102" s="725">
        <f t="shared" si="55"/>
        <v>28704.21</v>
      </c>
      <c r="Y102" s="866">
        <f t="shared" si="56"/>
        <v>6834.33</v>
      </c>
      <c r="Z102" s="866">
        <v>1</v>
      </c>
      <c r="AA102" s="725">
        <f t="shared" si="57"/>
        <v>20502.990000000002</v>
      </c>
      <c r="AB102" s="725">
        <f t="shared" si="58"/>
        <v>8201.2199999999993</v>
      </c>
      <c r="AC102" s="725">
        <f t="shared" si="59"/>
        <v>29852.38</v>
      </c>
      <c r="AD102" s="864">
        <f t="shared" si="60"/>
        <v>7107.7</v>
      </c>
      <c r="AE102" s="866">
        <f t="shared" si="83"/>
        <v>1.04</v>
      </c>
      <c r="AF102" s="725">
        <f t="shared" si="61"/>
        <v>21323.11</v>
      </c>
      <c r="AG102" s="726">
        <f t="shared" si="62"/>
        <v>8529.27</v>
      </c>
      <c r="AH102" s="725">
        <f t="shared" si="63"/>
        <v>30330.02</v>
      </c>
      <c r="AI102" s="866">
        <f t="shared" si="64"/>
        <v>7221.42</v>
      </c>
      <c r="AJ102" s="866">
        <f t="shared" si="84"/>
        <v>1.016</v>
      </c>
      <c r="AK102" s="725">
        <f t="shared" si="65"/>
        <v>21664.28</v>
      </c>
      <c r="AL102" s="725">
        <f t="shared" si="66"/>
        <v>8665.74</v>
      </c>
      <c r="AM102" s="867">
        <v>0.04</v>
      </c>
      <c r="AN102" s="868">
        <f t="shared" si="87"/>
        <v>0.04</v>
      </c>
      <c r="AO102" s="866">
        <f t="shared" si="67"/>
        <v>1148.17</v>
      </c>
      <c r="AP102" s="866">
        <f t="shared" si="68"/>
        <v>1148.17</v>
      </c>
      <c r="AQ102" s="866">
        <f t="shared" si="69"/>
        <v>1194.0999999999999</v>
      </c>
      <c r="AR102" s="866">
        <f t="shared" si="70"/>
        <v>1213.2</v>
      </c>
      <c r="AS102" s="725">
        <f t="shared" si="71"/>
        <v>27556.04</v>
      </c>
      <c r="AT102" s="725">
        <f t="shared" si="72"/>
        <v>27556.04</v>
      </c>
      <c r="AU102" s="725">
        <f t="shared" si="73"/>
        <v>28658.280000000002</v>
      </c>
      <c r="AV102" s="725">
        <f t="shared" si="74"/>
        <v>29116.82</v>
      </c>
      <c r="AW102" s="729">
        <f t="shared" si="75"/>
        <v>6158.89</v>
      </c>
      <c r="AX102" s="730">
        <f t="shared" si="76"/>
        <v>6158.89</v>
      </c>
      <c r="AY102" s="730">
        <f t="shared" si="77"/>
        <v>6405.25</v>
      </c>
      <c r="AZ102" s="731">
        <f t="shared" si="78"/>
        <v>6507.73</v>
      </c>
      <c r="BA102" s="869"/>
      <c r="BB102" s="739">
        <f t="shared" si="89"/>
        <v>87739.48</v>
      </c>
      <c r="BC102" s="871">
        <f t="shared" si="80"/>
        <v>83993.37</v>
      </c>
      <c r="BD102" s="871">
        <f t="shared" si="81"/>
        <v>33597.449999999997</v>
      </c>
      <c r="BE102" s="870">
        <f t="shared" si="88"/>
        <v>7311.623333333333</v>
      </c>
      <c r="BF102" s="870"/>
      <c r="BG102" s="872">
        <v>8.4099999999999994E-2</v>
      </c>
      <c r="BH102" s="873">
        <v>0.22</v>
      </c>
    </row>
    <row r="103" spans="1:60" s="322" customFormat="1" ht="21" hidden="1" customHeight="1">
      <c r="A103" s="862" t="s">
        <v>614</v>
      </c>
      <c r="B103" s="862" t="s">
        <v>784</v>
      </c>
      <c r="C103" s="862" t="s">
        <v>755</v>
      </c>
      <c r="D103" s="863">
        <v>7241</v>
      </c>
      <c r="E103" s="863"/>
      <c r="F103" s="863"/>
      <c r="G103" s="863">
        <v>1</v>
      </c>
      <c r="H103" s="863">
        <v>5</v>
      </c>
      <c r="I103" s="863"/>
      <c r="J103" s="650">
        <v>41.15</v>
      </c>
      <c r="K103" s="650">
        <v>6834.83</v>
      </c>
      <c r="L103" s="724">
        <f t="shared" si="48"/>
        <v>6834.33</v>
      </c>
      <c r="M103" s="863">
        <v>28</v>
      </c>
      <c r="N103" s="723">
        <f t="shared" si="49"/>
        <v>1913.61</v>
      </c>
      <c r="O103" s="863">
        <v>20</v>
      </c>
      <c r="P103" s="724">
        <f t="shared" si="82"/>
        <v>1366.87</v>
      </c>
      <c r="Q103" s="864">
        <f t="shared" si="50"/>
        <v>10114.81</v>
      </c>
      <c r="R103" s="865">
        <f t="shared" si="51"/>
        <v>10114.81</v>
      </c>
      <c r="S103" s="862">
        <f t="shared" si="86"/>
        <v>1366.87</v>
      </c>
      <c r="T103" s="862"/>
      <c r="U103" s="725">
        <f t="shared" si="52"/>
        <v>30344.43</v>
      </c>
      <c r="V103" s="725">
        <f t="shared" si="53"/>
        <v>20502.990000000002</v>
      </c>
      <c r="W103" s="725">
        <f t="shared" si="54"/>
        <v>9841.44</v>
      </c>
      <c r="X103" s="725">
        <f t="shared" si="55"/>
        <v>30344.43</v>
      </c>
      <c r="Y103" s="866">
        <f t="shared" si="56"/>
        <v>6834.33</v>
      </c>
      <c r="Z103" s="866">
        <v>1</v>
      </c>
      <c r="AA103" s="725">
        <f t="shared" si="57"/>
        <v>20502.990000000002</v>
      </c>
      <c r="AB103" s="725">
        <f t="shared" si="58"/>
        <v>9841.44</v>
      </c>
      <c r="AC103" s="725">
        <f t="shared" si="59"/>
        <v>31558.21</v>
      </c>
      <c r="AD103" s="864">
        <f t="shared" si="60"/>
        <v>7107.7</v>
      </c>
      <c r="AE103" s="866">
        <f t="shared" si="83"/>
        <v>1.04</v>
      </c>
      <c r="AF103" s="725">
        <f t="shared" si="61"/>
        <v>21323.11</v>
      </c>
      <c r="AG103" s="726">
        <f t="shared" si="62"/>
        <v>10235.1</v>
      </c>
      <c r="AH103" s="725">
        <f t="shared" si="63"/>
        <v>32063.14</v>
      </c>
      <c r="AI103" s="866">
        <f t="shared" si="64"/>
        <v>7221.42</v>
      </c>
      <c r="AJ103" s="866">
        <f t="shared" si="84"/>
        <v>1.016</v>
      </c>
      <c r="AK103" s="725">
        <f t="shared" si="65"/>
        <v>21664.28</v>
      </c>
      <c r="AL103" s="725">
        <f t="shared" si="66"/>
        <v>10398.86</v>
      </c>
      <c r="AM103" s="867">
        <v>0.04</v>
      </c>
      <c r="AN103" s="868">
        <f t="shared" si="87"/>
        <v>0.04</v>
      </c>
      <c r="AO103" s="866">
        <f t="shared" si="67"/>
        <v>1213.78</v>
      </c>
      <c r="AP103" s="866">
        <f t="shared" si="68"/>
        <v>1213.78</v>
      </c>
      <c r="AQ103" s="866">
        <f t="shared" si="69"/>
        <v>1262.33</v>
      </c>
      <c r="AR103" s="866">
        <f t="shared" si="70"/>
        <v>1282.53</v>
      </c>
      <c r="AS103" s="725">
        <f t="shared" si="71"/>
        <v>29130.65</v>
      </c>
      <c r="AT103" s="725">
        <f t="shared" si="72"/>
        <v>29130.65</v>
      </c>
      <c r="AU103" s="725">
        <f t="shared" si="73"/>
        <v>30295.879999999997</v>
      </c>
      <c r="AV103" s="725">
        <f t="shared" si="74"/>
        <v>30780.61</v>
      </c>
      <c r="AW103" s="729">
        <f t="shared" si="75"/>
        <v>6510.82</v>
      </c>
      <c r="AX103" s="730">
        <f t="shared" si="76"/>
        <v>6510.82</v>
      </c>
      <c r="AY103" s="730">
        <f t="shared" si="77"/>
        <v>6771.26</v>
      </c>
      <c r="AZ103" s="731">
        <f t="shared" si="78"/>
        <v>6879.59</v>
      </c>
      <c r="BA103" s="869"/>
      <c r="BB103" s="739">
        <f t="shared" si="89"/>
        <v>92753.040000000008</v>
      </c>
      <c r="BC103" s="871">
        <f t="shared" si="80"/>
        <v>83993.37</v>
      </c>
      <c r="BD103" s="871">
        <f t="shared" si="81"/>
        <v>40316.839999999997</v>
      </c>
      <c r="BE103" s="870">
        <f t="shared" si="88"/>
        <v>7729.420000000001</v>
      </c>
      <c r="BF103" s="870"/>
      <c r="BG103" s="872">
        <v>8.4099999999999994E-2</v>
      </c>
      <c r="BH103" s="873">
        <v>0.22</v>
      </c>
    </row>
    <row r="104" spans="1:60" s="322" customFormat="1" ht="21" hidden="1" customHeight="1">
      <c r="A104" s="862" t="s">
        <v>615</v>
      </c>
      <c r="B104" s="862" t="s">
        <v>784</v>
      </c>
      <c r="C104" s="862" t="s">
        <v>755</v>
      </c>
      <c r="D104" s="863">
        <v>8231</v>
      </c>
      <c r="E104" s="863"/>
      <c r="F104" s="863"/>
      <c r="G104" s="863">
        <v>1</v>
      </c>
      <c r="H104" s="863">
        <v>6</v>
      </c>
      <c r="I104" s="863"/>
      <c r="J104" s="650">
        <v>48.1</v>
      </c>
      <c r="K104" s="650">
        <v>7988.98</v>
      </c>
      <c r="L104" s="724">
        <f t="shared" si="48"/>
        <v>7988.61</v>
      </c>
      <c r="M104" s="863">
        <v>32</v>
      </c>
      <c r="N104" s="723">
        <f t="shared" si="49"/>
        <v>2556.36</v>
      </c>
      <c r="O104" s="863">
        <v>20</v>
      </c>
      <c r="P104" s="724">
        <f t="shared" si="82"/>
        <v>1597.72</v>
      </c>
      <c r="Q104" s="864">
        <f t="shared" si="50"/>
        <v>12142.69</v>
      </c>
      <c r="R104" s="865">
        <f t="shared" si="51"/>
        <v>12142.69</v>
      </c>
      <c r="S104" s="862">
        <f t="shared" si="86"/>
        <v>1597.72</v>
      </c>
      <c r="T104" s="862"/>
      <c r="U104" s="725">
        <f t="shared" si="52"/>
        <v>36428.07</v>
      </c>
      <c r="V104" s="725">
        <f t="shared" si="53"/>
        <v>23965.83</v>
      </c>
      <c r="W104" s="725">
        <f t="shared" si="54"/>
        <v>12462.24</v>
      </c>
      <c r="X104" s="725">
        <f t="shared" si="55"/>
        <v>36428.07</v>
      </c>
      <c r="Y104" s="866">
        <f t="shared" si="56"/>
        <v>7988.61</v>
      </c>
      <c r="Z104" s="866">
        <v>1</v>
      </c>
      <c r="AA104" s="725">
        <f t="shared" si="57"/>
        <v>23965.83</v>
      </c>
      <c r="AB104" s="725">
        <f t="shared" si="58"/>
        <v>12462.24</v>
      </c>
      <c r="AC104" s="725">
        <f t="shared" si="59"/>
        <v>37885.19</v>
      </c>
      <c r="AD104" s="864">
        <f t="shared" si="60"/>
        <v>8308.15</v>
      </c>
      <c r="AE104" s="866">
        <f t="shared" si="83"/>
        <v>1.04</v>
      </c>
      <c r="AF104" s="725">
        <f t="shared" si="61"/>
        <v>24924.46</v>
      </c>
      <c r="AG104" s="726">
        <f t="shared" si="62"/>
        <v>12960.73</v>
      </c>
      <c r="AH104" s="725">
        <f t="shared" si="63"/>
        <v>38491.35</v>
      </c>
      <c r="AI104" s="866">
        <f t="shared" si="64"/>
        <v>8441.08</v>
      </c>
      <c r="AJ104" s="866">
        <f t="shared" si="84"/>
        <v>1.016</v>
      </c>
      <c r="AK104" s="725">
        <f t="shared" si="65"/>
        <v>25323.25</v>
      </c>
      <c r="AL104" s="725">
        <f t="shared" si="66"/>
        <v>13168.1</v>
      </c>
      <c r="AM104" s="867">
        <v>0.04</v>
      </c>
      <c r="AN104" s="868">
        <f t="shared" si="87"/>
        <v>0.04</v>
      </c>
      <c r="AO104" s="866">
        <f t="shared" si="67"/>
        <v>1457.12</v>
      </c>
      <c r="AP104" s="866">
        <f t="shared" si="68"/>
        <v>1457.12</v>
      </c>
      <c r="AQ104" s="866">
        <f t="shared" si="69"/>
        <v>1515.41</v>
      </c>
      <c r="AR104" s="866">
        <f t="shared" si="70"/>
        <v>1539.65</v>
      </c>
      <c r="AS104" s="725">
        <f t="shared" si="71"/>
        <v>34970.949999999997</v>
      </c>
      <c r="AT104" s="725">
        <f t="shared" si="72"/>
        <v>34970.949999999997</v>
      </c>
      <c r="AU104" s="725">
        <f t="shared" si="73"/>
        <v>36369.78</v>
      </c>
      <c r="AV104" s="725">
        <f t="shared" si="74"/>
        <v>36951.699999999997</v>
      </c>
      <c r="AW104" s="729">
        <f t="shared" si="75"/>
        <v>7816.15</v>
      </c>
      <c r="AX104" s="730">
        <f t="shared" si="76"/>
        <v>7816.15</v>
      </c>
      <c r="AY104" s="730">
        <f t="shared" si="77"/>
        <v>8128.8</v>
      </c>
      <c r="AZ104" s="731">
        <f t="shared" si="78"/>
        <v>8258.86</v>
      </c>
      <c r="BA104" s="869"/>
      <c r="BB104" s="739">
        <f t="shared" si="89"/>
        <v>111348.53</v>
      </c>
      <c r="BC104" s="871">
        <f t="shared" si="80"/>
        <v>98179.37</v>
      </c>
      <c r="BD104" s="871">
        <f t="shared" si="81"/>
        <v>51053.31</v>
      </c>
      <c r="BE104" s="870">
        <f t="shared" si="88"/>
        <v>9279.0441666666666</v>
      </c>
      <c r="BF104" s="870"/>
      <c r="BG104" s="872">
        <v>8.4099999999999994E-2</v>
      </c>
      <c r="BH104" s="873">
        <v>0.22</v>
      </c>
    </row>
    <row r="105" spans="1:60" s="322" customFormat="1" ht="21" hidden="1" customHeight="1">
      <c r="A105" s="862" t="s">
        <v>606</v>
      </c>
      <c r="B105" s="862" t="s">
        <v>784</v>
      </c>
      <c r="C105" s="862" t="s">
        <v>755</v>
      </c>
      <c r="D105" s="863">
        <v>8211</v>
      </c>
      <c r="E105" s="863"/>
      <c r="F105" s="863"/>
      <c r="G105" s="863">
        <v>1</v>
      </c>
      <c r="H105" s="863">
        <v>6</v>
      </c>
      <c r="I105" s="863"/>
      <c r="J105" s="650">
        <v>48.1</v>
      </c>
      <c r="K105" s="650">
        <v>7988.98</v>
      </c>
      <c r="L105" s="724">
        <f t="shared" si="48"/>
        <v>7988.61</v>
      </c>
      <c r="M105" s="863">
        <v>24</v>
      </c>
      <c r="N105" s="723">
        <f t="shared" si="49"/>
        <v>1917.27</v>
      </c>
      <c r="O105" s="863">
        <v>20</v>
      </c>
      <c r="P105" s="724">
        <f t="shared" si="82"/>
        <v>1597.72</v>
      </c>
      <c r="Q105" s="864">
        <f t="shared" si="50"/>
        <v>11503.6</v>
      </c>
      <c r="R105" s="865">
        <f t="shared" si="51"/>
        <v>11503.6</v>
      </c>
      <c r="S105" s="862">
        <f t="shared" si="86"/>
        <v>1597.72</v>
      </c>
      <c r="T105" s="862"/>
      <c r="U105" s="725">
        <f t="shared" si="52"/>
        <v>34510.800000000003</v>
      </c>
      <c r="V105" s="725">
        <f t="shared" si="53"/>
        <v>23965.83</v>
      </c>
      <c r="W105" s="725">
        <f t="shared" si="54"/>
        <v>10544.97</v>
      </c>
      <c r="X105" s="725">
        <f t="shared" si="55"/>
        <v>34510.800000000003</v>
      </c>
      <c r="Y105" s="866">
        <f t="shared" si="56"/>
        <v>7988.61</v>
      </c>
      <c r="Z105" s="866">
        <v>1</v>
      </c>
      <c r="AA105" s="725">
        <f t="shared" si="57"/>
        <v>23965.83</v>
      </c>
      <c r="AB105" s="725">
        <f t="shared" si="58"/>
        <v>10544.97</v>
      </c>
      <c r="AC105" s="725">
        <f t="shared" si="59"/>
        <v>35891.230000000003</v>
      </c>
      <c r="AD105" s="864">
        <f t="shared" si="60"/>
        <v>8308.15</v>
      </c>
      <c r="AE105" s="866">
        <f t="shared" si="83"/>
        <v>1.04</v>
      </c>
      <c r="AF105" s="725">
        <f t="shared" si="61"/>
        <v>24924.46</v>
      </c>
      <c r="AG105" s="726">
        <f t="shared" si="62"/>
        <v>10966.77</v>
      </c>
      <c r="AH105" s="725">
        <f t="shared" si="63"/>
        <v>36465.49</v>
      </c>
      <c r="AI105" s="866">
        <f t="shared" si="64"/>
        <v>8441.08</v>
      </c>
      <c r="AJ105" s="866">
        <f t="shared" si="84"/>
        <v>1.016</v>
      </c>
      <c r="AK105" s="725">
        <f t="shared" si="65"/>
        <v>25323.25</v>
      </c>
      <c r="AL105" s="725">
        <f t="shared" si="66"/>
        <v>11142.24</v>
      </c>
      <c r="AM105" s="867">
        <v>0.04</v>
      </c>
      <c r="AN105" s="868">
        <f t="shared" si="87"/>
        <v>0.04</v>
      </c>
      <c r="AO105" s="866">
        <f t="shared" si="67"/>
        <v>1380.43</v>
      </c>
      <c r="AP105" s="866">
        <f t="shared" si="68"/>
        <v>1380.43</v>
      </c>
      <c r="AQ105" s="866">
        <f t="shared" si="69"/>
        <v>1435.65</v>
      </c>
      <c r="AR105" s="866">
        <f t="shared" si="70"/>
        <v>1458.62</v>
      </c>
      <c r="AS105" s="725">
        <f t="shared" si="71"/>
        <v>33130.370000000003</v>
      </c>
      <c r="AT105" s="725">
        <f t="shared" si="72"/>
        <v>33130.370000000003</v>
      </c>
      <c r="AU105" s="725">
        <f t="shared" si="73"/>
        <v>34455.58</v>
      </c>
      <c r="AV105" s="725">
        <f t="shared" si="74"/>
        <v>35006.869999999995</v>
      </c>
      <c r="AW105" s="729">
        <f t="shared" si="75"/>
        <v>7404.78</v>
      </c>
      <c r="AX105" s="730">
        <f t="shared" si="76"/>
        <v>7404.78</v>
      </c>
      <c r="AY105" s="730">
        <f t="shared" si="77"/>
        <v>7700.97</v>
      </c>
      <c r="AZ105" s="731">
        <f t="shared" si="78"/>
        <v>7824.18</v>
      </c>
      <c r="BA105" s="869"/>
      <c r="BB105" s="739">
        <f t="shared" si="89"/>
        <v>105488.13</v>
      </c>
      <c r="BC105" s="871">
        <f t="shared" si="80"/>
        <v>98179.37</v>
      </c>
      <c r="BD105" s="871">
        <f t="shared" si="81"/>
        <v>43198.95</v>
      </c>
      <c r="BE105" s="870">
        <f t="shared" si="88"/>
        <v>8790.6774999999998</v>
      </c>
      <c r="BF105" s="870"/>
      <c r="BG105" s="872">
        <v>8.4099999999999994E-2</v>
      </c>
      <c r="BH105" s="873">
        <v>0.22</v>
      </c>
    </row>
    <row r="106" spans="1:60" s="322" customFormat="1" ht="21" hidden="1" customHeight="1">
      <c r="A106" s="862" t="s">
        <v>607</v>
      </c>
      <c r="B106" s="862" t="s">
        <v>784</v>
      </c>
      <c r="C106" s="862" t="s">
        <v>755</v>
      </c>
      <c r="D106" s="863">
        <v>7212</v>
      </c>
      <c r="E106" s="863"/>
      <c r="F106" s="863"/>
      <c r="G106" s="863">
        <v>1</v>
      </c>
      <c r="H106" s="863">
        <v>4</v>
      </c>
      <c r="I106" s="863"/>
      <c r="J106" s="650">
        <v>36.07</v>
      </c>
      <c r="K106" s="650">
        <v>5990.87</v>
      </c>
      <c r="L106" s="724">
        <f t="shared" si="48"/>
        <v>5990.63</v>
      </c>
      <c r="M106" s="863">
        <v>24</v>
      </c>
      <c r="N106" s="723">
        <f t="shared" si="49"/>
        <v>1437.75</v>
      </c>
      <c r="O106" s="863">
        <v>20</v>
      </c>
      <c r="P106" s="724">
        <f t="shared" si="82"/>
        <v>1198.1300000000001</v>
      </c>
      <c r="Q106" s="864">
        <f t="shared" si="50"/>
        <v>8626.51</v>
      </c>
      <c r="R106" s="865">
        <f t="shared" si="51"/>
        <v>8626.51</v>
      </c>
      <c r="S106" s="862">
        <f t="shared" si="86"/>
        <v>1198.1300000000001</v>
      </c>
      <c r="T106" s="862"/>
      <c r="U106" s="725">
        <f t="shared" si="52"/>
        <v>25879.53</v>
      </c>
      <c r="V106" s="725">
        <f t="shared" si="53"/>
        <v>17971.89</v>
      </c>
      <c r="W106" s="725">
        <f t="shared" si="54"/>
        <v>7907.64</v>
      </c>
      <c r="X106" s="725">
        <f t="shared" si="55"/>
        <v>25879.53</v>
      </c>
      <c r="Y106" s="866">
        <f t="shared" si="56"/>
        <v>5990.63</v>
      </c>
      <c r="Z106" s="866">
        <v>1</v>
      </c>
      <c r="AA106" s="725">
        <f t="shared" si="57"/>
        <v>17971.89</v>
      </c>
      <c r="AB106" s="725">
        <f t="shared" si="58"/>
        <v>7907.64</v>
      </c>
      <c r="AC106" s="725">
        <f t="shared" si="59"/>
        <v>26914.720000000001</v>
      </c>
      <c r="AD106" s="864">
        <f t="shared" si="60"/>
        <v>6230.26</v>
      </c>
      <c r="AE106" s="866">
        <f t="shared" si="83"/>
        <v>1.04</v>
      </c>
      <c r="AF106" s="725">
        <f t="shared" si="61"/>
        <v>18690.77</v>
      </c>
      <c r="AG106" s="726">
        <f t="shared" si="62"/>
        <v>8223.9500000000007</v>
      </c>
      <c r="AH106" s="725">
        <f t="shared" si="63"/>
        <v>27345.35</v>
      </c>
      <c r="AI106" s="866">
        <f t="shared" si="64"/>
        <v>6329.94</v>
      </c>
      <c r="AJ106" s="866">
        <f t="shared" si="84"/>
        <v>1.016</v>
      </c>
      <c r="AK106" s="725">
        <f t="shared" si="65"/>
        <v>18989.82</v>
      </c>
      <c r="AL106" s="725">
        <f t="shared" si="66"/>
        <v>8355.5300000000007</v>
      </c>
      <c r="AM106" s="867">
        <v>0.04</v>
      </c>
      <c r="AN106" s="868">
        <f t="shared" si="87"/>
        <v>0.04</v>
      </c>
      <c r="AO106" s="866">
        <f t="shared" si="67"/>
        <v>1035.18</v>
      </c>
      <c r="AP106" s="866">
        <f t="shared" si="68"/>
        <v>1035.18</v>
      </c>
      <c r="AQ106" s="866">
        <f t="shared" si="69"/>
        <v>1076.5899999999999</v>
      </c>
      <c r="AR106" s="866">
        <f t="shared" si="70"/>
        <v>1093.81</v>
      </c>
      <c r="AS106" s="725">
        <f t="shared" si="71"/>
        <v>24844.35</v>
      </c>
      <c r="AT106" s="725">
        <f t="shared" si="72"/>
        <v>24844.35</v>
      </c>
      <c r="AU106" s="725">
        <f t="shared" si="73"/>
        <v>25838.13</v>
      </c>
      <c r="AV106" s="725">
        <f t="shared" si="74"/>
        <v>26251.539999999997</v>
      </c>
      <c r="AW106" s="729">
        <f t="shared" si="75"/>
        <v>5552.82</v>
      </c>
      <c r="AX106" s="730">
        <f t="shared" si="76"/>
        <v>5552.82</v>
      </c>
      <c r="AY106" s="730">
        <f t="shared" si="77"/>
        <v>5774.93</v>
      </c>
      <c r="AZ106" s="731">
        <f t="shared" si="78"/>
        <v>5867.33</v>
      </c>
      <c r="BA106" s="869"/>
      <c r="BB106" s="739">
        <f t="shared" si="89"/>
        <v>79105.45</v>
      </c>
      <c r="BC106" s="871">
        <f t="shared" si="80"/>
        <v>73624.37</v>
      </c>
      <c r="BD106" s="871">
        <f t="shared" si="81"/>
        <v>32394.76</v>
      </c>
      <c r="BE106" s="870">
        <f t="shared" si="88"/>
        <v>6592.1208333333334</v>
      </c>
      <c r="BF106" s="870"/>
      <c r="BG106" s="872">
        <v>8.4099999999999994E-2</v>
      </c>
      <c r="BH106" s="873">
        <v>0.22</v>
      </c>
    </row>
    <row r="107" spans="1:60" s="322" customFormat="1" ht="21" hidden="1" customHeight="1">
      <c r="A107" s="862" t="s">
        <v>607</v>
      </c>
      <c r="B107" s="862" t="s">
        <v>784</v>
      </c>
      <c r="C107" s="862" t="s">
        <v>755</v>
      </c>
      <c r="D107" s="863">
        <v>7212</v>
      </c>
      <c r="E107" s="863"/>
      <c r="F107" s="863"/>
      <c r="G107" s="863">
        <v>2</v>
      </c>
      <c r="H107" s="863">
        <v>5</v>
      </c>
      <c r="I107" s="863"/>
      <c r="J107" s="650">
        <v>41.15</v>
      </c>
      <c r="K107" s="650">
        <v>6834.83</v>
      </c>
      <c r="L107" s="724">
        <f t="shared" si="48"/>
        <v>6834.33</v>
      </c>
      <c r="M107" s="863">
        <v>28</v>
      </c>
      <c r="N107" s="723">
        <f t="shared" si="49"/>
        <v>1913.61</v>
      </c>
      <c r="O107" s="863">
        <v>20</v>
      </c>
      <c r="P107" s="724">
        <f t="shared" si="82"/>
        <v>1366.87</v>
      </c>
      <c r="Q107" s="864">
        <f t="shared" si="50"/>
        <v>10114.81</v>
      </c>
      <c r="R107" s="865">
        <f t="shared" si="51"/>
        <v>20229.62</v>
      </c>
      <c r="S107" s="862">
        <f t="shared" si="86"/>
        <v>2733.74</v>
      </c>
      <c r="T107" s="862"/>
      <c r="U107" s="725">
        <f t="shared" si="52"/>
        <v>60688.86</v>
      </c>
      <c r="V107" s="725">
        <f t="shared" si="53"/>
        <v>41005.980000000003</v>
      </c>
      <c r="W107" s="725">
        <f t="shared" si="54"/>
        <v>19682.88</v>
      </c>
      <c r="X107" s="725">
        <f t="shared" si="55"/>
        <v>60688.86</v>
      </c>
      <c r="Y107" s="866">
        <f t="shared" si="56"/>
        <v>6834.33</v>
      </c>
      <c r="Z107" s="866">
        <v>1</v>
      </c>
      <c r="AA107" s="725">
        <f t="shared" si="57"/>
        <v>41005.980000000003</v>
      </c>
      <c r="AB107" s="725">
        <f t="shared" si="58"/>
        <v>19682.88</v>
      </c>
      <c r="AC107" s="725">
        <f t="shared" si="59"/>
        <v>63116.42</v>
      </c>
      <c r="AD107" s="864">
        <f t="shared" si="60"/>
        <v>7107.7</v>
      </c>
      <c r="AE107" s="866">
        <f t="shared" si="83"/>
        <v>1.04</v>
      </c>
      <c r="AF107" s="725">
        <f t="shared" si="61"/>
        <v>42646.22</v>
      </c>
      <c r="AG107" s="726">
        <f t="shared" si="62"/>
        <v>20470.2</v>
      </c>
      <c r="AH107" s="725">
        <f t="shared" si="63"/>
        <v>64126.28</v>
      </c>
      <c r="AI107" s="866">
        <f t="shared" si="64"/>
        <v>7221.42</v>
      </c>
      <c r="AJ107" s="866">
        <f t="shared" si="84"/>
        <v>1.016</v>
      </c>
      <c r="AK107" s="725">
        <f t="shared" si="65"/>
        <v>43328.56</v>
      </c>
      <c r="AL107" s="725">
        <f t="shared" si="66"/>
        <v>20797.72</v>
      </c>
      <c r="AM107" s="867">
        <v>0.04</v>
      </c>
      <c r="AN107" s="868">
        <f t="shared" si="87"/>
        <v>0.08</v>
      </c>
      <c r="AO107" s="866">
        <f t="shared" si="67"/>
        <v>2427.5500000000002</v>
      </c>
      <c r="AP107" s="866">
        <f t="shared" si="68"/>
        <v>2427.5500000000002</v>
      </c>
      <c r="AQ107" s="866">
        <f t="shared" si="69"/>
        <v>2524.66</v>
      </c>
      <c r="AR107" s="866">
        <f t="shared" si="70"/>
        <v>2565.0500000000002</v>
      </c>
      <c r="AS107" s="725">
        <f t="shared" si="71"/>
        <v>58261.31</v>
      </c>
      <c r="AT107" s="725">
        <f t="shared" si="72"/>
        <v>58261.31</v>
      </c>
      <c r="AU107" s="725">
        <f t="shared" si="73"/>
        <v>60591.759999999995</v>
      </c>
      <c r="AV107" s="725">
        <f t="shared" si="74"/>
        <v>61561.229999999996</v>
      </c>
      <c r="AW107" s="729">
        <f t="shared" si="75"/>
        <v>13021.65</v>
      </c>
      <c r="AX107" s="730">
        <f t="shared" si="76"/>
        <v>13021.65</v>
      </c>
      <c r="AY107" s="730">
        <f t="shared" si="77"/>
        <v>13542.51</v>
      </c>
      <c r="AZ107" s="731">
        <f t="shared" si="78"/>
        <v>13759.19</v>
      </c>
      <c r="BA107" s="869"/>
      <c r="BB107" s="739">
        <f t="shared" si="89"/>
        <v>185505.03999999998</v>
      </c>
      <c r="BC107" s="871">
        <f t="shared" si="80"/>
        <v>167986.74</v>
      </c>
      <c r="BD107" s="871">
        <f t="shared" si="81"/>
        <v>80633.679999999993</v>
      </c>
      <c r="BE107" s="870">
        <f t="shared" si="88"/>
        <v>7729.3766666666661</v>
      </c>
      <c r="BF107" s="870"/>
      <c r="BG107" s="872">
        <v>8.4099999999999994E-2</v>
      </c>
      <c r="BH107" s="873">
        <v>0.22</v>
      </c>
    </row>
    <row r="108" spans="1:60" s="322" customFormat="1" ht="21" hidden="1" customHeight="1">
      <c r="A108" s="862" t="s">
        <v>616</v>
      </c>
      <c r="B108" s="862" t="s">
        <v>784</v>
      </c>
      <c r="C108" s="862" t="s">
        <v>755</v>
      </c>
      <c r="D108" s="863">
        <v>7213</v>
      </c>
      <c r="E108" s="863"/>
      <c r="F108" s="863"/>
      <c r="G108" s="863">
        <v>1</v>
      </c>
      <c r="H108" s="863">
        <v>5</v>
      </c>
      <c r="I108" s="863"/>
      <c r="J108" s="650">
        <v>41.15</v>
      </c>
      <c r="K108" s="650">
        <v>6834.83</v>
      </c>
      <c r="L108" s="724">
        <f t="shared" si="48"/>
        <v>6834.33</v>
      </c>
      <c r="M108" s="863">
        <v>28</v>
      </c>
      <c r="N108" s="723">
        <f t="shared" si="49"/>
        <v>1913.61</v>
      </c>
      <c r="O108" s="863">
        <v>20</v>
      </c>
      <c r="P108" s="724">
        <f t="shared" si="82"/>
        <v>1366.87</v>
      </c>
      <c r="Q108" s="864">
        <f t="shared" si="50"/>
        <v>10114.81</v>
      </c>
      <c r="R108" s="865">
        <f t="shared" si="51"/>
        <v>10114.81</v>
      </c>
      <c r="S108" s="862">
        <f t="shared" si="86"/>
        <v>1366.87</v>
      </c>
      <c r="T108" s="862"/>
      <c r="U108" s="725">
        <f t="shared" si="52"/>
        <v>30344.43</v>
      </c>
      <c r="V108" s="725">
        <f t="shared" si="53"/>
        <v>20502.990000000002</v>
      </c>
      <c r="W108" s="725">
        <f t="shared" si="54"/>
        <v>9841.44</v>
      </c>
      <c r="X108" s="725">
        <f t="shared" si="55"/>
        <v>30344.43</v>
      </c>
      <c r="Y108" s="866">
        <f t="shared" si="56"/>
        <v>6834.33</v>
      </c>
      <c r="Z108" s="866">
        <v>1</v>
      </c>
      <c r="AA108" s="725">
        <f t="shared" si="57"/>
        <v>20502.990000000002</v>
      </c>
      <c r="AB108" s="725">
        <f t="shared" si="58"/>
        <v>9841.44</v>
      </c>
      <c r="AC108" s="725">
        <f t="shared" si="59"/>
        <v>31558.21</v>
      </c>
      <c r="AD108" s="864">
        <f t="shared" si="60"/>
        <v>7107.7</v>
      </c>
      <c r="AE108" s="866">
        <f t="shared" si="83"/>
        <v>1.04</v>
      </c>
      <c r="AF108" s="725">
        <f t="shared" si="61"/>
        <v>21323.11</v>
      </c>
      <c r="AG108" s="726">
        <f t="shared" si="62"/>
        <v>10235.1</v>
      </c>
      <c r="AH108" s="725">
        <f t="shared" si="63"/>
        <v>32063.14</v>
      </c>
      <c r="AI108" s="866">
        <f t="shared" si="64"/>
        <v>7221.42</v>
      </c>
      <c r="AJ108" s="866">
        <f t="shared" si="84"/>
        <v>1.016</v>
      </c>
      <c r="AK108" s="725">
        <f t="shared" si="65"/>
        <v>21664.28</v>
      </c>
      <c r="AL108" s="725">
        <f t="shared" si="66"/>
        <v>10398.86</v>
      </c>
      <c r="AM108" s="867">
        <v>0.04</v>
      </c>
      <c r="AN108" s="868">
        <f t="shared" si="87"/>
        <v>0.04</v>
      </c>
      <c r="AO108" s="866">
        <f t="shared" si="67"/>
        <v>1213.78</v>
      </c>
      <c r="AP108" s="866">
        <f t="shared" si="68"/>
        <v>1213.78</v>
      </c>
      <c r="AQ108" s="866">
        <f t="shared" si="69"/>
        <v>1262.33</v>
      </c>
      <c r="AR108" s="866">
        <f t="shared" si="70"/>
        <v>1282.53</v>
      </c>
      <c r="AS108" s="725">
        <f t="shared" si="71"/>
        <v>29130.65</v>
      </c>
      <c r="AT108" s="725">
        <f t="shared" si="72"/>
        <v>29130.65</v>
      </c>
      <c r="AU108" s="725">
        <f t="shared" si="73"/>
        <v>30295.879999999997</v>
      </c>
      <c r="AV108" s="725">
        <f t="shared" si="74"/>
        <v>30780.61</v>
      </c>
      <c r="AW108" s="729">
        <f t="shared" si="75"/>
        <v>6510.82</v>
      </c>
      <c r="AX108" s="730">
        <f t="shared" si="76"/>
        <v>6510.82</v>
      </c>
      <c r="AY108" s="730">
        <f t="shared" si="77"/>
        <v>6771.26</v>
      </c>
      <c r="AZ108" s="731">
        <f t="shared" si="78"/>
        <v>6879.59</v>
      </c>
      <c r="BA108" s="869"/>
      <c r="BB108" s="739">
        <f t="shared" si="89"/>
        <v>92753.040000000008</v>
      </c>
      <c r="BC108" s="871">
        <f t="shared" si="80"/>
        <v>83993.37</v>
      </c>
      <c r="BD108" s="871">
        <f t="shared" si="81"/>
        <v>40316.839999999997</v>
      </c>
      <c r="BE108" s="870">
        <f t="shared" si="88"/>
        <v>7729.420000000001</v>
      </c>
      <c r="BF108" s="870"/>
      <c r="BG108" s="872">
        <v>8.4099999999999994E-2</v>
      </c>
      <c r="BH108" s="873">
        <v>0.22</v>
      </c>
    </row>
    <row r="109" spans="1:60" s="322" customFormat="1" ht="21" hidden="1" customHeight="1">
      <c r="A109" s="862" t="s">
        <v>617</v>
      </c>
      <c r="B109" s="862" t="s">
        <v>784</v>
      </c>
      <c r="C109" s="862" t="s">
        <v>755</v>
      </c>
      <c r="D109" s="863">
        <v>7141</v>
      </c>
      <c r="E109" s="863"/>
      <c r="F109" s="863"/>
      <c r="G109" s="863">
        <v>1</v>
      </c>
      <c r="H109" s="863">
        <v>5</v>
      </c>
      <c r="I109" s="863"/>
      <c r="J109" s="650">
        <v>42.15</v>
      </c>
      <c r="K109" s="650">
        <v>6999.46</v>
      </c>
      <c r="L109" s="724">
        <f t="shared" si="48"/>
        <v>7000.41</v>
      </c>
      <c r="M109" s="863">
        <v>20</v>
      </c>
      <c r="N109" s="723">
        <f t="shared" si="49"/>
        <v>1400.08</v>
      </c>
      <c r="O109" s="863">
        <v>20</v>
      </c>
      <c r="P109" s="724">
        <f t="shared" si="82"/>
        <v>1400.08</v>
      </c>
      <c r="Q109" s="864">
        <f t="shared" si="50"/>
        <v>9800.57</v>
      </c>
      <c r="R109" s="865">
        <f t="shared" si="51"/>
        <v>9800.57</v>
      </c>
      <c r="S109" s="862">
        <f t="shared" si="86"/>
        <v>1400.08</v>
      </c>
      <c r="T109" s="862"/>
      <c r="U109" s="725">
        <f t="shared" si="52"/>
        <v>29401.71</v>
      </c>
      <c r="V109" s="725">
        <f t="shared" si="53"/>
        <v>21001.23</v>
      </c>
      <c r="W109" s="725">
        <f t="shared" si="54"/>
        <v>8400.48</v>
      </c>
      <c r="X109" s="725">
        <f t="shared" si="55"/>
        <v>29401.71</v>
      </c>
      <c r="Y109" s="866">
        <f t="shared" si="56"/>
        <v>7000.41</v>
      </c>
      <c r="Z109" s="866">
        <v>1</v>
      </c>
      <c r="AA109" s="725">
        <f t="shared" si="57"/>
        <v>21001.23</v>
      </c>
      <c r="AB109" s="725">
        <f t="shared" si="58"/>
        <v>8400.48</v>
      </c>
      <c r="AC109" s="725">
        <f t="shared" si="59"/>
        <v>30577.78</v>
      </c>
      <c r="AD109" s="864">
        <f t="shared" si="60"/>
        <v>7280.43</v>
      </c>
      <c r="AE109" s="866">
        <f t="shared" si="83"/>
        <v>1.04</v>
      </c>
      <c r="AF109" s="725">
        <f t="shared" si="61"/>
        <v>21841.279999999999</v>
      </c>
      <c r="AG109" s="726">
        <f t="shared" si="62"/>
        <v>8736.5</v>
      </c>
      <c r="AH109" s="725">
        <f t="shared" si="63"/>
        <v>31067.02</v>
      </c>
      <c r="AI109" s="866">
        <f t="shared" si="64"/>
        <v>7396.92</v>
      </c>
      <c r="AJ109" s="866">
        <f t="shared" si="84"/>
        <v>1.016</v>
      </c>
      <c r="AK109" s="725">
        <f t="shared" si="65"/>
        <v>22190.74</v>
      </c>
      <c r="AL109" s="725">
        <f t="shared" si="66"/>
        <v>8876.2800000000007</v>
      </c>
      <c r="AM109" s="867">
        <v>0.04</v>
      </c>
      <c r="AN109" s="868">
        <f t="shared" si="87"/>
        <v>0.04</v>
      </c>
      <c r="AO109" s="866">
        <f t="shared" si="67"/>
        <v>1176.07</v>
      </c>
      <c r="AP109" s="866">
        <f t="shared" si="68"/>
        <v>1176.07</v>
      </c>
      <c r="AQ109" s="866">
        <f t="shared" si="69"/>
        <v>1223.1099999999999</v>
      </c>
      <c r="AR109" s="866">
        <f t="shared" si="70"/>
        <v>1242.68</v>
      </c>
      <c r="AS109" s="725">
        <f t="shared" si="71"/>
        <v>28225.64</v>
      </c>
      <c r="AT109" s="725">
        <f t="shared" si="72"/>
        <v>28225.64</v>
      </c>
      <c r="AU109" s="725">
        <f t="shared" si="73"/>
        <v>29354.67</v>
      </c>
      <c r="AV109" s="725">
        <f t="shared" si="74"/>
        <v>29824.34</v>
      </c>
      <c r="AW109" s="729">
        <f t="shared" si="75"/>
        <v>6308.55</v>
      </c>
      <c r="AX109" s="730">
        <f t="shared" si="76"/>
        <v>6308.55</v>
      </c>
      <c r="AY109" s="730">
        <f t="shared" si="77"/>
        <v>6560.89</v>
      </c>
      <c r="AZ109" s="731">
        <f t="shared" si="78"/>
        <v>6665.86</v>
      </c>
      <c r="BA109" s="869"/>
      <c r="BB109" s="739">
        <f t="shared" si="89"/>
        <v>89871.48</v>
      </c>
      <c r="BC109" s="871">
        <f t="shared" si="80"/>
        <v>86034.48</v>
      </c>
      <c r="BD109" s="871">
        <f t="shared" si="81"/>
        <v>34413.74</v>
      </c>
      <c r="BE109" s="870">
        <f t="shared" si="88"/>
        <v>7489.29</v>
      </c>
      <c r="BF109" s="870"/>
      <c r="BG109" s="872">
        <v>8.4099999999999994E-2</v>
      </c>
      <c r="BH109" s="873">
        <v>0.22</v>
      </c>
    </row>
    <row r="110" spans="1:60" s="837" customFormat="1" ht="21" customHeight="1">
      <c r="A110" s="835" t="s">
        <v>619</v>
      </c>
      <c r="B110" s="835" t="s">
        <v>784</v>
      </c>
      <c r="C110" s="835" t="s">
        <v>755</v>
      </c>
      <c r="D110" s="686">
        <v>5169</v>
      </c>
      <c r="E110" s="686"/>
      <c r="F110" s="686"/>
      <c r="G110" s="686">
        <v>1</v>
      </c>
      <c r="H110" s="686"/>
      <c r="I110" s="686">
        <f>G110</f>
        <v>1</v>
      </c>
      <c r="J110" s="687"/>
      <c r="K110" s="687">
        <v>4572.42</v>
      </c>
      <c r="L110" s="687">
        <f>K110</f>
        <v>4572.42</v>
      </c>
      <c r="M110" s="686"/>
      <c r="N110" s="688">
        <f t="shared" si="49"/>
        <v>0</v>
      </c>
      <c r="O110" s="686">
        <v>20</v>
      </c>
      <c r="P110" s="687">
        <f t="shared" si="82"/>
        <v>914.48</v>
      </c>
      <c r="Q110" s="689">
        <f t="shared" si="50"/>
        <v>5486.9</v>
      </c>
      <c r="R110" s="686">
        <f t="shared" si="51"/>
        <v>5486.9</v>
      </c>
      <c r="S110" s="835">
        <f t="shared" si="86"/>
        <v>914.48</v>
      </c>
      <c r="T110" s="835"/>
      <c r="U110" s="671">
        <f t="shared" si="52"/>
        <v>16460.7</v>
      </c>
      <c r="V110" s="671">
        <f t="shared" si="53"/>
        <v>13717.26</v>
      </c>
      <c r="W110" s="671">
        <f t="shared" si="54"/>
        <v>2743.44</v>
      </c>
      <c r="X110" s="671">
        <f t="shared" si="55"/>
        <v>16460.7</v>
      </c>
      <c r="Y110" s="691">
        <f t="shared" si="56"/>
        <v>4572.42</v>
      </c>
      <c r="Z110" s="691">
        <v>1</v>
      </c>
      <c r="AA110" s="671">
        <f t="shared" si="57"/>
        <v>13717.26</v>
      </c>
      <c r="AB110" s="671">
        <f t="shared" si="58"/>
        <v>2743.44</v>
      </c>
      <c r="AC110" s="671">
        <f t="shared" si="59"/>
        <v>17119.13</v>
      </c>
      <c r="AD110" s="689">
        <f t="shared" si="60"/>
        <v>4755.32</v>
      </c>
      <c r="AE110" s="691">
        <f t="shared" si="83"/>
        <v>1.04</v>
      </c>
      <c r="AF110" s="671">
        <f t="shared" si="61"/>
        <v>14265.95</v>
      </c>
      <c r="AG110" s="834">
        <f t="shared" si="62"/>
        <v>2853.18</v>
      </c>
      <c r="AH110" s="671">
        <f t="shared" si="63"/>
        <v>17393.04</v>
      </c>
      <c r="AI110" s="691">
        <f t="shared" si="64"/>
        <v>4831.41</v>
      </c>
      <c r="AJ110" s="691">
        <f t="shared" si="84"/>
        <v>1.016</v>
      </c>
      <c r="AK110" s="671">
        <f t="shared" si="65"/>
        <v>14494.21</v>
      </c>
      <c r="AL110" s="671">
        <f t="shared" si="66"/>
        <v>2898.83</v>
      </c>
      <c r="AM110" s="693">
        <v>0.04</v>
      </c>
      <c r="AN110" s="694">
        <f t="shared" si="87"/>
        <v>0.04</v>
      </c>
      <c r="AO110" s="691">
        <f t="shared" si="67"/>
        <v>658.43</v>
      </c>
      <c r="AP110" s="691">
        <f t="shared" si="68"/>
        <v>658.43</v>
      </c>
      <c r="AQ110" s="691">
        <f t="shared" si="69"/>
        <v>684.77</v>
      </c>
      <c r="AR110" s="691">
        <f t="shared" si="70"/>
        <v>695.72</v>
      </c>
      <c r="AS110" s="671">
        <f t="shared" si="71"/>
        <v>15802.27</v>
      </c>
      <c r="AT110" s="671">
        <f t="shared" si="72"/>
        <v>15802.27</v>
      </c>
      <c r="AU110" s="671">
        <f t="shared" si="73"/>
        <v>16434.36</v>
      </c>
      <c r="AV110" s="671">
        <f t="shared" si="74"/>
        <v>16697.32</v>
      </c>
      <c r="AW110" s="695">
        <f t="shared" si="75"/>
        <v>3531.87</v>
      </c>
      <c r="AX110" s="696">
        <f t="shared" si="76"/>
        <v>3531.87</v>
      </c>
      <c r="AY110" s="696">
        <f t="shared" si="77"/>
        <v>3673.15</v>
      </c>
      <c r="AZ110" s="697">
        <f t="shared" si="78"/>
        <v>3731.92</v>
      </c>
      <c r="BA110" s="832">
        <f>(U110+X110+AC110/120*140+AH110/120*140)/G110*I110</f>
        <v>73185.598333333342</v>
      </c>
      <c r="BB110" s="836" t="s">
        <v>1152</v>
      </c>
      <c r="BC110" s="694">
        <f t="shared" si="80"/>
        <v>56194.68</v>
      </c>
      <c r="BD110" s="694">
        <f t="shared" si="81"/>
        <v>11238.89</v>
      </c>
      <c r="BE110" s="836" t="e">
        <f t="shared" si="88"/>
        <v>#VALUE!</v>
      </c>
      <c r="BF110" s="836"/>
      <c r="BG110" s="699">
        <v>8.4099999999999994E-2</v>
      </c>
      <c r="BH110" s="700">
        <v>0.22</v>
      </c>
    </row>
    <row r="111" spans="1:60" s="837" customFormat="1" ht="21" customHeight="1">
      <c r="A111" s="835" t="s">
        <v>620</v>
      </c>
      <c r="B111" s="835" t="s">
        <v>784</v>
      </c>
      <c r="C111" s="835" t="s">
        <v>755</v>
      </c>
      <c r="D111" s="686">
        <v>5169</v>
      </c>
      <c r="E111" s="686"/>
      <c r="F111" s="686"/>
      <c r="G111" s="686">
        <v>8</v>
      </c>
      <c r="H111" s="686"/>
      <c r="I111" s="686">
        <f t="shared" ref="I111:I112" si="90">G111</f>
        <v>8</v>
      </c>
      <c r="J111" s="687">
        <v>26.72</v>
      </c>
      <c r="K111" s="687">
        <v>4438.13</v>
      </c>
      <c r="L111" s="687">
        <f t="shared" si="48"/>
        <v>4437.75</v>
      </c>
      <c r="M111" s="686">
        <v>14.7</v>
      </c>
      <c r="N111" s="688">
        <f t="shared" si="49"/>
        <v>652.35</v>
      </c>
      <c r="O111" s="686">
        <v>20</v>
      </c>
      <c r="P111" s="687">
        <f t="shared" si="82"/>
        <v>887.55</v>
      </c>
      <c r="Q111" s="689">
        <f t="shared" si="50"/>
        <v>5977.65</v>
      </c>
      <c r="R111" s="686">
        <f t="shared" si="51"/>
        <v>47821.2</v>
      </c>
      <c r="S111" s="835">
        <f t="shared" si="86"/>
        <v>7100.4</v>
      </c>
      <c r="T111" s="835"/>
      <c r="U111" s="671">
        <f t="shared" si="52"/>
        <v>143463.6</v>
      </c>
      <c r="V111" s="671">
        <f t="shared" si="53"/>
        <v>106506</v>
      </c>
      <c r="W111" s="671">
        <f t="shared" si="54"/>
        <v>36957.599999999999</v>
      </c>
      <c r="X111" s="671">
        <f t="shared" si="55"/>
        <v>143463.6</v>
      </c>
      <c r="Y111" s="691">
        <f t="shared" si="56"/>
        <v>4437.75</v>
      </c>
      <c r="Z111" s="691">
        <v>1</v>
      </c>
      <c r="AA111" s="671">
        <f t="shared" si="57"/>
        <v>106506</v>
      </c>
      <c r="AB111" s="671">
        <f t="shared" si="58"/>
        <v>36957.599999999999</v>
      </c>
      <c r="AC111" s="671">
        <f t="shared" si="59"/>
        <v>149202.14000000001</v>
      </c>
      <c r="AD111" s="689">
        <f t="shared" si="60"/>
        <v>4615.26</v>
      </c>
      <c r="AE111" s="691">
        <f t="shared" si="83"/>
        <v>1.04</v>
      </c>
      <c r="AF111" s="671">
        <f t="shared" si="61"/>
        <v>110766.24</v>
      </c>
      <c r="AG111" s="834">
        <f t="shared" si="62"/>
        <v>38435.9</v>
      </c>
      <c r="AH111" s="671">
        <f t="shared" si="63"/>
        <v>151589.37</v>
      </c>
      <c r="AI111" s="691">
        <f t="shared" si="64"/>
        <v>4689.1000000000004</v>
      </c>
      <c r="AJ111" s="691">
        <f t="shared" si="84"/>
        <v>1.016</v>
      </c>
      <c r="AK111" s="671">
        <f t="shared" si="65"/>
        <v>112538.5</v>
      </c>
      <c r="AL111" s="671">
        <f t="shared" si="66"/>
        <v>39050.870000000003</v>
      </c>
      <c r="AM111" s="693">
        <v>0.04</v>
      </c>
      <c r="AN111" s="694">
        <f t="shared" si="87"/>
        <v>0.32</v>
      </c>
      <c r="AO111" s="691">
        <f t="shared" si="67"/>
        <v>5738.54</v>
      </c>
      <c r="AP111" s="691">
        <f t="shared" si="68"/>
        <v>5738.54</v>
      </c>
      <c r="AQ111" s="691">
        <f t="shared" si="69"/>
        <v>5968.09</v>
      </c>
      <c r="AR111" s="691">
        <f t="shared" si="70"/>
        <v>6063.57</v>
      </c>
      <c r="AS111" s="671">
        <f t="shared" si="71"/>
        <v>137725.06</v>
      </c>
      <c r="AT111" s="671">
        <f t="shared" si="72"/>
        <v>137725.06</v>
      </c>
      <c r="AU111" s="671">
        <f t="shared" si="73"/>
        <v>143234.05000000002</v>
      </c>
      <c r="AV111" s="671">
        <f t="shared" si="74"/>
        <v>145525.79999999999</v>
      </c>
      <c r="AW111" s="695">
        <f t="shared" si="75"/>
        <v>30782.12</v>
      </c>
      <c r="AX111" s="696">
        <f t="shared" si="76"/>
        <v>30782.12</v>
      </c>
      <c r="AY111" s="696">
        <f t="shared" si="77"/>
        <v>32013.41</v>
      </c>
      <c r="AZ111" s="697">
        <f t="shared" si="78"/>
        <v>32525.62</v>
      </c>
      <c r="BA111" s="832">
        <f>(U111+X111+AC111/120*140+AH111/120*140)/G111*I111</f>
        <v>637850.62833333341</v>
      </c>
      <c r="BB111" s="836">
        <f t="shared" si="89"/>
        <v>438517.61</v>
      </c>
      <c r="BC111" s="694">
        <f t="shared" si="80"/>
        <v>436316.74</v>
      </c>
      <c r="BD111" s="694">
        <f t="shared" si="81"/>
        <v>151401.97</v>
      </c>
      <c r="BE111" s="836">
        <f t="shared" si="88"/>
        <v>4567.8917708333329</v>
      </c>
      <c r="BF111" s="836"/>
      <c r="BG111" s="699">
        <v>8.4099999999999994E-2</v>
      </c>
      <c r="BH111" s="700">
        <v>0.22</v>
      </c>
    </row>
    <row r="112" spans="1:60" s="837" customFormat="1" ht="21" customHeight="1">
      <c r="A112" s="835" t="s">
        <v>621</v>
      </c>
      <c r="B112" s="835" t="s">
        <v>784</v>
      </c>
      <c r="C112" s="835" t="s">
        <v>755</v>
      </c>
      <c r="D112" s="686">
        <v>5169</v>
      </c>
      <c r="E112" s="686"/>
      <c r="F112" s="686"/>
      <c r="G112" s="686">
        <v>4</v>
      </c>
      <c r="H112" s="686"/>
      <c r="I112" s="686">
        <f t="shared" si="90"/>
        <v>4</v>
      </c>
      <c r="J112" s="687">
        <v>25.91</v>
      </c>
      <c r="K112" s="687">
        <v>4302.96</v>
      </c>
      <c r="L112" s="687">
        <f t="shared" si="48"/>
        <v>4303.22</v>
      </c>
      <c r="M112" s="686">
        <v>14.7</v>
      </c>
      <c r="N112" s="688">
        <f t="shared" si="49"/>
        <v>632.57000000000005</v>
      </c>
      <c r="O112" s="686">
        <v>20</v>
      </c>
      <c r="P112" s="687">
        <f t="shared" si="82"/>
        <v>860.64</v>
      </c>
      <c r="Q112" s="689">
        <f t="shared" si="50"/>
        <v>5796.43</v>
      </c>
      <c r="R112" s="686">
        <f t="shared" si="51"/>
        <v>23185.72</v>
      </c>
      <c r="S112" s="835">
        <f t="shared" si="86"/>
        <v>3442.56</v>
      </c>
      <c r="T112" s="835"/>
      <c r="U112" s="671">
        <f t="shared" si="52"/>
        <v>69557.16</v>
      </c>
      <c r="V112" s="671">
        <f t="shared" si="53"/>
        <v>51638.64</v>
      </c>
      <c r="W112" s="671">
        <f t="shared" si="54"/>
        <v>17918.52</v>
      </c>
      <c r="X112" s="671">
        <f t="shared" si="55"/>
        <v>69557.16</v>
      </c>
      <c r="Y112" s="691">
        <f t="shared" si="56"/>
        <v>4303.22</v>
      </c>
      <c r="Z112" s="691">
        <v>1</v>
      </c>
      <c r="AA112" s="671">
        <f t="shared" si="57"/>
        <v>51638.64</v>
      </c>
      <c r="AB112" s="671">
        <f t="shared" si="58"/>
        <v>17918.52</v>
      </c>
      <c r="AC112" s="671">
        <f t="shared" si="59"/>
        <v>72339.45</v>
      </c>
      <c r="AD112" s="689">
        <f t="shared" si="60"/>
        <v>4475.3500000000004</v>
      </c>
      <c r="AE112" s="691">
        <f t="shared" si="83"/>
        <v>1.04</v>
      </c>
      <c r="AF112" s="671">
        <f t="shared" si="61"/>
        <v>53704.19</v>
      </c>
      <c r="AG112" s="834">
        <f t="shared" si="62"/>
        <v>18635.259999999998</v>
      </c>
      <c r="AH112" s="671">
        <f t="shared" si="63"/>
        <v>73496.88</v>
      </c>
      <c r="AI112" s="691">
        <f t="shared" si="64"/>
        <v>4546.96</v>
      </c>
      <c r="AJ112" s="691">
        <f t="shared" si="84"/>
        <v>1.016</v>
      </c>
      <c r="AK112" s="671">
        <f t="shared" si="65"/>
        <v>54563.46</v>
      </c>
      <c r="AL112" s="671">
        <f t="shared" si="66"/>
        <v>18933.419999999998</v>
      </c>
      <c r="AM112" s="693">
        <v>0.04</v>
      </c>
      <c r="AN112" s="694">
        <f t="shared" si="87"/>
        <v>0.16</v>
      </c>
      <c r="AO112" s="691">
        <f t="shared" si="67"/>
        <v>2782.29</v>
      </c>
      <c r="AP112" s="691">
        <f t="shared" si="68"/>
        <v>2782.29</v>
      </c>
      <c r="AQ112" s="691">
        <f t="shared" si="69"/>
        <v>2893.58</v>
      </c>
      <c r="AR112" s="691">
        <f t="shared" si="70"/>
        <v>2939.88</v>
      </c>
      <c r="AS112" s="671">
        <f t="shared" si="71"/>
        <v>66774.87000000001</v>
      </c>
      <c r="AT112" s="671">
        <f t="shared" si="72"/>
        <v>66774.87000000001</v>
      </c>
      <c r="AU112" s="671">
        <f t="shared" si="73"/>
        <v>69445.87</v>
      </c>
      <c r="AV112" s="671">
        <f t="shared" si="74"/>
        <v>70557</v>
      </c>
      <c r="AW112" s="695">
        <f t="shared" si="75"/>
        <v>14924.46</v>
      </c>
      <c r="AX112" s="696">
        <f t="shared" si="76"/>
        <v>14924.46</v>
      </c>
      <c r="AY112" s="696">
        <f t="shared" si="77"/>
        <v>15521.44</v>
      </c>
      <c r="AZ112" s="697">
        <f t="shared" si="78"/>
        <v>15769.78</v>
      </c>
      <c r="BA112" s="832">
        <f>(U112+X112+AC112/120*140+AH112/120*140)/G112*I112</f>
        <v>309256.70500000002</v>
      </c>
      <c r="BB112" s="836">
        <f t="shared" si="89"/>
        <v>212612.24000000002</v>
      </c>
      <c r="BC112" s="694">
        <f t="shared" si="80"/>
        <v>211544.93</v>
      </c>
      <c r="BD112" s="694">
        <f t="shared" si="81"/>
        <v>73405.72</v>
      </c>
      <c r="BE112" s="836">
        <f t="shared" si="88"/>
        <v>4429.4216666666671</v>
      </c>
      <c r="BF112" s="836"/>
      <c r="BG112" s="699">
        <v>8.4099999999999994E-2</v>
      </c>
      <c r="BH112" s="700">
        <v>0.22</v>
      </c>
    </row>
    <row r="113" spans="1:60" ht="21" hidden="1" customHeight="1">
      <c r="A113" s="651" t="s">
        <v>622</v>
      </c>
      <c r="B113" s="651" t="s">
        <v>784</v>
      </c>
      <c r="C113" s="651" t="s">
        <v>755</v>
      </c>
      <c r="D113" s="652">
        <v>8163</v>
      </c>
      <c r="E113" s="652"/>
      <c r="F113" s="652"/>
      <c r="G113" s="652">
        <v>4</v>
      </c>
      <c r="H113" s="652"/>
      <c r="I113" s="652"/>
      <c r="J113" s="654">
        <v>28.02</v>
      </c>
      <c r="K113" s="654">
        <v>4653.0200000000004</v>
      </c>
      <c r="L113" s="687">
        <f t="shared" si="48"/>
        <v>4653.66</v>
      </c>
      <c r="M113" s="652">
        <v>14.7</v>
      </c>
      <c r="N113" s="688">
        <f t="shared" si="49"/>
        <v>684.09</v>
      </c>
      <c r="O113" s="652">
        <v>20</v>
      </c>
      <c r="P113" s="687">
        <f t="shared" si="82"/>
        <v>930.73</v>
      </c>
      <c r="Q113" s="689">
        <f t="shared" si="50"/>
        <v>6268.48</v>
      </c>
      <c r="R113" s="686">
        <f t="shared" si="51"/>
        <v>25073.919999999998</v>
      </c>
      <c r="S113" s="651">
        <f t="shared" si="86"/>
        <v>3722.92</v>
      </c>
      <c r="T113" s="651"/>
      <c r="U113" s="671">
        <f t="shared" si="52"/>
        <v>75221.759999999995</v>
      </c>
      <c r="V113" s="671">
        <f t="shared" si="53"/>
        <v>55843.92</v>
      </c>
      <c r="W113" s="671">
        <f t="shared" si="54"/>
        <v>19377.84</v>
      </c>
      <c r="X113" s="671">
        <f t="shared" si="55"/>
        <v>75221.759999999995</v>
      </c>
      <c r="Y113" s="691">
        <f t="shared" si="56"/>
        <v>4653.66</v>
      </c>
      <c r="Z113" s="691">
        <v>1</v>
      </c>
      <c r="AA113" s="671">
        <f t="shared" si="57"/>
        <v>55843.92</v>
      </c>
      <c r="AB113" s="671">
        <f t="shared" si="58"/>
        <v>19377.84</v>
      </c>
      <c r="AC113" s="671">
        <f t="shared" si="59"/>
        <v>78230.63</v>
      </c>
      <c r="AD113" s="689">
        <f t="shared" si="60"/>
        <v>4839.8100000000004</v>
      </c>
      <c r="AE113" s="691">
        <f t="shared" si="83"/>
        <v>1.04</v>
      </c>
      <c r="AF113" s="671">
        <f t="shared" si="61"/>
        <v>58077.68</v>
      </c>
      <c r="AG113" s="692">
        <f t="shared" si="62"/>
        <v>20152.95</v>
      </c>
      <c r="AH113" s="671">
        <f t="shared" si="63"/>
        <v>79482.320000000007</v>
      </c>
      <c r="AI113" s="691">
        <f t="shared" si="64"/>
        <v>4917.25</v>
      </c>
      <c r="AJ113" s="691">
        <f t="shared" si="84"/>
        <v>1.016</v>
      </c>
      <c r="AK113" s="671">
        <f t="shared" si="65"/>
        <v>59006.92</v>
      </c>
      <c r="AL113" s="671">
        <f t="shared" si="66"/>
        <v>20475.400000000001</v>
      </c>
      <c r="AM113" s="661">
        <v>0.04</v>
      </c>
      <c r="AN113" s="662">
        <f t="shared" si="87"/>
        <v>0.16</v>
      </c>
      <c r="AO113" s="691">
        <f t="shared" si="67"/>
        <v>3008.87</v>
      </c>
      <c r="AP113" s="691">
        <f t="shared" si="68"/>
        <v>3008.87</v>
      </c>
      <c r="AQ113" s="691">
        <f t="shared" si="69"/>
        <v>3129.23</v>
      </c>
      <c r="AR113" s="691">
        <f t="shared" si="70"/>
        <v>3179.29</v>
      </c>
      <c r="AS113" s="671">
        <f t="shared" si="71"/>
        <v>72212.89</v>
      </c>
      <c r="AT113" s="671">
        <f t="shared" si="72"/>
        <v>72212.89</v>
      </c>
      <c r="AU113" s="671">
        <f t="shared" si="73"/>
        <v>75101.400000000009</v>
      </c>
      <c r="AV113" s="671">
        <f t="shared" si="74"/>
        <v>76303.030000000013</v>
      </c>
      <c r="AW113" s="695">
        <f t="shared" si="75"/>
        <v>16139.88</v>
      </c>
      <c r="AX113" s="696">
        <f t="shared" si="76"/>
        <v>16139.88</v>
      </c>
      <c r="AY113" s="696">
        <f t="shared" si="77"/>
        <v>16785.48</v>
      </c>
      <c r="AZ113" s="697">
        <f t="shared" si="78"/>
        <v>17054.04</v>
      </c>
      <c r="BA113" s="832"/>
      <c r="BB113" s="663">
        <f t="shared" si="89"/>
        <v>229926.88</v>
      </c>
      <c r="BC113" s="694">
        <f t="shared" si="80"/>
        <v>228772.44</v>
      </c>
      <c r="BD113" s="694">
        <f t="shared" si="81"/>
        <v>79384.03</v>
      </c>
      <c r="BE113" s="663">
        <f t="shared" si="88"/>
        <v>4790.1433333333334</v>
      </c>
      <c r="BG113" s="699">
        <v>8.4099999999999994E-2</v>
      </c>
      <c r="BH113" s="700">
        <v>0.22</v>
      </c>
    </row>
    <row r="114" spans="1:60" s="404" customFormat="1" ht="21" customHeight="1">
      <c r="A114" s="650" t="s">
        <v>796</v>
      </c>
      <c r="B114" s="650" t="s">
        <v>783</v>
      </c>
      <c r="C114" s="650" t="s">
        <v>797</v>
      </c>
      <c r="D114" s="650" t="s">
        <v>798</v>
      </c>
      <c r="E114" s="721"/>
      <c r="F114" s="721"/>
      <c r="G114" s="650">
        <v>1</v>
      </c>
      <c r="H114" s="721"/>
      <c r="I114" s="721">
        <v>1</v>
      </c>
      <c r="J114" s="740"/>
      <c r="K114" s="722">
        <f>R114</f>
        <v>35500</v>
      </c>
      <c r="L114" s="723">
        <v>35500</v>
      </c>
      <c r="M114" s="721"/>
      <c r="N114" s="723">
        <f t="shared" si="49"/>
        <v>0</v>
      </c>
      <c r="O114" s="721"/>
      <c r="P114" s="724">
        <f t="shared" si="82"/>
        <v>0</v>
      </c>
      <c r="Q114" s="723">
        <f t="shared" si="50"/>
        <v>35500</v>
      </c>
      <c r="R114" s="724">
        <f t="shared" si="51"/>
        <v>35500</v>
      </c>
      <c r="S114" s="721"/>
      <c r="T114" s="721"/>
      <c r="U114" s="725">
        <f t="shared" si="52"/>
        <v>106500</v>
      </c>
      <c r="V114" s="725">
        <f t="shared" si="53"/>
        <v>106500</v>
      </c>
      <c r="W114" s="725">
        <f t="shared" si="54"/>
        <v>0</v>
      </c>
      <c r="X114" s="725">
        <f t="shared" si="55"/>
        <v>106500</v>
      </c>
      <c r="Y114" s="725">
        <f t="shared" si="56"/>
        <v>35500</v>
      </c>
      <c r="Z114" s="725">
        <v>1</v>
      </c>
      <c r="AA114" s="725">
        <f t="shared" si="57"/>
        <v>106500</v>
      </c>
      <c r="AB114" s="725">
        <f t="shared" si="58"/>
        <v>0</v>
      </c>
      <c r="AC114" s="725">
        <f t="shared" si="59"/>
        <v>110760</v>
      </c>
      <c r="AD114" s="689">
        <f t="shared" si="60"/>
        <v>36920</v>
      </c>
      <c r="AE114" s="691">
        <f t="shared" si="83"/>
        <v>1.04</v>
      </c>
      <c r="AF114" s="725">
        <f t="shared" si="61"/>
        <v>110760</v>
      </c>
      <c r="AG114" s="726">
        <f t="shared" si="62"/>
        <v>0</v>
      </c>
      <c r="AH114" s="725">
        <f t="shared" si="63"/>
        <v>112532.16</v>
      </c>
      <c r="AI114" s="725">
        <f>AD114</f>
        <v>36920</v>
      </c>
      <c r="AJ114" s="691">
        <f t="shared" si="84"/>
        <v>1.016</v>
      </c>
      <c r="AK114" s="725">
        <f t="shared" si="65"/>
        <v>112532.16</v>
      </c>
      <c r="AL114" s="725">
        <f t="shared" si="66"/>
        <v>0</v>
      </c>
      <c r="AM114" s="727">
        <v>0.04</v>
      </c>
      <c r="AN114" s="728">
        <f t="shared" si="87"/>
        <v>0.04</v>
      </c>
      <c r="AO114" s="725">
        <f t="shared" si="67"/>
        <v>4260</v>
      </c>
      <c r="AP114" s="725">
        <f t="shared" si="68"/>
        <v>4260</v>
      </c>
      <c r="AQ114" s="725">
        <f t="shared" si="69"/>
        <v>4430.3999999999996</v>
      </c>
      <c r="AR114" s="725">
        <f t="shared" si="70"/>
        <v>4501.29</v>
      </c>
      <c r="AS114" s="725">
        <f t="shared" si="71"/>
        <v>102240</v>
      </c>
      <c r="AT114" s="725">
        <f t="shared" si="72"/>
        <v>102240</v>
      </c>
      <c r="AU114" s="725">
        <f t="shared" si="73"/>
        <v>106329.60000000001</v>
      </c>
      <c r="AV114" s="725">
        <f t="shared" si="74"/>
        <v>108030.87000000001</v>
      </c>
      <c r="AW114" s="729">
        <f t="shared" si="75"/>
        <v>22851.07</v>
      </c>
      <c r="AX114" s="730">
        <f t="shared" si="76"/>
        <v>22851.07</v>
      </c>
      <c r="AY114" s="730">
        <f t="shared" si="77"/>
        <v>23765.11</v>
      </c>
      <c r="AZ114" s="731">
        <f t="shared" si="78"/>
        <v>24145.35</v>
      </c>
      <c r="BA114" s="832">
        <f>(U114+X114+AC114/120*140+AH114/120*140)/G114*I114</f>
        <v>473507.52</v>
      </c>
      <c r="BB114" s="728">
        <f t="shared" si="89"/>
        <v>325533.2</v>
      </c>
      <c r="BC114" s="732">
        <f t="shared" si="80"/>
        <v>436292.16</v>
      </c>
      <c r="BD114" s="732">
        <f t="shared" si="81"/>
        <v>0</v>
      </c>
      <c r="BE114" s="728">
        <f t="shared" si="88"/>
        <v>27127.766666666666</v>
      </c>
      <c r="BF114" s="728"/>
      <c r="BG114" s="733">
        <v>8.4099999999999994E-2</v>
      </c>
      <c r="BH114" s="734">
        <v>0.22</v>
      </c>
    </row>
    <row r="115" spans="1:60" ht="56.25" hidden="1" customHeight="1">
      <c r="A115" s="651" t="s">
        <v>464</v>
      </c>
      <c r="B115" s="655" t="s">
        <v>784</v>
      </c>
      <c r="C115" s="655" t="s">
        <v>797</v>
      </c>
      <c r="D115" s="652" t="s">
        <v>798</v>
      </c>
      <c r="E115" s="735"/>
      <c r="F115" s="735"/>
      <c r="G115" s="652">
        <v>1</v>
      </c>
      <c r="H115" s="735"/>
      <c r="I115" s="735"/>
      <c r="J115" s="735"/>
      <c r="K115" s="682">
        <f>R115</f>
        <v>25958</v>
      </c>
      <c r="L115" s="688">
        <v>25958</v>
      </c>
      <c r="M115" s="735"/>
      <c r="N115" s="688">
        <f t="shared" si="49"/>
        <v>0</v>
      </c>
      <c r="O115" s="735"/>
      <c r="P115" s="687">
        <f t="shared" si="82"/>
        <v>0</v>
      </c>
      <c r="Q115" s="689">
        <f t="shared" si="50"/>
        <v>25958</v>
      </c>
      <c r="R115" s="686">
        <f t="shared" si="51"/>
        <v>25958</v>
      </c>
      <c r="S115" s="736"/>
      <c r="T115" s="736"/>
      <c r="U115" s="671">
        <f t="shared" si="52"/>
        <v>77874</v>
      </c>
      <c r="V115" s="671">
        <f t="shared" si="53"/>
        <v>77874</v>
      </c>
      <c r="W115" s="671">
        <f t="shared" si="54"/>
        <v>0</v>
      </c>
      <c r="X115" s="671">
        <f t="shared" si="55"/>
        <v>77874</v>
      </c>
      <c r="Y115" s="691">
        <f t="shared" si="56"/>
        <v>25958</v>
      </c>
      <c r="Z115" s="691">
        <v>1</v>
      </c>
      <c r="AA115" s="671">
        <f t="shared" si="57"/>
        <v>77874</v>
      </c>
      <c r="AB115" s="671">
        <f t="shared" si="58"/>
        <v>0</v>
      </c>
      <c r="AC115" s="671">
        <f t="shared" si="59"/>
        <v>80988.960000000006</v>
      </c>
      <c r="AD115" s="689">
        <f t="shared" si="60"/>
        <v>26996.32</v>
      </c>
      <c r="AE115" s="691">
        <f t="shared" si="83"/>
        <v>1.04</v>
      </c>
      <c r="AF115" s="671">
        <f t="shared" si="61"/>
        <v>80988.960000000006</v>
      </c>
      <c r="AG115" s="692">
        <f t="shared" si="62"/>
        <v>0</v>
      </c>
      <c r="AH115" s="671">
        <f t="shared" si="63"/>
        <v>82284.78</v>
      </c>
      <c r="AI115" s="691">
        <f t="shared" si="64"/>
        <v>27428.26</v>
      </c>
      <c r="AJ115" s="691">
        <f t="shared" si="84"/>
        <v>1.016</v>
      </c>
      <c r="AK115" s="671">
        <f t="shared" si="65"/>
        <v>82284.78</v>
      </c>
      <c r="AL115" s="671">
        <f t="shared" si="66"/>
        <v>0</v>
      </c>
      <c r="AM115" s="661">
        <v>0.04</v>
      </c>
      <c r="AN115" s="662">
        <f t="shared" si="87"/>
        <v>0.04</v>
      </c>
      <c r="AO115" s="691">
        <f t="shared" si="67"/>
        <v>3114.96</v>
      </c>
      <c r="AP115" s="691">
        <f t="shared" si="68"/>
        <v>3114.96</v>
      </c>
      <c r="AQ115" s="691">
        <f t="shared" si="69"/>
        <v>3239.56</v>
      </c>
      <c r="AR115" s="691">
        <f t="shared" si="70"/>
        <v>3291.39</v>
      </c>
      <c r="AS115" s="671">
        <f t="shared" si="71"/>
        <v>74759.039999999994</v>
      </c>
      <c r="AT115" s="671">
        <f t="shared" si="72"/>
        <v>74759.039999999994</v>
      </c>
      <c r="AU115" s="671">
        <f t="shared" si="73"/>
        <v>77749.400000000009</v>
      </c>
      <c r="AV115" s="671">
        <f t="shared" si="74"/>
        <v>78993.39</v>
      </c>
      <c r="AW115" s="695">
        <f t="shared" si="75"/>
        <v>16708.96</v>
      </c>
      <c r="AX115" s="696">
        <f t="shared" si="76"/>
        <v>16708.96</v>
      </c>
      <c r="AY115" s="696">
        <f t="shared" si="77"/>
        <v>17377.310000000001</v>
      </c>
      <c r="AZ115" s="697">
        <f t="shared" si="78"/>
        <v>17655.349999999999</v>
      </c>
      <c r="BA115" s="832"/>
      <c r="BB115" s="663">
        <f t="shared" si="89"/>
        <v>238033.82</v>
      </c>
      <c r="BC115" s="694">
        <f t="shared" si="80"/>
        <v>319021.74</v>
      </c>
      <c r="BD115" s="694">
        <f t="shared" si="81"/>
        <v>0</v>
      </c>
      <c r="BE115" s="663">
        <f t="shared" si="88"/>
        <v>19836.151666666668</v>
      </c>
      <c r="BG115" s="699">
        <v>8.4099999999999994E-2</v>
      </c>
      <c r="BH115" s="700">
        <v>0.22</v>
      </c>
    </row>
    <row r="116" spans="1:60" ht="37.5" customHeight="1">
      <c r="A116" s="651" t="s">
        <v>799</v>
      </c>
      <c r="B116" s="655" t="s">
        <v>754</v>
      </c>
      <c r="C116" s="655" t="s">
        <v>797</v>
      </c>
      <c r="D116" s="652" t="s">
        <v>798</v>
      </c>
      <c r="E116" s="735"/>
      <c r="F116" s="735"/>
      <c r="G116" s="652">
        <v>1</v>
      </c>
      <c r="H116" s="735"/>
      <c r="I116" s="735">
        <v>1</v>
      </c>
      <c r="J116" s="735"/>
      <c r="K116" s="682">
        <f>R116</f>
        <v>25958</v>
      </c>
      <c r="L116" s="688">
        <v>25958</v>
      </c>
      <c r="M116" s="735"/>
      <c r="N116" s="688">
        <f t="shared" si="49"/>
        <v>0</v>
      </c>
      <c r="O116" s="735"/>
      <c r="P116" s="687">
        <f t="shared" si="82"/>
        <v>0</v>
      </c>
      <c r="Q116" s="689">
        <f t="shared" si="50"/>
        <v>25958</v>
      </c>
      <c r="R116" s="686">
        <f t="shared" si="51"/>
        <v>25958</v>
      </c>
      <c r="S116" s="736"/>
      <c r="T116" s="736"/>
      <c r="U116" s="671">
        <f t="shared" si="52"/>
        <v>77874</v>
      </c>
      <c r="V116" s="671">
        <f t="shared" si="53"/>
        <v>77874</v>
      </c>
      <c r="W116" s="671">
        <f t="shared" si="54"/>
        <v>0</v>
      </c>
      <c r="X116" s="671">
        <f t="shared" si="55"/>
        <v>77874</v>
      </c>
      <c r="Y116" s="691">
        <f t="shared" si="56"/>
        <v>25958</v>
      </c>
      <c r="Z116" s="691">
        <v>1</v>
      </c>
      <c r="AA116" s="671">
        <f t="shared" si="57"/>
        <v>77874</v>
      </c>
      <c r="AB116" s="671">
        <f t="shared" si="58"/>
        <v>0</v>
      </c>
      <c r="AC116" s="671">
        <f t="shared" si="59"/>
        <v>80988.960000000006</v>
      </c>
      <c r="AD116" s="689">
        <f t="shared" si="60"/>
        <v>26996.32</v>
      </c>
      <c r="AE116" s="691">
        <f t="shared" si="83"/>
        <v>1.04</v>
      </c>
      <c r="AF116" s="671">
        <f t="shared" si="61"/>
        <v>80988.960000000006</v>
      </c>
      <c r="AG116" s="692">
        <f t="shared" si="62"/>
        <v>0</v>
      </c>
      <c r="AH116" s="671">
        <f t="shared" si="63"/>
        <v>82284.78</v>
      </c>
      <c r="AI116" s="691">
        <f t="shared" si="64"/>
        <v>27428.26</v>
      </c>
      <c r="AJ116" s="691">
        <f t="shared" si="84"/>
        <v>1.016</v>
      </c>
      <c r="AK116" s="671">
        <f t="shared" si="65"/>
        <v>82284.78</v>
      </c>
      <c r="AL116" s="671">
        <f t="shared" si="66"/>
        <v>0</v>
      </c>
      <c r="AM116" s="661">
        <v>0.04</v>
      </c>
      <c r="AN116" s="662">
        <f t="shared" si="87"/>
        <v>0.04</v>
      </c>
      <c r="AO116" s="691">
        <f t="shared" si="67"/>
        <v>3114.96</v>
      </c>
      <c r="AP116" s="691">
        <f t="shared" si="68"/>
        <v>3114.96</v>
      </c>
      <c r="AQ116" s="691">
        <f t="shared" si="69"/>
        <v>3239.56</v>
      </c>
      <c r="AR116" s="691">
        <f t="shared" si="70"/>
        <v>3291.39</v>
      </c>
      <c r="AS116" s="671">
        <f t="shared" si="71"/>
        <v>74759.039999999994</v>
      </c>
      <c r="AT116" s="671">
        <f t="shared" si="72"/>
        <v>74759.039999999994</v>
      </c>
      <c r="AU116" s="671">
        <f t="shared" si="73"/>
        <v>77749.400000000009</v>
      </c>
      <c r="AV116" s="671">
        <f t="shared" si="74"/>
        <v>78993.39</v>
      </c>
      <c r="AW116" s="695">
        <f t="shared" si="75"/>
        <v>16708.96</v>
      </c>
      <c r="AX116" s="696">
        <f t="shared" si="76"/>
        <v>16708.96</v>
      </c>
      <c r="AY116" s="696">
        <f t="shared" si="77"/>
        <v>17377.310000000001</v>
      </c>
      <c r="AZ116" s="697">
        <f t="shared" si="78"/>
        <v>17655.349999999999</v>
      </c>
      <c r="BA116" s="832">
        <f>(U116+X116+AC116/120*140+AH116/120*140)/G116*I116</f>
        <v>346234.03</v>
      </c>
      <c r="BB116" s="663">
        <f t="shared" si="89"/>
        <v>238033.82</v>
      </c>
      <c r="BC116" s="694">
        <f t="shared" si="80"/>
        <v>319021.74</v>
      </c>
      <c r="BD116" s="694">
        <f t="shared" si="81"/>
        <v>0</v>
      </c>
      <c r="BE116" s="663">
        <f t="shared" si="88"/>
        <v>19836.151666666668</v>
      </c>
      <c r="BG116" s="699">
        <v>8.4099999999999994E-2</v>
      </c>
      <c r="BH116" s="700">
        <v>0.22</v>
      </c>
    </row>
    <row r="117" spans="1:60" ht="35.25" customHeight="1">
      <c r="A117" s="651" t="s">
        <v>465</v>
      </c>
      <c r="B117" s="655" t="s">
        <v>783</v>
      </c>
      <c r="C117" s="655" t="s">
        <v>797</v>
      </c>
      <c r="D117" s="652" t="s">
        <v>798</v>
      </c>
      <c r="E117" s="735"/>
      <c r="F117" s="735"/>
      <c r="G117" s="652">
        <v>1</v>
      </c>
      <c r="H117" s="735"/>
      <c r="I117" s="735">
        <v>1</v>
      </c>
      <c r="J117" s="735"/>
      <c r="K117" s="737">
        <f>R117</f>
        <v>25958</v>
      </c>
      <c r="L117" s="688">
        <v>25958</v>
      </c>
      <c r="M117" s="735"/>
      <c r="N117" s="688">
        <f t="shared" si="49"/>
        <v>0</v>
      </c>
      <c r="O117" s="735"/>
      <c r="P117" s="687">
        <f t="shared" si="82"/>
        <v>0</v>
      </c>
      <c r="Q117" s="689">
        <f t="shared" si="50"/>
        <v>25958</v>
      </c>
      <c r="R117" s="686">
        <f t="shared" si="51"/>
        <v>25958</v>
      </c>
      <c r="S117" s="736"/>
      <c r="T117" s="736"/>
      <c r="U117" s="671">
        <f t="shared" si="52"/>
        <v>77874</v>
      </c>
      <c r="V117" s="671">
        <f t="shared" si="53"/>
        <v>77874</v>
      </c>
      <c r="W117" s="671">
        <f t="shared" si="54"/>
        <v>0</v>
      </c>
      <c r="X117" s="671">
        <f t="shared" si="55"/>
        <v>77874</v>
      </c>
      <c r="Y117" s="691">
        <f t="shared" si="56"/>
        <v>25958</v>
      </c>
      <c r="Z117" s="691">
        <v>1</v>
      </c>
      <c r="AA117" s="671">
        <f t="shared" si="57"/>
        <v>77874</v>
      </c>
      <c r="AB117" s="671">
        <f t="shared" si="58"/>
        <v>0</v>
      </c>
      <c r="AC117" s="671">
        <f t="shared" si="59"/>
        <v>80988.960000000006</v>
      </c>
      <c r="AD117" s="689">
        <f t="shared" si="60"/>
        <v>26996.32</v>
      </c>
      <c r="AE117" s="691">
        <f t="shared" si="83"/>
        <v>1.04</v>
      </c>
      <c r="AF117" s="671">
        <f t="shared" si="61"/>
        <v>80988.960000000006</v>
      </c>
      <c r="AG117" s="692">
        <f t="shared" si="62"/>
        <v>0</v>
      </c>
      <c r="AH117" s="671">
        <f t="shared" si="63"/>
        <v>82284.78</v>
      </c>
      <c r="AI117" s="691">
        <f t="shared" si="64"/>
        <v>27428.26</v>
      </c>
      <c r="AJ117" s="691">
        <f t="shared" si="84"/>
        <v>1.016</v>
      </c>
      <c r="AK117" s="671">
        <f t="shared" si="65"/>
        <v>82284.78</v>
      </c>
      <c r="AL117" s="671">
        <f t="shared" si="66"/>
        <v>0</v>
      </c>
      <c r="AM117" s="661">
        <v>0.04</v>
      </c>
      <c r="AN117" s="662">
        <f t="shared" si="87"/>
        <v>0.04</v>
      </c>
      <c r="AO117" s="691">
        <f t="shared" si="67"/>
        <v>3114.96</v>
      </c>
      <c r="AP117" s="691">
        <f t="shared" si="68"/>
        <v>3114.96</v>
      </c>
      <c r="AQ117" s="691">
        <f t="shared" si="69"/>
        <v>3239.56</v>
      </c>
      <c r="AR117" s="691">
        <f t="shared" si="70"/>
        <v>3291.39</v>
      </c>
      <c r="AS117" s="671">
        <f t="shared" si="71"/>
        <v>74759.039999999994</v>
      </c>
      <c r="AT117" s="671">
        <f t="shared" si="72"/>
        <v>74759.039999999994</v>
      </c>
      <c r="AU117" s="671">
        <f t="shared" si="73"/>
        <v>77749.400000000009</v>
      </c>
      <c r="AV117" s="671">
        <f t="shared" si="74"/>
        <v>78993.39</v>
      </c>
      <c r="AW117" s="695">
        <f t="shared" si="75"/>
        <v>16708.96</v>
      </c>
      <c r="AX117" s="696">
        <f t="shared" si="76"/>
        <v>16708.96</v>
      </c>
      <c r="AY117" s="696">
        <f t="shared" si="77"/>
        <v>17377.310000000001</v>
      </c>
      <c r="AZ117" s="697">
        <f t="shared" si="78"/>
        <v>17655.349999999999</v>
      </c>
      <c r="BA117" s="832"/>
      <c r="BB117" s="663">
        <f t="shared" si="89"/>
        <v>238033.82</v>
      </c>
      <c r="BC117" s="694">
        <f t="shared" si="80"/>
        <v>319021.74</v>
      </c>
      <c r="BD117" s="694">
        <f t="shared" si="81"/>
        <v>0</v>
      </c>
      <c r="BE117" s="663">
        <f t="shared" si="88"/>
        <v>19836.151666666668</v>
      </c>
      <c r="BG117" s="699">
        <v>8.4099999999999994E-2</v>
      </c>
      <c r="BH117" s="700">
        <v>0.22</v>
      </c>
    </row>
    <row r="118" spans="1:60" ht="21" hidden="1" customHeight="1">
      <c r="A118" s="651" t="s">
        <v>466</v>
      </c>
      <c r="B118" s="655" t="s">
        <v>784</v>
      </c>
      <c r="C118" s="655" t="s">
        <v>797</v>
      </c>
      <c r="D118" s="652" t="s">
        <v>800</v>
      </c>
      <c r="E118" s="735"/>
      <c r="F118" s="735"/>
      <c r="G118" s="652">
        <v>1</v>
      </c>
      <c r="H118" s="735"/>
      <c r="I118" s="735"/>
      <c r="J118" s="735"/>
      <c r="K118" s="682">
        <f>R119</f>
        <v>14644</v>
      </c>
      <c r="L118" s="688">
        <v>14644</v>
      </c>
      <c r="M118" s="735"/>
      <c r="N118" s="688">
        <f t="shared" si="49"/>
        <v>0</v>
      </c>
      <c r="O118" s="735"/>
      <c r="P118" s="687">
        <f t="shared" si="82"/>
        <v>0</v>
      </c>
      <c r="Q118" s="689">
        <f t="shared" si="50"/>
        <v>14644</v>
      </c>
      <c r="R118" s="686">
        <f t="shared" si="51"/>
        <v>14644</v>
      </c>
      <c r="S118" s="736"/>
      <c r="T118" s="736"/>
      <c r="U118" s="671">
        <f t="shared" si="52"/>
        <v>43932</v>
      </c>
      <c r="V118" s="671">
        <f t="shared" si="53"/>
        <v>43932</v>
      </c>
      <c r="W118" s="671">
        <f t="shared" si="54"/>
        <v>0</v>
      </c>
      <c r="X118" s="671">
        <f t="shared" si="55"/>
        <v>43932</v>
      </c>
      <c r="Y118" s="691">
        <f t="shared" si="56"/>
        <v>14644</v>
      </c>
      <c r="Z118" s="691">
        <v>1</v>
      </c>
      <c r="AA118" s="671">
        <f t="shared" si="57"/>
        <v>43932</v>
      </c>
      <c r="AB118" s="671">
        <f t="shared" si="58"/>
        <v>0</v>
      </c>
      <c r="AC118" s="671">
        <f t="shared" si="59"/>
        <v>45689.279999999999</v>
      </c>
      <c r="AD118" s="689">
        <f t="shared" si="60"/>
        <v>15229.76</v>
      </c>
      <c r="AE118" s="691">
        <f t="shared" si="83"/>
        <v>1.04</v>
      </c>
      <c r="AF118" s="671">
        <f t="shared" si="61"/>
        <v>45689.279999999999</v>
      </c>
      <c r="AG118" s="692">
        <f t="shared" si="62"/>
        <v>0</v>
      </c>
      <c r="AH118" s="671">
        <f t="shared" si="63"/>
        <v>46420.31</v>
      </c>
      <c r="AI118" s="691">
        <f t="shared" si="64"/>
        <v>15473.44</v>
      </c>
      <c r="AJ118" s="691">
        <f t="shared" si="84"/>
        <v>1.016</v>
      </c>
      <c r="AK118" s="671">
        <f t="shared" si="65"/>
        <v>46420.31</v>
      </c>
      <c r="AL118" s="671">
        <f t="shared" si="66"/>
        <v>0</v>
      </c>
      <c r="AM118" s="661">
        <v>0.04</v>
      </c>
      <c r="AN118" s="662">
        <f t="shared" si="87"/>
        <v>0.04</v>
      </c>
      <c r="AO118" s="691">
        <f t="shared" si="67"/>
        <v>1757.28</v>
      </c>
      <c r="AP118" s="691">
        <f t="shared" si="68"/>
        <v>1757.28</v>
      </c>
      <c r="AQ118" s="691">
        <f t="shared" si="69"/>
        <v>1827.57</v>
      </c>
      <c r="AR118" s="691">
        <f t="shared" si="70"/>
        <v>1856.81</v>
      </c>
      <c r="AS118" s="671">
        <f t="shared" si="71"/>
        <v>42174.720000000001</v>
      </c>
      <c r="AT118" s="671">
        <f t="shared" si="72"/>
        <v>42174.720000000001</v>
      </c>
      <c r="AU118" s="671">
        <f t="shared" si="73"/>
        <v>43861.71</v>
      </c>
      <c r="AV118" s="671">
        <f t="shared" si="74"/>
        <v>44563.5</v>
      </c>
      <c r="AW118" s="695">
        <f t="shared" si="75"/>
        <v>9426.23</v>
      </c>
      <c r="AX118" s="696">
        <f t="shared" si="76"/>
        <v>9426.23</v>
      </c>
      <c r="AY118" s="696">
        <f t="shared" si="77"/>
        <v>9803.27</v>
      </c>
      <c r="AZ118" s="697">
        <f t="shared" si="78"/>
        <v>9960.1299999999992</v>
      </c>
      <c r="BA118" s="832"/>
      <c r="BB118" s="663">
        <f t="shared" si="89"/>
        <v>134285.34999999998</v>
      </c>
      <c r="BC118" s="694">
        <f t="shared" si="80"/>
        <v>179973.59</v>
      </c>
      <c r="BD118" s="694">
        <f t="shared" si="81"/>
        <v>0</v>
      </c>
      <c r="BE118" s="663">
        <f t="shared" si="88"/>
        <v>11190.445833333331</v>
      </c>
      <c r="BG118" s="699">
        <v>8.4099999999999994E-2</v>
      </c>
      <c r="BH118" s="700">
        <v>0.22</v>
      </c>
    </row>
    <row r="119" spans="1:60" ht="21" customHeight="1">
      <c r="A119" s="651" t="s">
        <v>467</v>
      </c>
      <c r="B119" s="655" t="s">
        <v>784</v>
      </c>
      <c r="C119" s="655" t="s">
        <v>797</v>
      </c>
      <c r="D119" s="652" t="s">
        <v>801</v>
      </c>
      <c r="E119" s="735"/>
      <c r="F119" s="735"/>
      <c r="G119" s="652">
        <v>1</v>
      </c>
      <c r="H119" s="735"/>
      <c r="I119" s="735">
        <v>1</v>
      </c>
      <c r="J119" s="735"/>
      <c r="K119" s="666">
        <v>14644</v>
      </c>
      <c r="L119" s="688">
        <v>14644</v>
      </c>
      <c r="M119" s="735"/>
      <c r="N119" s="688">
        <f t="shared" si="49"/>
        <v>0</v>
      </c>
      <c r="O119" s="735"/>
      <c r="P119" s="687">
        <f t="shared" si="82"/>
        <v>0</v>
      </c>
      <c r="Q119" s="689">
        <f t="shared" si="50"/>
        <v>14644</v>
      </c>
      <c r="R119" s="686">
        <f t="shared" si="51"/>
        <v>14644</v>
      </c>
      <c r="S119" s="736"/>
      <c r="T119" s="736"/>
      <c r="U119" s="671">
        <f t="shared" si="52"/>
        <v>43932</v>
      </c>
      <c r="V119" s="671">
        <f t="shared" si="53"/>
        <v>43932</v>
      </c>
      <c r="W119" s="671">
        <f t="shared" si="54"/>
        <v>0</v>
      </c>
      <c r="X119" s="671">
        <f t="shared" si="55"/>
        <v>43932</v>
      </c>
      <c r="Y119" s="691">
        <f t="shared" si="56"/>
        <v>14644</v>
      </c>
      <c r="Z119" s="691">
        <v>1</v>
      </c>
      <c r="AA119" s="671">
        <f t="shared" si="57"/>
        <v>43932</v>
      </c>
      <c r="AB119" s="671">
        <f t="shared" si="58"/>
        <v>0</v>
      </c>
      <c r="AC119" s="671">
        <f t="shared" si="59"/>
        <v>45689.279999999999</v>
      </c>
      <c r="AD119" s="689">
        <f t="shared" si="60"/>
        <v>15229.76</v>
      </c>
      <c r="AE119" s="691">
        <f t="shared" si="83"/>
        <v>1.04</v>
      </c>
      <c r="AF119" s="671">
        <f t="shared" si="61"/>
        <v>45689.279999999999</v>
      </c>
      <c r="AG119" s="692">
        <f t="shared" si="62"/>
        <v>0</v>
      </c>
      <c r="AH119" s="671">
        <f t="shared" si="63"/>
        <v>46420.31</v>
      </c>
      <c r="AI119" s="691">
        <f t="shared" si="64"/>
        <v>15473.44</v>
      </c>
      <c r="AJ119" s="691">
        <f t="shared" si="84"/>
        <v>1.016</v>
      </c>
      <c r="AK119" s="671">
        <f t="shared" si="65"/>
        <v>46420.31</v>
      </c>
      <c r="AL119" s="671">
        <f t="shared" si="66"/>
        <v>0</v>
      </c>
      <c r="AM119" s="661">
        <v>0.04</v>
      </c>
      <c r="AN119" s="662">
        <f t="shared" si="87"/>
        <v>0.04</v>
      </c>
      <c r="AO119" s="691">
        <f t="shared" si="67"/>
        <v>1757.28</v>
      </c>
      <c r="AP119" s="691">
        <f t="shared" si="68"/>
        <v>1757.28</v>
      </c>
      <c r="AQ119" s="691">
        <f t="shared" si="69"/>
        <v>1827.57</v>
      </c>
      <c r="AR119" s="691">
        <f t="shared" si="70"/>
        <v>1856.81</v>
      </c>
      <c r="AS119" s="671">
        <f t="shared" si="71"/>
        <v>42174.720000000001</v>
      </c>
      <c r="AT119" s="671">
        <f t="shared" si="72"/>
        <v>42174.720000000001</v>
      </c>
      <c r="AU119" s="671">
        <f t="shared" si="73"/>
        <v>43861.71</v>
      </c>
      <c r="AV119" s="671">
        <f t="shared" si="74"/>
        <v>44563.5</v>
      </c>
      <c r="AW119" s="695">
        <f t="shared" si="75"/>
        <v>9426.23</v>
      </c>
      <c r="AX119" s="696">
        <f t="shared" si="76"/>
        <v>9426.23</v>
      </c>
      <c r="AY119" s="696">
        <f t="shared" si="77"/>
        <v>9803.27</v>
      </c>
      <c r="AZ119" s="697">
        <f t="shared" si="78"/>
        <v>9960.1299999999992</v>
      </c>
      <c r="BA119" s="832">
        <f>(U119+X119+AC119/120*140+AH119/120*140)/G119*I119</f>
        <v>195325.18833333335</v>
      </c>
      <c r="BB119" s="663">
        <f t="shared" si="89"/>
        <v>134285.34999999998</v>
      </c>
      <c r="BC119" s="694">
        <f t="shared" si="80"/>
        <v>179973.59</v>
      </c>
      <c r="BD119" s="694">
        <f t="shared" si="81"/>
        <v>0</v>
      </c>
      <c r="BE119" s="663">
        <f t="shared" si="88"/>
        <v>11190.445833333331</v>
      </c>
      <c r="BG119" s="699">
        <v>8.4099999999999994E-2</v>
      </c>
      <c r="BH119" s="700">
        <v>0.22</v>
      </c>
    </row>
    <row r="120" spans="1:60" ht="38.25" customHeight="1">
      <c r="A120" s="651" t="s">
        <v>468</v>
      </c>
      <c r="B120" s="655" t="s">
        <v>783</v>
      </c>
      <c r="C120" s="655" t="s">
        <v>802</v>
      </c>
      <c r="D120" s="652" t="s">
        <v>803</v>
      </c>
      <c r="E120" s="735"/>
      <c r="F120" s="735"/>
      <c r="G120" s="652">
        <v>1</v>
      </c>
      <c r="H120" s="735"/>
      <c r="I120" s="735">
        <v>1</v>
      </c>
      <c r="J120" s="735"/>
      <c r="K120" s="737">
        <f>R120</f>
        <v>11094</v>
      </c>
      <c r="L120" s="688">
        <v>11094</v>
      </c>
      <c r="M120" s="735"/>
      <c r="N120" s="688">
        <f t="shared" si="49"/>
        <v>0</v>
      </c>
      <c r="O120" s="735"/>
      <c r="P120" s="687">
        <f t="shared" si="82"/>
        <v>0</v>
      </c>
      <c r="Q120" s="689">
        <f t="shared" si="50"/>
        <v>11094</v>
      </c>
      <c r="R120" s="686">
        <f t="shared" si="51"/>
        <v>11094</v>
      </c>
      <c r="S120" s="736"/>
      <c r="T120" s="736"/>
      <c r="U120" s="671">
        <f t="shared" si="52"/>
        <v>33282</v>
      </c>
      <c r="V120" s="671">
        <f t="shared" si="53"/>
        <v>33282</v>
      </c>
      <c r="W120" s="671">
        <f t="shared" si="54"/>
        <v>0</v>
      </c>
      <c r="X120" s="671">
        <f t="shared" si="55"/>
        <v>33282</v>
      </c>
      <c r="Y120" s="691">
        <f t="shared" si="56"/>
        <v>11094</v>
      </c>
      <c r="Z120" s="691">
        <v>1</v>
      </c>
      <c r="AA120" s="671">
        <f t="shared" si="57"/>
        <v>33282</v>
      </c>
      <c r="AB120" s="671">
        <f t="shared" si="58"/>
        <v>0</v>
      </c>
      <c r="AC120" s="671">
        <f t="shared" si="59"/>
        <v>34613.279999999999</v>
      </c>
      <c r="AD120" s="689">
        <f t="shared" si="60"/>
        <v>11537.76</v>
      </c>
      <c r="AE120" s="691">
        <f t="shared" si="83"/>
        <v>1.04</v>
      </c>
      <c r="AF120" s="671">
        <f t="shared" si="61"/>
        <v>34613.279999999999</v>
      </c>
      <c r="AG120" s="692">
        <f t="shared" si="62"/>
        <v>0</v>
      </c>
      <c r="AH120" s="671">
        <f t="shared" si="63"/>
        <v>35167.089999999997</v>
      </c>
      <c r="AI120" s="691">
        <f t="shared" si="64"/>
        <v>11722.36</v>
      </c>
      <c r="AJ120" s="691">
        <f t="shared" si="84"/>
        <v>1.016</v>
      </c>
      <c r="AK120" s="671">
        <f t="shared" si="65"/>
        <v>35167.089999999997</v>
      </c>
      <c r="AL120" s="671">
        <f t="shared" si="66"/>
        <v>0</v>
      </c>
      <c r="AM120" s="661">
        <v>0.04</v>
      </c>
      <c r="AN120" s="662">
        <f t="shared" si="87"/>
        <v>0.04</v>
      </c>
      <c r="AO120" s="691">
        <f t="shared" si="67"/>
        <v>1331.28</v>
      </c>
      <c r="AP120" s="691">
        <f t="shared" si="68"/>
        <v>1331.28</v>
      </c>
      <c r="AQ120" s="691">
        <f t="shared" si="69"/>
        <v>1384.53</v>
      </c>
      <c r="AR120" s="691">
        <f t="shared" si="70"/>
        <v>1406.68</v>
      </c>
      <c r="AS120" s="671">
        <f t="shared" si="71"/>
        <v>31950.720000000001</v>
      </c>
      <c r="AT120" s="671">
        <f t="shared" si="72"/>
        <v>31950.720000000001</v>
      </c>
      <c r="AU120" s="671">
        <f t="shared" si="73"/>
        <v>33228.75</v>
      </c>
      <c r="AV120" s="671">
        <f t="shared" si="74"/>
        <v>33760.409999999996</v>
      </c>
      <c r="AW120" s="695">
        <f t="shared" si="75"/>
        <v>7141.12</v>
      </c>
      <c r="AX120" s="696">
        <f t="shared" si="76"/>
        <v>7141.12</v>
      </c>
      <c r="AY120" s="696">
        <f t="shared" si="77"/>
        <v>7426.76</v>
      </c>
      <c r="AZ120" s="697">
        <f t="shared" si="78"/>
        <v>7545.59</v>
      </c>
      <c r="BA120" s="832">
        <f>(U120+X120+AC120/120*140+AH120/120*140)/G120*I120</f>
        <v>147974.43166666667</v>
      </c>
      <c r="BB120" s="663">
        <f t="shared" si="89"/>
        <v>101732.12999999999</v>
      </c>
      <c r="BC120" s="694">
        <f t="shared" si="80"/>
        <v>136344.37</v>
      </c>
      <c r="BD120" s="694">
        <f t="shared" si="81"/>
        <v>0</v>
      </c>
      <c r="BE120" s="663">
        <f t="shared" si="88"/>
        <v>8477.6774999999998</v>
      </c>
      <c r="BG120" s="699">
        <v>8.4099999999999994E-2</v>
      </c>
      <c r="BH120" s="700">
        <v>0.22</v>
      </c>
    </row>
    <row r="121" spans="1:60" ht="21" customHeight="1">
      <c r="A121" s="651" t="s">
        <v>469</v>
      </c>
      <c r="B121" s="655" t="s">
        <v>783</v>
      </c>
      <c r="C121" s="655" t="s">
        <v>802</v>
      </c>
      <c r="D121" s="652" t="s">
        <v>804</v>
      </c>
      <c r="E121" s="735"/>
      <c r="F121" s="735"/>
      <c r="G121" s="652">
        <v>1</v>
      </c>
      <c r="H121" s="735"/>
      <c r="I121" s="735">
        <v>0.5</v>
      </c>
      <c r="J121" s="735"/>
      <c r="K121" s="737">
        <f>R121</f>
        <v>9319</v>
      </c>
      <c r="L121" s="688">
        <v>9319</v>
      </c>
      <c r="M121" s="735"/>
      <c r="N121" s="688">
        <f t="shared" si="49"/>
        <v>0</v>
      </c>
      <c r="O121" s="735"/>
      <c r="P121" s="687">
        <f t="shared" si="82"/>
        <v>0</v>
      </c>
      <c r="Q121" s="689">
        <f t="shared" si="50"/>
        <v>9319</v>
      </c>
      <c r="R121" s="686">
        <f t="shared" si="51"/>
        <v>9319</v>
      </c>
      <c r="S121" s="736"/>
      <c r="T121" s="736"/>
      <c r="U121" s="671">
        <f t="shared" si="52"/>
        <v>27957</v>
      </c>
      <c r="V121" s="671">
        <f t="shared" si="53"/>
        <v>27957</v>
      </c>
      <c r="W121" s="671">
        <f t="shared" si="54"/>
        <v>0</v>
      </c>
      <c r="X121" s="671">
        <f t="shared" si="55"/>
        <v>27957</v>
      </c>
      <c r="Y121" s="691">
        <f t="shared" si="56"/>
        <v>9319</v>
      </c>
      <c r="Z121" s="691">
        <v>1</v>
      </c>
      <c r="AA121" s="671">
        <f t="shared" si="57"/>
        <v>27957</v>
      </c>
      <c r="AB121" s="671">
        <f t="shared" si="58"/>
        <v>0</v>
      </c>
      <c r="AC121" s="671">
        <f t="shared" si="59"/>
        <v>29075.279999999999</v>
      </c>
      <c r="AD121" s="689">
        <f t="shared" si="60"/>
        <v>9691.76</v>
      </c>
      <c r="AE121" s="691">
        <f t="shared" si="83"/>
        <v>1.04</v>
      </c>
      <c r="AF121" s="671">
        <f t="shared" si="61"/>
        <v>29075.279999999999</v>
      </c>
      <c r="AG121" s="692">
        <f t="shared" si="62"/>
        <v>0</v>
      </c>
      <c r="AH121" s="671">
        <f t="shared" si="63"/>
        <v>29540.48</v>
      </c>
      <c r="AI121" s="691">
        <f t="shared" si="64"/>
        <v>9846.83</v>
      </c>
      <c r="AJ121" s="691">
        <f t="shared" si="84"/>
        <v>1.016</v>
      </c>
      <c r="AK121" s="671">
        <f t="shared" si="65"/>
        <v>29540.48</v>
      </c>
      <c r="AL121" s="671">
        <f t="shared" si="66"/>
        <v>0</v>
      </c>
      <c r="AM121" s="661">
        <v>0.04</v>
      </c>
      <c r="AN121" s="662">
        <f t="shared" si="87"/>
        <v>0.04</v>
      </c>
      <c r="AO121" s="691">
        <f t="shared" si="67"/>
        <v>1118.28</v>
      </c>
      <c r="AP121" s="691">
        <f t="shared" si="68"/>
        <v>1118.28</v>
      </c>
      <c r="AQ121" s="691">
        <f t="shared" si="69"/>
        <v>1163.01</v>
      </c>
      <c r="AR121" s="691">
        <f t="shared" si="70"/>
        <v>1181.6199999999999</v>
      </c>
      <c r="AS121" s="671">
        <f t="shared" si="71"/>
        <v>26838.720000000001</v>
      </c>
      <c r="AT121" s="671">
        <f t="shared" si="72"/>
        <v>26838.720000000001</v>
      </c>
      <c r="AU121" s="671">
        <f t="shared" si="73"/>
        <v>27912.27</v>
      </c>
      <c r="AV121" s="671">
        <f t="shared" si="74"/>
        <v>28358.86</v>
      </c>
      <c r="AW121" s="695">
        <f t="shared" si="75"/>
        <v>5998.57</v>
      </c>
      <c r="AX121" s="696">
        <f t="shared" si="76"/>
        <v>5998.57</v>
      </c>
      <c r="AY121" s="696">
        <f t="shared" si="77"/>
        <v>6238.51</v>
      </c>
      <c r="AZ121" s="697">
        <f t="shared" si="78"/>
        <v>6338.32</v>
      </c>
      <c r="BA121" s="832">
        <f>(U121+X121+AC121/120*140+AH121/120*140)/G121*I121</f>
        <v>62149.526666666672</v>
      </c>
      <c r="BB121" s="663">
        <f t="shared" si="89"/>
        <v>85455.52</v>
      </c>
      <c r="BC121" s="694">
        <f t="shared" si="80"/>
        <v>114529.76</v>
      </c>
      <c r="BD121" s="694">
        <f t="shared" si="81"/>
        <v>0</v>
      </c>
      <c r="BE121" s="663">
        <f t="shared" si="88"/>
        <v>7121.293333333334</v>
      </c>
      <c r="BG121" s="699">
        <v>8.4099999999999994E-2</v>
      </c>
      <c r="BH121" s="700">
        <v>0.22</v>
      </c>
    </row>
    <row r="122" spans="1:60" ht="21" hidden="1" customHeight="1">
      <c r="A122" s="651" t="s">
        <v>470</v>
      </c>
      <c r="B122" s="655" t="s">
        <v>783</v>
      </c>
      <c r="C122" s="655" t="s">
        <v>805</v>
      </c>
      <c r="D122" s="652">
        <v>4115</v>
      </c>
      <c r="E122" s="735"/>
      <c r="F122" s="735"/>
      <c r="G122" s="652">
        <v>1</v>
      </c>
      <c r="H122" s="735"/>
      <c r="I122" s="735"/>
      <c r="J122" s="735"/>
      <c r="K122" s="738">
        <f>(100-12)/100*R122</f>
        <v>5154.4063999999998</v>
      </c>
      <c r="L122" s="688">
        <v>5857.28</v>
      </c>
      <c r="M122" s="735"/>
      <c r="N122" s="688">
        <f t="shared" si="49"/>
        <v>0</v>
      </c>
      <c r="O122" s="735"/>
      <c r="P122" s="687">
        <f t="shared" si="82"/>
        <v>0</v>
      </c>
      <c r="Q122" s="689">
        <f t="shared" si="50"/>
        <v>5857.28</v>
      </c>
      <c r="R122" s="686">
        <f t="shared" si="51"/>
        <v>5857.28</v>
      </c>
      <c r="S122" s="736"/>
      <c r="T122" s="736"/>
      <c r="U122" s="671">
        <f t="shared" si="52"/>
        <v>17571.84</v>
      </c>
      <c r="V122" s="671">
        <f t="shared" si="53"/>
        <v>17571.84</v>
      </c>
      <c r="W122" s="671">
        <f t="shared" si="54"/>
        <v>0</v>
      </c>
      <c r="X122" s="671">
        <f t="shared" si="55"/>
        <v>17571.84</v>
      </c>
      <c r="Y122" s="691">
        <f t="shared" si="56"/>
        <v>5857.28</v>
      </c>
      <c r="Z122" s="691">
        <v>1</v>
      </c>
      <c r="AA122" s="671">
        <f t="shared" si="57"/>
        <v>17571.84</v>
      </c>
      <c r="AB122" s="671">
        <f t="shared" si="58"/>
        <v>0</v>
      </c>
      <c r="AC122" s="671">
        <f t="shared" si="59"/>
        <v>18274.71</v>
      </c>
      <c r="AD122" s="689">
        <f t="shared" si="60"/>
        <v>6091.57</v>
      </c>
      <c r="AE122" s="691">
        <f t="shared" si="83"/>
        <v>1.04</v>
      </c>
      <c r="AF122" s="671">
        <f t="shared" si="61"/>
        <v>18274.71</v>
      </c>
      <c r="AG122" s="692">
        <f t="shared" si="62"/>
        <v>0</v>
      </c>
      <c r="AH122" s="671">
        <f t="shared" si="63"/>
        <v>18567.11</v>
      </c>
      <c r="AI122" s="691">
        <f t="shared" si="64"/>
        <v>6189.04</v>
      </c>
      <c r="AJ122" s="691">
        <f t="shared" si="84"/>
        <v>1.016</v>
      </c>
      <c r="AK122" s="671">
        <f t="shared" si="65"/>
        <v>18567.11</v>
      </c>
      <c r="AL122" s="671">
        <f t="shared" si="66"/>
        <v>0</v>
      </c>
      <c r="AM122" s="661">
        <v>0.04</v>
      </c>
      <c r="AN122" s="662">
        <f t="shared" si="87"/>
        <v>0.04</v>
      </c>
      <c r="AO122" s="691">
        <f t="shared" si="67"/>
        <v>702.87</v>
      </c>
      <c r="AP122" s="691">
        <f t="shared" si="68"/>
        <v>702.87</v>
      </c>
      <c r="AQ122" s="691">
        <f t="shared" si="69"/>
        <v>730.99</v>
      </c>
      <c r="AR122" s="691">
        <f t="shared" si="70"/>
        <v>742.68</v>
      </c>
      <c r="AS122" s="671">
        <f t="shared" si="71"/>
        <v>16868.97</v>
      </c>
      <c r="AT122" s="671">
        <f t="shared" si="72"/>
        <v>16868.97</v>
      </c>
      <c r="AU122" s="671">
        <f t="shared" si="73"/>
        <v>17543.719999999998</v>
      </c>
      <c r="AV122" s="671">
        <f t="shared" si="74"/>
        <v>17824.43</v>
      </c>
      <c r="AW122" s="695">
        <f t="shared" si="75"/>
        <v>3770.28</v>
      </c>
      <c r="AX122" s="696">
        <f t="shared" si="76"/>
        <v>3770.28</v>
      </c>
      <c r="AY122" s="696">
        <f t="shared" si="77"/>
        <v>3921.09</v>
      </c>
      <c r="AZ122" s="697">
        <f t="shared" si="78"/>
        <v>3983.83</v>
      </c>
      <c r="BA122" s="832"/>
      <c r="BB122" s="663">
        <f t="shared" si="89"/>
        <v>53711.83</v>
      </c>
      <c r="BC122" s="694">
        <f t="shared" si="80"/>
        <v>71985.5</v>
      </c>
      <c r="BD122" s="694">
        <f t="shared" si="81"/>
        <v>0</v>
      </c>
      <c r="BE122" s="663">
        <f t="shared" si="88"/>
        <v>4475.9858333333332</v>
      </c>
      <c r="BG122" s="699">
        <v>8.4099999999999994E-2</v>
      </c>
      <c r="BH122" s="700">
        <v>0.22</v>
      </c>
    </row>
    <row r="123" spans="1:60" ht="21" customHeight="1">
      <c r="A123" s="651" t="s">
        <v>471</v>
      </c>
      <c r="B123" s="655" t="s">
        <v>783</v>
      </c>
      <c r="C123" s="655" t="s">
        <v>755</v>
      </c>
      <c r="D123" s="652">
        <v>9132</v>
      </c>
      <c r="E123" s="735"/>
      <c r="F123" s="735"/>
      <c r="G123" s="652">
        <v>1</v>
      </c>
      <c r="H123" s="735"/>
      <c r="I123" s="735">
        <v>1</v>
      </c>
      <c r="J123" s="653"/>
      <c r="K123" s="737">
        <f>R123</f>
        <v>4367</v>
      </c>
      <c r="L123" s="688">
        <v>4367</v>
      </c>
      <c r="M123" s="735"/>
      <c r="N123" s="688">
        <f t="shared" si="49"/>
        <v>0</v>
      </c>
      <c r="O123" s="735"/>
      <c r="P123" s="687">
        <f t="shared" si="82"/>
        <v>0</v>
      </c>
      <c r="Q123" s="689">
        <f t="shared" si="50"/>
        <v>4367</v>
      </c>
      <c r="R123" s="686">
        <f t="shared" si="51"/>
        <v>4367</v>
      </c>
      <c r="S123" s="736"/>
      <c r="T123" s="736"/>
      <c r="U123" s="671">
        <f t="shared" si="52"/>
        <v>13101</v>
      </c>
      <c r="V123" s="671">
        <f t="shared" si="53"/>
        <v>13101</v>
      </c>
      <c r="W123" s="671">
        <f t="shared" si="54"/>
        <v>0</v>
      </c>
      <c r="X123" s="671">
        <f t="shared" si="55"/>
        <v>13101</v>
      </c>
      <c r="Y123" s="691">
        <f t="shared" si="56"/>
        <v>4367</v>
      </c>
      <c r="Z123" s="691">
        <v>1</v>
      </c>
      <c r="AA123" s="671">
        <f t="shared" si="57"/>
        <v>13101</v>
      </c>
      <c r="AB123" s="671">
        <f t="shared" si="58"/>
        <v>0</v>
      </c>
      <c r="AC123" s="671">
        <f t="shared" si="59"/>
        <v>13625.04</v>
      </c>
      <c r="AD123" s="689">
        <f t="shared" si="60"/>
        <v>4541.68</v>
      </c>
      <c r="AE123" s="691">
        <f t="shared" si="83"/>
        <v>1.04</v>
      </c>
      <c r="AF123" s="671">
        <f t="shared" si="61"/>
        <v>13625.04</v>
      </c>
      <c r="AG123" s="692">
        <f t="shared" si="62"/>
        <v>0</v>
      </c>
      <c r="AH123" s="671">
        <f t="shared" si="63"/>
        <v>13843.04</v>
      </c>
      <c r="AI123" s="691">
        <f t="shared" si="64"/>
        <v>4614.3500000000004</v>
      </c>
      <c r="AJ123" s="691">
        <f t="shared" si="84"/>
        <v>1.016</v>
      </c>
      <c r="AK123" s="671">
        <f t="shared" si="65"/>
        <v>13843.04</v>
      </c>
      <c r="AL123" s="671">
        <f t="shared" si="66"/>
        <v>0</v>
      </c>
      <c r="AM123" s="661">
        <v>0.04</v>
      </c>
      <c r="AN123" s="662">
        <f t="shared" si="87"/>
        <v>0.04</v>
      </c>
      <c r="AO123" s="691">
        <f t="shared" si="67"/>
        <v>524.04</v>
      </c>
      <c r="AP123" s="691">
        <f t="shared" si="68"/>
        <v>524.04</v>
      </c>
      <c r="AQ123" s="691">
        <f t="shared" si="69"/>
        <v>545</v>
      </c>
      <c r="AR123" s="691">
        <f t="shared" si="70"/>
        <v>553.72</v>
      </c>
      <c r="AS123" s="671">
        <f t="shared" si="71"/>
        <v>12576.96</v>
      </c>
      <c r="AT123" s="671">
        <f t="shared" si="72"/>
        <v>12576.96</v>
      </c>
      <c r="AU123" s="671">
        <f t="shared" si="73"/>
        <v>13080.04</v>
      </c>
      <c r="AV123" s="671">
        <f t="shared" si="74"/>
        <v>13289.320000000002</v>
      </c>
      <c r="AW123" s="695">
        <f t="shared" si="75"/>
        <v>2811</v>
      </c>
      <c r="AX123" s="696">
        <f t="shared" si="76"/>
        <v>2811</v>
      </c>
      <c r="AY123" s="696">
        <f t="shared" si="77"/>
        <v>2923.44</v>
      </c>
      <c r="AZ123" s="697">
        <f t="shared" si="78"/>
        <v>2970.22</v>
      </c>
      <c r="BA123" s="832"/>
      <c r="BB123" s="663">
        <f t="shared" si="89"/>
        <v>40046.080000000002</v>
      </c>
      <c r="BC123" s="694">
        <f t="shared" si="80"/>
        <v>53670.080000000002</v>
      </c>
      <c r="BD123" s="694">
        <f t="shared" si="81"/>
        <v>0</v>
      </c>
      <c r="BE123" s="663">
        <f t="shared" si="88"/>
        <v>3337.1733333333336</v>
      </c>
      <c r="BG123" s="699">
        <v>8.4099999999999994E-2</v>
      </c>
      <c r="BH123" s="700">
        <v>0.22</v>
      </c>
    </row>
    <row r="124" spans="1:60" ht="21" customHeight="1">
      <c r="A124" s="651" t="s">
        <v>474</v>
      </c>
      <c r="B124" s="655" t="s">
        <v>783</v>
      </c>
      <c r="C124" s="655" t="s">
        <v>797</v>
      </c>
      <c r="D124" s="652">
        <v>1232</v>
      </c>
      <c r="E124" s="735"/>
      <c r="F124" s="735"/>
      <c r="G124" s="652">
        <v>1</v>
      </c>
      <c r="H124" s="735"/>
      <c r="I124" s="735">
        <v>1</v>
      </c>
      <c r="J124" s="768" t="s">
        <v>806</v>
      </c>
      <c r="K124" s="738">
        <v>20869</v>
      </c>
      <c r="L124" s="688">
        <v>20869</v>
      </c>
      <c r="M124" s="735"/>
      <c r="N124" s="688">
        <f t="shared" si="49"/>
        <v>0</v>
      </c>
      <c r="O124" s="735"/>
      <c r="P124" s="687">
        <f t="shared" si="82"/>
        <v>0</v>
      </c>
      <c r="Q124" s="689">
        <f t="shared" si="50"/>
        <v>20869</v>
      </c>
      <c r="R124" s="686">
        <f t="shared" si="51"/>
        <v>20869</v>
      </c>
      <c r="S124" s="736"/>
      <c r="T124" s="736"/>
      <c r="U124" s="671">
        <f t="shared" si="52"/>
        <v>62607</v>
      </c>
      <c r="V124" s="671">
        <f t="shared" si="53"/>
        <v>62607</v>
      </c>
      <c r="W124" s="671">
        <f t="shared" si="54"/>
        <v>0</v>
      </c>
      <c r="X124" s="671">
        <f t="shared" si="55"/>
        <v>62607</v>
      </c>
      <c r="Y124" s="691">
        <f t="shared" si="56"/>
        <v>20869</v>
      </c>
      <c r="Z124" s="691">
        <v>1</v>
      </c>
      <c r="AA124" s="671">
        <f t="shared" si="57"/>
        <v>62607</v>
      </c>
      <c r="AB124" s="671">
        <f t="shared" si="58"/>
        <v>0</v>
      </c>
      <c r="AC124" s="671">
        <f t="shared" si="59"/>
        <v>65111.28</v>
      </c>
      <c r="AD124" s="689">
        <f t="shared" si="60"/>
        <v>21703.759999999998</v>
      </c>
      <c r="AE124" s="691">
        <f t="shared" si="83"/>
        <v>1.04</v>
      </c>
      <c r="AF124" s="671">
        <f t="shared" si="61"/>
        <v>65111.28</v>
      </c>
      <c r="AG124" s="692">
        <f t="shared" si="62"/>
        <v>0</v>
      </c>
      <c r="AH124" s="671">
        <f t="shared" si="63"/>
        <v>66153.06</v>
      </c>
      <c r="AI124" s="691">
        <f t="shared" si="64"/>
        <v>22051.02</v>
      </c>
      <c r="AJ124" s="691">
        <f t="shared" si="84"/>
        <v>1.016</v>
      </c>
      <c r="AK124" s="671">
        <f t="shared" si="65"/>
        <v>66153.06</v>
      </c>
      <c r="AL124" s="671">
        <f t="shared" si="66"/>
        <v>0</v>
      </c>
      <c r="AM124" s="661">
        <v>0.04</v>
      </c>
      <c r="AN124" s="662">
        <f t="shared" si="87"/>
        <v>0.04</v>
      </c>
      <c r="AO124" s="691">
        <f t="shared" si="67"/>
        <v>2504.2800000000002</v>
      </c>
      <c r="AP124" s="691">
        <f t="shared" si="68"/>
        <v>2504.2800000000002</v>
      </c>
      <c r="AQ124" s="691">
        <f t="shared" si="69"/>
        <v>2604.4499999999998</v>
      </c>
      <c r="AR124" s="691">
        <f t="shared" si="70"/>
        <v>2646.12</v>
      </c>
      <c r="AS124" s="671">
        <f t="shared" si="71"/>
        <v>60102.720000000001</v>
      </c>
      <c r="AT124" s="671">
        <f t="shared" si="72"/>
        <v>60102.720000000001</v>
      </c>
      <c r="AU124" s="671">
        <f t="shared" si="73"/>
        <v>62506.83</v>
      </c>
      <c r="AV124" s="671">
        <f t="shared" si="74"/>
        <v>63506.939999999995</v>
      </c>
      <c r="AW124" s="695">
        <f t="shared" si="75"/>
        <v>13433.21</v>
      </c>
      <c r="AX124" s="696">
        <f t="shared" si="76"/>
        <v>13433.21</v>
      </c>
      <c r="AY124" s="696">
        <f t="shared" si="77"/>
        <v>13970.54</v>
      </c>
      <c r="AZ124" s="697">
        <f t="shared" si="78"/>
        <v>14194.07</v>
      </c>
      <c r="BA124" s="832">
        <f>(U124+X124+AC124/120*140+AH124/120*140)/G124*I124</f>
        <v>278355.73</v>
      </c>
      <c r="BB124" s="663">
        <f t="shared" si="89"/>
        <v>191368.09999999998</v>
      </c>
      <c r="BC124" s="694">
        <f t="shared" si="80"/>
        <v>256478.34</v>
      </c>
      <c r="BD124" s="694">
        <f t="shared" si="81"/>
        <v>0</v>
      </c>
      <c r="BE124" s="663">
        <f t="shared" si="88"/>
        <v>15947.341666666665</v>
      </c>
      <c r="BG124" s="699">
        <v>8.4099999999999994E-2</v>
      </c>
      <c r="BH124" s="700">
        <v>0.22</v>
      </c>
    </row>
    <row r="125" spans="1:60" ht="21" hidden="1" customHeight="1">
      <c r="A125" s="651" t="s">
        <v>475</v>
      </c>
      <c r="B125" s="655" t="s">
        <v>783</v>
      </c>
      <c r="C125" s="655" t="s">
        <v>802</v>
      </c>
      <c r="D125" s="652">
        <v>3423</v>
      </c>
      <c r="E125" s="735"/>
      <c r="F125" s="735"/>
      <c r="G125" s="652">
        <v>1</v>
      </c>
      <c r="H125" s="735"/>
      <c r="I125" s="735"/>
      <c r="J125" s="768" t="s">
        <v>806</v>
      </c>
      <c r="K125" s="738">
        <v>12425</v>
      </c>
      <c r="L125" s="688">
        <v>12425</v>
      </c>
      <c r="M125" s="735"/>
      <c r="N125" s="688">
        <f t="shared" si="49"/>
        <v>0</v>
      </c>
      <c r="O125" s="735"/>
      <c r="P125" s="687">
        <f t="shared" si="82"/>
        <v>0</v>
      </c>
      <c r="Q125" s="689">
        <f t="shared" si="50"/>
        <v>12425</v>
      </c>
      <c r="R125" s="686">
        <f t="shared" si="51"/>
        <v>12425</v>
      </c>
      <c r="S125" s="736"/>
      <c r="T125" s="736"/>
      <c r="U125" s="671">
        <f t="shared" si="52"/>
        <v>37275</v>
      </c>
      <c r="V125" s="671">
        <f t="shared" si="53"/>
        <v>37275</v>
      </c>
      <c r="W125" s="671">
        <f t="shared" si="54"/>
        <v>0</v>
      </c>
      <c r="X125" s="671">
        <f t="shared" si="55"/>
        <v>37275</v>
      </c>
      <c r="Y125" s="691">
        <f t="shared" si="56"/>
        <v>12425</v>
      </c>
      <c r="Z125" s="691">
        <v>1</v>
      </c>
      <c r="AA125" s="671">
        <f t="shared" si="57"/>
        <v>37275</v>
      </c>
      <c r="AB125" s="671">
        <f t="shared" si="58"/>
        <v>0</v>
      </c>
      <c r="AC125" s="671">
        <f t="shared" si="59"/>
        <v>38766</v>
      </c>
      <c r="AD125" s="689">
        <f t="shared" si="60"/>
        <v>12922</v>
      </c>
      <c r="AE125" s="691">
        <f t="shared" si="83"/>
        <v>1.04</v>
      </c>
      <c r="AF125" s="671">
        <f t="shared" si="61"/>
        <v>38766</v>
      </c>
      <c r="AG125" s="692">
        <f t="shared" si="62"/>
        <v>0</v>
      </c>
      <c r="AH125" s="671">
        <f t="shared" si="63"/>
        <v>39386.26</v>
      </c>
      <c r="AI125" s="691">
        <f t="shared" si="64"/>
        <v>13128.75</v>
      </c>
      <c r="AJ125" s="691">
        <f t="shared" si="84"/>
        <v>1.016</v>
      </c>
      <c r="AK125" s="671">
        <f t="shared" si="65"/>
        <v>39386.26</v>
      </c>
      <c r="AL125" s="671">
        <f t="shared" si="66"/>
        <v>0</v>
      </c>
      <c r="AM125" s="661">
        <v>0.04</v>
      </c>
      <c r="AN125" s="662">
        <f t="shared" si="87"/>
        <v>0.04</v>
      </c>
      <c r="AO125" s="691">
        <f t="shared" si="67"/>
        <v>1491</v>
      </c>
      <c r="AP125" s="691">
        <f t="shared" si="68"/>
        <v>1491</v>
      </c>
      <c r="AQ125" s="691">
        <f t="shared" si="69"/>
        <v>1550.64</v>
      </c>
      <c r="AR125" s="691">
        <f t="shared" si="70"/>
        <v>1575.45</v>
      </c>
      <c r="AS125" s="671">
        <f t="shared" si="71"/>
        <v>35784</v>
      </c>
      <c r="AT125" s="671">
        <f t="shared" si="72"/>
        <v>35784</v>
      </c>
      <c r="AU125" s="671">
        <f t="shared" si="73"/>
        <v>37215.360000000001</v>
      </c>
      <c r="AV125" s="671">
        <f t="shared" si="74"/>
        <v>37810.810000000005</v>
      </c>
      <c r="AW125" s="695">
        <f t="shared" si="75"/>
        <v>7997.87</v>
      </c>
      <c r="AX125" s="696">
        <f t="shared" si="76"/>
        <v>7997.87</v>
      </c>
      <c r="AY125" s="696">
        <f t="shared" si="77"/>
        <v>8317.7900000000009</v>
      </c>
      <c r="AZ125" s="697">
        <f t="shared" si="78"/>
        <v>8450.8700000000008</v>
      </c>
      <c r="BA125" s="832"/>
      <c r="BB125" s="663">
        <f t="shared" si="89"/>
        <v>113937.29999999999</v>
      </c>
      <c r="BC125" s="694">
        <f t="shared" si="80"/>
        <v>152702.26</v>
      </c>
      <c r="BD125" s="694">
        <f t="shared" si="81"/>
        <v>0</v>
      </c>
      <c r="BE125" s="663">
        <f t="shared" si="88"/>
        <v>9494.7749999999996</v>
      </c>
      <c r="BG125" s="699">
        <v>8.4099999999999994E-2</v>
      </c>
      <c r="BH125" s="700">
        <v>0.22</v>
      </c>
    </row>
    <row r="126" spans="1:60" ht="49.5" hidden="1" customHeight="1">
      <c r="A126" s="651" t="s">
        <v>477</v>
      </c>
      <c r="B126" s="655" t="s">
        <v>784</v>
      </c>
      <c r="C126" s="655" t="s">
        <v>797</v>
      </c>
      <c r="D126" s="652" t="s">
        <v>807</v>
      </c>
      <c r="E126" s="735"/>
      <c r="F126" s="735"/>
      <c r="G126" s="652">
        <v>1</v>
      </c>
      <c r="H126" s="735"/>
      <c r="I126" s="735"/>
      <c r="J126" s="768" t="s">
        <v>808</v>
      </c>
      <c r="K126" s="682">
        <f>R126</f>
        <v>12425</v>
      </c>
      <c r="L126" s="688">
        <v>12425</v>
      </c>
      <c r="M126" s="735"/>
      <c r="N126" s="688">
        <f t="shared" si="49"/>
        <v>0</v>
      </c>
      <c r="O126" s="735"/>
      <c r="P126" s="687">
        <f t="shared" si="82"/>
        <v>0</v>
      </c>
      <c r="Q126" s="689">
        <f t="shared" si="50"/>
        <v>12425</v>
      </c>
      <c r="R126" s="686">
        <f t="shared" si="51"/>
        <v>12425</v>
      </c>
      <c r="S126" s="736"/>
      <c r="T126" s="736"/>
      <c r="U126" s="671">
        <f t="shared" si="52"/>
        <v>37275</v>
      </c>
      <c r="V126" s="671">
        <f t="shared" si="53"/>
        <v>37275</v>
      </c>
      <c r="W126" s="671">
        <f t="shared" si="54"/>
        <v>0</v>
      </c>
      <c r="X126" s="671">
        <f t="shared" si="55"/>
        <v>37275</v>
      </c>
      <c r="Y126" s="691">
        <f t="shared" si="56"/>
        <v>12425</v>
      </c>
      <c r="Z126" s="691">
        <v>1</v>
      </c>
      <c r="AA126" s="671">
        <f t="shared" si="57"/>
        <v>37275</v>
      </c>
      <c r="AB126" s="671">
        <f t="shared" si="58"/>
        <v>0</v>
      </c>
      <c r="AC126" s="671">
        <f t="shared" si="59"/>
        <v>38766</v>
      </c>
      <c r="AD126" s="689">
        <f t="shared" si="60"/>
        <v>12922</v>
      </c>
      <c r="AE126" s="691">
        <f t="shared" si="83"/>
        <v>1.04</v>
      </c>
      <c r="AF126" s="671">
        <f t="shared" si="61"/>
        <v>38766</v>
      </c>
      <c r="AG126" s="692">
        <f t="shared" si="62"/>
        <v>0</v>
      </c>
      <c r="AH126" s="671">
        <f t="shared" si="63"/>
        <v>39386.26</v>
      </c>
      <c r="AI126" s="691">
        <f t="shared" si="64"/>
        <v>13128.75</v>
      </c>
      <c r="AJ126" s="691">
        <f t="shared" si="84"/>
        <v>1.016</v>
      </c>
      <c r="AK126" s="671">
        <f t="shared" si="65"/>
        <v>39386.26</v>
      </c>
      <c r="AL126" s="671">
        <f t="shared" si="66"/>
        <v>0</v>
      </c>
      <c r="AM126" s="661">
        <v>0.04</v>
      </c>
      <c r="AN126" s="662">
        <f t="shared" si="87"/>
        <v>0.04</v>
      </c>
      <c r="AO126" s="691">
        <f t="shared" si="67"/>
        <v>1491</v>
      </c>
      <c r="AP126" s="691">
        <f t="shared" si="68"/>
        <v>1491</v>
      </c>
      <c r="AQ126" s="691">
        <f t="shared" si="69"/>
        <v>1550.64</v>
      </c>
      <c r="AR126" s="691">
        <f t="shared" si="70"/>
        <v>1575.45</v>
      </c>
      <c r="AS126" s="671">
        <f t="shared" si="71"/>
        <v>35784</v>
      </c>
      <c r="AT126" s="671">
        <f t="shared" si="72"/>
        <v>35784</v>
      </c>
      <c r="AU126" s="671">
        <f t="shared" si="73"/>
        <v>37215.360000000001</v>
      </c>
      <c r="AV126" s="671">
        <f t="shared" si="74"/>
        <v>37810.810000000005</v>
      </c>
      <c r="AW126" s="695">
        <f t="shared" si="75"/>
        <v>7997.87</v>
      </c>
      <c r="AX126" s="696">
        <f t="shared" si="76"/>
        <v>7997.87</v>
      </c>
      <c r="AY126" s="696">
        <f t="shared" si="77"/>
        <v>8317.7900000000009</v>
      </c>
      <c r="AZ126" s="697">
        <f t="shared" si="78"/>
        <v>8450.8700000000008</v>
      </c>
      <c r="BA126" s="832"/>
      <c r="BB126" s="663">
        <f t="shared" si="89"/>
        <v>113937.29999999999</v>
      </c>
      <c r="BC126" s="694">
        <f t="shared" si="80"/>
        <v>152702.26</v>
      </c>
      <c r="BD126" s="694">
        <f t="shared" si="81"/>
        <v>0</v>
      </c>
      <c r="BE126" s="663">
        <f t="shared" si="88"/>
        <v>9494.7749999999996</v>
      </c>
      <c r="BG126" s="699">
        <v>8.4099999999999994E-2</v>
      </c>
      <c r="BH126" s="700">
        <v>0.22</v>
      </c>
    </row>
    <row r="127" spans="1:60" ht="30" hidden="1" customHeight="1">
      <c r="A127" s="651" t="s">
        <v>478</v>
      </c>
      <c r="B127" s="655" t="s">
        <v>784</v>
      </c>
      <c r="C127" s="655" t="s">
        <v>809</v>
      </c>
      <c r="D127" s="652">
        <v>3119</v>
      </c>
      <c r="E127" s="735"/>
      <c r="F127" s="735"/>
      <c r="G127" s="652">
        <v>1</v>
      </c>
      <c r="H127" s="735"/>
      <c r="I127" s="735"/>
      <c r="J127" s="768" t="s">
        <v>808</v>
      </c>
      <c r="K127" s="653">
        <v>13312</v>
      </c>
      <c r="L127" s="688">
        <v>13312</v>
      </c>
      <c r="M127" s="735"/>
      <c r="N127" s="688">
        <f t="shared" si="49"/>
        <v>0</v>
      </c>
      <c r="O127" s="735"/>
      <c r="P127" s="687">
        <f t="shared" si="82"/>
        <v>0</v>
      </c>
      <c r="Q127" s="689">
        <f t="shared" si="50"/>
        <v>13312</v>
      </c>
      <c r="R127" s="686">
        <f t="shared" si="51"/>
        <v>13312</v>
      </c>
      <c r="S127" s="736"/>
      <c r="T127" s="736"/>
      <c r="U127" s="671">
        <f t="shared" si="52"/>
        <v>39936</v>
      </c>
      <c r="V127" s="671">
        <f t="shared" si="53"/>
        <v>39936</v>
      </c>
      <c r="W127" s="671">
        <f t="shared" si="54"/>
        <v>0</v>
      </c>
      <c r="X127" s="671">
        <f t="shared" si="55"/>
        <v>39936</v>
      </c>
      <c r="Y127" s="691">
        <f t="shared" si="56"/>
        <v>13312</v>
      </c>
      <c r="Z127" s="691">
        <v>1</v>
      </c>
      <c r="AA127" s="671">
        <f t="shared" si="57"/>
        <v>39936</v>
      </c>
      <c r="AB127" s="671">
        <f t="shared" si="58"/>
        <v>0</v>
      </c>
      <c r="AC127" s="671">
        <f t="shared" si="59"/>
        <v>41533.440000000002</v>
      </c>
      <c r="AD127" s="689">
        <f t="shared" si="60"/>
        <v>13844.48</v>
      </c>
      <c r="AE127" s="691">
        <f t="shared" si="83"/>
        <v>1.04</v>
      </c>
      <c r="AF127" s="671">
        <f t="shared" si="61"/>
        <v>41533.440000000002</v>
      </c>
      <c r="AG127" s="692">
        <f t="shared" si="62"/>
        <v>0</v>
      </c>
      <c r="AH127" s="671">
        <f t="shared" si="63"/>
        <v>42197.98</v>
      </c>
      <c r="AI127" s="691">
        <f t="shared" si="64"/>
        <v>14065.99</v>
      </c>
      <c r="AJ127" s="691">
        <f t="shared" si="84"/>
        <v>1.016</v>
      </c>
      <c r="AK127" s="671">
        <f t="shared" si="65"/>
        <v>42197.98</v>
      </c>
      <c r="AL127" s="671">
        <f t="shared" si="66"/>
        <v>0</v>
      </c>
      <c r="AM127" s="661">
        <v>0.04</v>
      </c>
      <c r="AN127" s="662">
        <f t="shared" si="87"/>
        <v>0.04</v>
      </c>
      <c r="AO127" s="691">
        <f t="shared" si="67"/>
        <v>1597.44</v>
      </c>
      <c r="AP127" s="691">
        <f t="shared" si="68"/>
        <v>1597.44</v>
      </c>
      <c r="AQ127" s="691">
        <f t="shared" si="69"/>
        <v>1661.34</v>
      </c>
      <c r="AR127" s="691">
        <f t="shared" si="70"/>
        <v>1687.92</v>
      </c>
      <c r="AS127" s="671">
        <f t="shared" si="71"/>
        <v>38338.559999999998</v>
      </c>
      <c r="AT127" s="671">
        <f t="shared" si="72"/>
        <v>38338.559999999998</v>
      </c>
      <c r="AU127" s="671">
        <f t="shared" si="73"/>
        <v>39872.100000000006</v>
      </c>
      <c r="AV127" s="671">
        <f t="shared" si="74"/>
        <v>40510.060000000005</v>
      </c>
      <c r="AW127" s="695">
        <f t="shared" si="75"/>
        <v>8568.83</v>
      </c>
      <c r="AX127" s="696">
        <f t="shared" si="76"/>
        <v>8568.83</v>
      </c>
      <c r="AY127" s="696">
        <f t="shared" si="77"/>
        <v>8911.58</v>
      </c>
      <c r="AZ127" s="697">
        <f t="shared" si="78"/>
        <v>9054.17</v>
      </c>
      <c r="BA127" s="832"/>
      <c r="BB127" s="663">
        <f t="shared" si="89"/>
        <v>122071.01999999999</v>
      </c>
      <c r="BC127" s="694">
        <f t="shared" si="80"/>
        <v>163603.42000000001</v>
      </c>
      <c r="BD127" s="694">
        <f t="shared" si="81"/>
        <v>0</v>
      </c>
      <c r="BE127" s="663">
        <f t="shared" si="88"/>
        <v>10172.584999999999</v>
      </c>
      <c r="BG127" s="699">
        <v>8.4099999999999994E-2</v>
      </c>
      <c r="BH127" s="700">
        <v>0.22</v>
      </c>
    </row>
    <row r="128" spans="1:60" ht="30" customHeight="1">
      <c r="A128" s="651" t="s">
        <v>479</v>
      </c>
      <c r="B128" s="655" t="s">
        <v>784</v>
      </c>
      <c r="C128" s="655" t="s">
        <v>805</v>
      </c>
      <c r="D128" s="652">
        <v>4131</v>
      </c>
      <c r="E128" s="735"/>
      <c r="F128" s="735"/>
      <c r="G128" s="652">
        <v>1</v>
      </c>
      <c r="H128" s="735"/>
      <c r="I128" s="735">
        <v>1</v>
      </c>
      <c r="J128" s="768" t="s">
        <v>808</v>
      </c>
      <c r="K128" s="653">
        <v>25958</v>
      </c>
      <c r="L128" s="688">
        <v>25958</v>
      </c>
      <c r="M128" s="735"/>
      <c r="N128" s="688">
        <f t="shared" si="49"/>
        <v>0</v>
      </c>
      <c r="O128" s="735"/>
      <c r="P128" s="687">
        <f t="shared" si="82"/>
        <v>0</v>
      </c>
      <c r="Q128" s="689">
        <f t="shared" si="50"/>
        <v>25958</v>
      </c>
      <c r="R128" s="686">
        <f t="shared" si="51"/>
        <v>25958</v>
      </c>
      <c r="S128" s="736"/>
      <c r="T128" s="736"/>
      <c r="U128" s="671">
        <f t="shared" si="52"/>
        <v>77874</v>
      </c>
      <c r="V128" s="671">
        <f t="shared" si="53"/>
        <v>77874</v>
      </c>
      <c r="W128" s="671">
        <f t="shared" si="54"/>
        <v>0</v>
      </c>
      <c r="X128" s="671">
        <f t="shared" si="55"/>
        <v>77874</v>
      </c>
      <c r="Y128" s="691">
        <f t="shared" si="56"/>
        <v>25958</v>
      </c>
      <c r="Z128" s="691">
        <v>1</v>
      </c>
      <c r="AA128" s="671">
        <f t="shared" si="57"/>
        <v>77874</v>
      </c>
      <c r="AB128" s="671">
        <f t="shared" si="58"/>
        <v>0</v>
      </c>
      <c r="AC128" s="671">
        <f t="shared" si="59"/>
        <v>80988.960000000006</v>
      </c>
      <c r="AD128" s="689">
        <f t="shared" si="60"/>
        <v>26996.32</v>
      </c>
      <c r="AE128" s="691">
        <f t="shared" si="83"/>
        <v>1.04</v>
      </c>
      <c r="AF128" s="671">
        <f t="shared" si="61"/>
        <v>80988.960000000006</v>
      </c>
      <c r="AG128" s="692">
        <f t="shared" si="62"/>
        <v>0</v>
      </c>
      <c r="AH128" s="671">
        <f t="shared" si="63"/>
        <v>82284.78</v>
      </c>
      <c r="AI128" s="691">
        <f t="shared" si="64"/>
        <v>27428.26</v>
      </c>
      <c r="AJ128" s="691">
        <f t="shared" si="84"/>
        <v>1.016</v>
      </c>
      <c r="AK128" s="671">
        <f t="shared" si="65"/>
        <v>82284.78</v>
      </c>
      <c r="AL128" s="671">
        <f t="shared" si="66"/>
        <v>0</v>
      </c>
      <c r="AM128" s="661">
        <v>0.04</v>
      </c>
      <c r="AN128" s="662">
        <f t="shared" si="87"/>
        <v>0.04</v>
      </c>
      <c r="AO128" s="691">
        <f t="shared" si="67"/>
        <v>3114.96</v>
      </c>
      <c r="AP128" s="691">
        <f t="shared" si="68"/>
        <v>3114.96</v>
      </c>
      <c r="AQ128" s="691">
        <f t="shared" si="69"/>
        <v>3239.56</v>
      </c>
      <c r="AR128" s="691">
        <f t="shared" si="70"/>
        <v>3291.39</v>
      </c>
      <c r="AS128" s="671">
        <f t="shared" si="71"/>
        <v>74759.039999999994</v>
      </c>
      <c r="AT128" s="671">
        <f t="shared" si="72"/>
        <v>74759.039999999994</v>
      </c>
      <c r="AU128" s="671">
        <f t="shared" si="73"/>
        <v>77749.400000000009</v>
      </c>
      <c r="AV128" s="671">
        <f t="shared" si="74"/>
        <v>78993.39</v>
      </c>
      <c r="AW128" s="695">
        <f t="shared" si="75"/>
        <v>16708.96</v>
      </c>
      <c r="AX128" s="696">
        <f t="shared" si="76"/>
        <v>16708.96</v>
      </c>
      <c r="AY128" s="696">
        <f t="shared" si="77"/>
        <v>17377.310000000001</v>
      </c>
      <c r="AZ128" s="697">
        <f t="shared" si="78"/>
        <v>17655.349999999999</v>
      </c>
      <c r="BA128" s="832">
        <f>(U128+X128+AC128/120*140+AH128/120*140)/G128*I128</f>
        <v>346234.03</v>
      </c>
      <c r="BB128" s="663">
        <f t="shared" si="89"/>
        <v>238033.82</v>
      </c>
      <c r="BC128" s="694">
        <f t="shared" si="80"/>
        <v>319021.74</v>
      </c>
      <c r="BD128" s="694">
        <f t="shared" si="81"/>
        <v>0</v>
      </c>
      <c r="BE128" s="663">
        <f t="shared" si="88"/>
        <v>19836.151666666668</v>
      </c>
      <c r="BG128" s="699">
        <v>8.4099999999999994E-2</v>
      </c>
      <c r="BH128" s="700">
        <v>0.22</v>
      </c>
    </row>
    <row r="129" spans="1:60" ht="30" hidden="1" customHeight="1">
      <c r="A129" s="651" t="s">
        <v>480</v>
      </c>
      <c r="B129" s="655" t="s">
        <v>784</v>
      </c>
      <c r="C129" s="655" t="s">
        <v>810</v>
      </c>
      <c r="D129" s="652" t="s">
        <v>803</v>
      </c>
      <c r="E129" s="735"/>
      <c r="F129" s="735"/>
      <c r="G129" s="652">
        <v>1</v>
      </c>
      <c r="H129" s="735"/>
      <c r="I129" s="735"/>
      <c r="J129" s="768" t="s">
        <v>808</v>
      </c>
      <c r="K129" s="653">
        <v>13312</v>
      </c>
      <c r="L129" s="688">
        <v>13312</v>
      </c>
      <c r="M129" s="735"/>
      <c r="N129" s="688">
        <f t="shared" si="49"/>
        <v>0</v>
      </c>
      <c r="O129" s="735"/>
      <c r="P129" s="687">
        <f t="shared" si="82"/>
        <v>0</v>
      </c>
      <c r="Q129" s="689">
        <f t="shared" si="50"/>
        <v>13312</v>
      </c>
      <c r="R129" s="686">
        <f t="shared" si="51"/>
        <v>13312</v>
      </c>
      <c r="S129" s="736"/>
      <c r="T129" s="736"/>
      <c r="U129" s="671">
        <f t="shared" si="52"/>
        <v>39936</v>
      </c>
      <c r="V129" s="671">
        <f t="shared" si="53"/>
        <v>39936</v>
      </c>
      <c r="W129" s="671">
        <f t="shared" si="54"/>
        <v>0</v>
      </c>
      <c r="X129" s="671">
        <f t="shared" si="55"/>
        <v>39936</v>
      </c>
      <c r="Y129" s="691">
        <f t="shared" si="56"/>
        <v>13312</v>
      </c>
      <c r="Z129" s="691">
        <v>1</v>
      </c>
      <c r="AA129" s="671">
        <f t="shared" si="57"/>
        <v>39936</v>
      </c>
      <c r="AB129" s="671">
        <f t="shared" si="58"/>
        <v>0</v>
      </c>
      <c r="AC129" s="671">
        <f t="shared" si="59"/>
        <v>41533.440000000002</v>
      </c>
      <c r="AD129" s="689">
        <f t="shared" si="60"/>
        <v>13844.48</v>
      </c>
      <c r="AE129" s="691">
        <f t="shared" si="83"/>
        <v>1.04</v>
      </c>
      <c r="AF129" s="671">
        <f t="shared" si="61"/>
        <v>41533.440000000002</v>
      </c>
      <c r="AG129" s="692">
        <f t="shared" si="62"/>
        <v>0</v>
      </c>
      <c r="AH129" s="671">
        <f t="shared" si="63"/>
        <v>42197.98</v>
      </c>
      <c r="AI129" s="691">
        <f t="shared" si="64"/>
        <v>14065.99</v>
      </c>
      <c r="AJ129" s="691">
        <f t="shared" si="84"/>
        <v>1.016</v>
      </c>
      <c r="AK129" s="671">
        <f t="shared" si="65"/>
        <v>42197.98</v>
      </c>
      <c r="AL129" s="671">
        <f t="shared" si="66"/>
        <v>0</v>
      </c>
      <c r="AM129" s="661">
        <v>0.04</v>
      </c>
      <c r="AN129" s="662">
        <f t="shared" si="87"/>
        <v>0.04</v>
      </c>
      <c r="AO129" s="691">
        <f t="shared" si="67"/>
        <v>1597.44</v>
      </c>
      <c r="AP129" s="691">
        <f t="shared" si="68"/>
        <v>1597.44</v>
      </c>
      <c r="AQ129" s="691">
        <f t="shared" si="69"/>
        <v>1661.34</v>
      </c>
      <c r="AR129" s="691">
        <f t="shared" si="70"/>
        <v>1687.92</v>
      </c>
      <c r="AS129" s="671">
        <f t="shared" si="71"/>
        <v>38338.559999999998</v>
      </c>
      <c r="AT129" s="671">
        <f t="shared" si="72"/>
        <v>38338.559999999998</v>
      </c>
      <c r="AU129" s="671">
        <f t="shared" si="73"/>
        <v>39872.100000000006</v>
      </c>
      <c r="AV129" s="671">
        <f t="shared" si="74"/>
        <v>40510.060000000005</v>
      </c>
      <c r="AW129" s="695">
        <f t="shared" si="75"/>
        <v>8568.83</v>
      </c>
      <c r="AX129" s="696">
        <f t="shared" si="76"/>
        <v>8568.83</v>
      </c>
      <c r="AY129" s="696">
        <f t="shared" si="77"/>
        <v>8911.58</v>
      </c>
      <c r="AZ129" s="697">
        <f t="shared" si="78"/>
        <v>9054.17</v>
      </c>
      <c r="BA129" s="832"/>
      <c r="BB129" s="663">
        <f t="shared" si="89"/>
        <v>122071.01999999999</v>
      </c>
      <c r="BC129" s="694">
        <f t="shared" si="80"/>
        <v>163603.42000000001</v>
      </c>
      <c r="BD129" s="694">
        <f t="shared" si="81"/>
        <v>0</v>
      </c>
      <c r="BE129" s="663">
        <f t="shared" si="88"/>
        <v>10172.584999999999</v>
      </c>
      <c r="BG129" s="699">
        <v>8.4099999999999994E-2</v>
      </c>
      <c r="BH129" s="700">
        <v>0.22</v>
      </c>
    </row>
    <row r="130" spans="1:60" ht="21" hidden="1" customHeight="1">
      <c r="A130" s="651" t="s">
        <v>477</v>
      </c>
      <c r="B130" s="655" t="s">
        <v>783</v>
      </c>
      <c r="C130" s="655" t="s">
        <v>797</v>
      </c>
      <c r="D130" s="652" t="s">
        <v>807</v>
      </c>
      <c r="E130" s="735"/>
      <c r="F130" s="735"/>
      <c r="G130" s="652">
        <v>1</v>
      </c>
      <c r="H130" s="735"/>
      <c r="I130" s="735"/>
      <c r="J130" s="768" t="s">
        <v>811</v>
      </c>
      <c r="K130" s="737">
        <f>R130</f>
        <v>17486</v>
      </c>
      <c r="L130" s="688">
        <v>17486</v>
      </c>
      <c r="M130" s="735"/>
      <c r="N130" s="688">
        <f t="shared" si="49"/>
        <v>0</v>
      </c>
      <c r="O130" s="735"/>
      <c r="P130" s="687">
        <f t="shared" si="82"/>
        <v>0</v>
      </c>
      <c r="Q130" s="689">
        <f t="shared" si="50"/>
        <v>17486</v>
      </c>
      <c r="R130" s="686">
        <f t="shared" si="51"/>
        <v>17486</v>
      </c>
      <c r="S130" s="736"/>
      <c r="T130" s="736"/>
      <c r="U130" s="671">
        <f t="shared" si="52"/>
        <v>52458</v>
      </c>
      <c r="V130" s="671">
        <f t="shared" si="53"/>
        <v>52458</v>
      </c>
      <c r="W130" s="671">
        <f t="shared" si="54"/>
        <v>0</v>
      </c>
      <c r="X130" s="671">
        <f t="shared" si="55"/>
        <v>52458</v>
      </c>
      <c r="Y130" s="691">
        <f t="shared" si="56"/>
        <v>17486</v>
      </c>
      <c r="Z130" s="691">
        <v>1</v>
      </c>
      <c r="AA130" s="671">
        <f t="shared" si="57"/>
        <v>52458</v>
      </c>
      <c r="AB130" s="671">
        <f t="shared" si="58"/>
        <v>0</v>
      </c>
      <c r="AC130" s="671">
        <f t="shared" si="59"/>
        <v>54556.32</v>
      </c>
      <c r="AD130" s="689">
        <f t="shared" si="60"/>
        <v>18185.439999999999</v>
      </c>
      <c r="AE130" s="691">
        <f t="shared" si="83"/>
        <v>1.04</v>
      </c>
      <c r="AF130" s="671">
        <f t="shared" si="61"/>
        <v>54556.32</v>
      </c>
      <c r="AG130" s="692">
        <f t="shared" si="62"/>
        <v>0</v>
      </c>
      <c r="AH130" s="671">
        <f t="shared" si="63"/>
        <v>55429.22</v>
      </c>
      <c r="AI130" s="691">
        <f t="shared" si="64"/>
        <v>18476.41</v>
      </c>
      <c r="AJ130" s="691">
        <f t="shared" si="84"/>
        <v>1.016</v>
      </c>
      <c r="AK130" s="671">
        <f t="shared" si="65"/>
        <v>55429.22</v>
      </c>
      <c r="AL130" s="671">
        <f t="shared" si="66"/>
        <v>0</v>
      </c>
      <c r="AM130" s="661">
        <v>0.04</v>
      </c>
      <c r="AN130" s="662">
        <f t="shared" si="87"/>
        <v>0.04</v>
      </c>
      <c r="AO130" s="691">
        <f t="shared" si="67"/>
        <v>2098.3200000000002</v>
      </c>
      <c r="AP130" s="691">
        <f t="shared" si="68"/>
        <v>2098.3200000000002</v>
      </c>
      <c r="AQ130" s="691">
        <f t="shared" si="69"/>
        <v>2182.25</v>
      </c>
      <c r="AR130" s="691">
        <f t="shared" si="70"/>
        <v>2217.17</v>
      </c>
      <c r="AS130" s="671">
        <f t="shared" si="71"/>
        <v>50359.68</v>
      </c>
      <c r="AT130" s="671">
        <f t="shared" si="72"/>
        <v>50359.68</v>
      </c>
      <c r="AU130" s="671">
        <f t="shared" si="73"/>
        <v>52374.07</v>
      </c>
      <c r="AV130" s="671">
        <f t="shared" si="74"/>
        <v>53212.05</v>
      </c>
      <c r="AW130" s="695">
        <f t="shared" si="75"/>
        <v>11255.6</v>
      </c>
      <c r="AX130" s="696">
        <f t="shared" si="76"/>
        <v>11255.6</v>
      </c>
      <c r="AY130" s="696">
        <f t="shared" si="77"/>
        <v>11705.82</v>
      </c>
      <c r="AZ130" s="697">
        <f t="shared" si="78"/>
        <v>11893.11</v>
      </c>
      <c r="BA130" s="832"/>
      <c r="BB130" s="663">
        <f t="shared" si="89"/>
        <v>160346.26</v>
      </c>
      <c r="BC130" s="694">
        <f t="shared" si="80"/>
        <v>214901.54</v>
      </c>
      <c r="BD130" s="694">
        <f t="shared" si="81"/>
        <v>0</v>
      </c>
      <c r="BE130" s="663">
        <f t="shared" si="88"/>
        <v>13362.188333333334</v>
      </c>
      <c r="BG130" s="699">
        <v>8.4099999999999994E-2</v>
      </c>
      <c r="BH130" s="700">
        <v>0.22</v>
      </c>
    </row>
    <row r="131" spans="1:60" ht="48" hidden="1" customHeight="1">
      <c r="A131" s="651" t="s">
        <v>812</v>
      </c>
      <c r="B131" s="655" t="s">
        <v>783</v>
      </c>
      <c r="C131" s="655" t="s">
        <v>810</v>
      </c>
      <c r="D131" s="652" t="s">
        <v>813</v>
      </c>
      <c r="E131" s="735"/>
      <c r="F131" s="735"/>
      <c r="G131" s="652">
        <v>1</v>
      </c>
      <c r="H131" s="735"/>
      <c r="I131" s="735"/>
      <c r="J131" s="768" t="s">
        <v>811</v>
      </c>
      <c r="K131" s="737">
        <f>R131</f>
        <v>10206</v>
      </c>
      <c r="L131" s="688">
        <v>10206</v>
      </c>
      <c r="M131" s="735"/>
      <c r="N131" s="688">
        <f t="shared" si="49"/>
        <v>0</v>
      </c>
      <c r="O131" s="735"/>
      <c r="P131" s="687">
        <f t="shared" si="82"/>
        <v>0</v>
      </c>
      <c r="Q131" s="689">
        <f t="shared" si="50"/>
        <v>10206</v>
      </c>
      <c r="R131" s="686">
        <f t="shared" si="51"/>
        <v>10206</v>
      </c>
      <c r="S131" s="736"/>
      <c r="T131" s="736"/>
      <c r="U131" s="671">
        <f t="shared" si="52"/>
        <v>30618</v>
      </c>
      <c r="V131" s="671">
        <f t="shared" si="53"/>
        <v>30618</v>
      </c>
      <c r="W131" s="671">
        <f t="shared" si="54"/>
        <v>0</v>
      </c>
      <c r="X131" s="671">
        <f t="shared" si="55"/>
        <v>30618</v>
      </c>
      <c r="Y131" s="691">
        <f t="shared" si="56"/>
        <v>10206</v>
      </c>
      <c r="Z131" s="691">
        <v>1</v>
      </c>
      <c r="AA131" s="671">
        <f t="shared" si="57"/>
        <v>30618</v>
      </c>
      <c r="AB131" s="671">
        <f t="shared" si="58"/>
        <v>0</v>
      </c>
      <c r="AC131" s="671">
        <f t="shared" si="59"/>
        <v>31842.720000000001</v>
      </c>
      <c r="AD131" s="689">
        <f t="shared" si="60"/>
        <v>10614.24</v>
      </c>
      <c r="AE131" s="691">
        <f t="shared" si="83"/>
        <v>1.04</v>
      </c>
      <c r="AF131" s="671">
        <f t="shared" si="61"/>
        <v>31842.720000000001</v>
      </c>
      <c r="AG131" s="692">
        <f t="shared" si="62"/>
        <v>0</v>
      </c>
      <c r="AH131" s="671">
        <f t="shared" si="63"/>
        <v>32352.2</v>
      </c>
      <c r="AI131" s="691">
        <f t="shared" si="64"/>
        <v>10784.07</v>
      </c>
      <c r="AJ131" s="691">
        <f t="shared" si="84"/>
        <v>1.016</v>
      </c>
      <c r="AK131" s="671">
        <f t="shared" si="65"/>
        <v>32352.2</v>
      </c>
      <c r="AL131" s="671">
        <f t="shared" si="66"/>
        <v>0</v>
      </c>
      <c r="AM131" s="661">
        <v>0.04</v>
      </c>
      <c r="AN131" s="662">
        <f t="shared" si="87"/>
        <v>0.04</v>
      </c>
      <c r="AO131" s="691">
        <f t="shared" si="67"/>
        <v>1224.72</v>
      </c>
      <c r="AP131" s="691">
        <f t="shared" si="68"/>
        <v>1224.72</v>
      </c>
      <c r="AQ131" s="691">
        <f t="shared" si="69"/>
        <v>1273.71</v>
      </c>
      <c r="AR131" s="691">
        <f t="shared" si="70"/>
        <v>1294.0899999999999</v>
      </c>
      <c r="AS131" s="671">
        <f t="shared" si="71"/>
        <v>29393.279999999999</v>
      </c>
      <c r="AT131" s="671">
        <f t="shared" si="72"/>
        <v>29393.279999999999</v>
      </c>
      <c r="AU131" s="671">
        <f t="shared" si="73"/>
        <v>30569.010000000002</v>
      </c>
      <c r="AV131" s="671">
        <f t="shared" si="74"/>
        <v>31058.11</v>
      </c>
      <c r="AW131" s="695">
        <f t="shared" si="75"/>
        <v>6569.52</v>
      </c>
      <c r="AX131" s="696">
        <f t="shared" si="76"/>
        <v>6569.52</v>
      </c>
      <c r="AY131" s="696">
        <f t="shared" si="77"/>
        <v>6832.3</v>
      </c>
      <c r="AZ131" s="697">
        <f t="shared" si="78"/>
        <v>6941.62</v>
      </c>
      <c r="BA131" s="832"/>
      <c r="BB131" s="663">
        <f t="shared" si="89"/>
        <v>93589.24</v>
      </c>
      <c r="BC131" s="694">
        <f t="shared" si="80"/>
        <v>125430.92</v>
      </c>
      <c r="BD131" s="694">
        <f t="shared" si="81"/>
        <v>0</v>
      </c>
      <c r="BE131" s="663">
        <f t="shared" si="88"/>
        <v>7799.1033333333335</v>
      </c>
      <c r="BG131" s="699">
        <v>8.4099999999999994E-2</v>
      </c>
      <c r="BH131" s="700">
        <v>0.22</v>
      </c>
    </row>
    <row r="132" spans="1:60" ht="30" hidden="1" customHeight="1">
      <c r="A132" s="651" t="s">
        <v>477</v>
      </c>
      <c r="B132" s="655" t="s">
        <v>784</v>
      </c>
      <c r="C132" s="655" t="s">
        <v>797</v>
      </c>
      <c r="D132" s="652" t="s">
        <v>814</v>
      </c>
      <c r="E132" s="735"/>
      <c r="F132" s="735"/>
      <c r="G132" s="652">
        <v>1</v>
      </c>
      <c r="H132" s="735"/>
      <c r="I132" s="735"/>
      <c r="J132" s="702" t="s">
        <v>483</v>
      </c>
      <c r="K132" s="682">
        <f>R132</f>
        <v>13312</v>
      </c>
      <c r="L132" s="688">
        <v>13312</v>
      </c>
      <c r="M132" s="735"/>
      <c r="N132" s="688">
        <f t="shared" si="49"/>
        <v>0</v>
      </c>
      <c r="O132" s="735"/>
      <c r="P132" s="687">
        <f t="shared" si="82"/>
        <v>0</v>
      </c>
      <c r="Q132" s="689">
        <f t="shared" si="50"/>
        <v>13312</v>
      </c>
      <c r="R132" s="686">
        <f t="shared" si="51"/>
        <v>13312</v>
      </c>
      <c r="S132" s="736"/>
      <c r="T132" s="736"/>
      <c r="U132" s="671">
        <f t="shared" si="52"/>
        <v>39936</v>
      </c>
      <c r="V132" s="671">
        <f t="shared" si="53"/>
        <v>39936</v>
      </c>
      <c r="W132" s="671">
        <f t="shared" si="54"/>
        <v>0</v>
      </c>
      <c r="X132" s="671">
        <f t="shared" si="55"/>
        <v>39936</v>
      </c>
      <c r="Y132" s="691">
        <f t="shared" si="56"/>
        <v>13312</v>
      </c>
      <c r="Z132" s="691">
        <v>1</v>
      </c>
      <c r="AA132" s="671">
        <f t="shared" si="57"/>
        <v>39936</v>
      </c>
      <c r="AB132" s="671">
        <f t="shared" si="58"/>
        <v>0</v>
      </c>
      <c r="AC132" s="671">
        <f t="shared" si="59"/>
        <v>41533.440000000002</v>
      </c>
      <c r="AD132" s="689">
        <f t="shared" si="60"/>
        <v>13844.48</v>
      </c>
      <c r="AE132" s="691">
        <f t="shared" si="83"/>
        <v>1.04</v>
      </c>
      <c r="AF132" s="671">
        <f t="shared" si="61"/>
        <v>41533.440000000002</v>
      </c>
      <c r="AG132" s="692">
        <f t="shared" si="62"/>
        <v>0</v>
      </c>
      <c r="AH132" s="671">
        <f t="shared" si="63"/>
        <v>42197.98</v>
      </c>
      <c r="AI132" s="691">
        <f t="shared" si="64"/>
        <v>14065.99</v>
      </c>
      <c r="AJ132" s="691">
        <f t="shared" si="84"/>
        <v>1.016</v>
      </c>
      <c r="AK132" s="671">
        <f t="shared" si="65"/>
        <v>42197.98</v>
      </c>
      <c r="AL132" s="671">
        <f t="shared" si="66"/>
        <v>0</v>
      </c>
      <c r="AM132" s="661">
        <v>0.04</v>
      </c>
      <c r="AN132" s="662">
        <f t="shared" ref="AN132:AN163" si="91">G132*AM132</f>
        <v>0.04</v>
      </c>
      <c r="AO132" s="691">
        <f t="shared" si="67"/>
        <v>1597.44</v>
      </c>
      <c r="AP132" s="691">
        <f t="shared" si="68"/>
        <v>1597.44</v>
      </c>
      <c r="AQ132" s="691">
        <f t="shared" si="69"/>
        <v>1661.34</v>
      </c>
      <c r="AR132" s="691">
        <f t="shared" si="70"/>
        <v>1687.92</v>
      </c>
      <c r="AS132" s="671">
        <f t="shared" si="71"/>
        <v>38338.559999999998</v>
      </c>
      <c r="AT132" s="671">
        <f t="shared" si="72"/>
        <v>38338.559999999998</v>
      </c>
      <c r="AU132" s="671">
        <f t="shared" si="73"/>
        <v>39872.100000000006</v>
      </c>
      <c r="AV132" s="671">
        <f t="shared" si="74"/>
        <v>40510.060000000005</v>
      </c>
      <c r="AW132" s="695">
        <f t="shared" si="75"/>
        <v>8568.83</v>
      </c>
      <c r="AX132" s="696">
        <f t="shared" si="76"/>
        <v>8568.83</v>
      </c>
      <c r="AY132" s="696">
        <f t="shared" si="77"/>
        <v>8911.58</v>
      </c>
      <c r="AZ132" s="697">
        <f t="shared" si="78"/>
        <v>9054.17</v>
      </c>
      <c r="BA132" s="832"/>
      <c r="BB132" s="663">
        <f t="shared" si="89"/>
        <v>122071.01999999999</v>
      </c>
      <c r="BC132" s="694">
        <f t="shared" si="80"/>
        <v>163603.42000000001</v>
      </c>
      <c r="BD132" s="694">
        <f t="shared" si="81"/>
        <v>0</v>
      </c>
      <c r="BE132" s="663">
        <f t="shared" ref="BE132:BE163" si="92">BB132/12/G132</f>
        <v>10172.584999999999</v>
      </c>
      <c r="BG132" s="699">
        <v>8.4099999999999994E-2</v>
      </c>
      <c r="BH132" s="700">
        <v>0.22</v>
      </c>
    </row>
    <row r="133" spans="1:60" ht="30" hidden="1" customHeight="1">
      <c r="A133" s="651" t="s">
        <v>484</v>
      </c>
      <c r="B133" s="655" t="s">
        <v>784</v>
      </c>
      <c r="C133" s="655" t="s">
        <v>810</v>
      </c>
      <c r="D133" s="652" t="s">
        <v>803</v>
      </c>
      <c r="E133" s="735"/>
      <c r="F133" s="735"/>
      <c r="G133" s="652">
        <v>1</v>
      </c>
      <c r="H133" s="735"/>
      <c r="I133" s="735"/>
      <c r="J133" s="702" t="s">
        <v>483</v>
      </c>
      <c r="K133" s="653">
        <v>20869</v>
      </c>
      <c r="L133" s="688">
        <v>20869</v>
      </c>
      <c r="M133" s="735"/>
      <c r="N133" s="688">
        <f t="shared" ref="N133:N171" si="93">ROUND(L133*M133/100,2)</f>
        <v>0</v>
      </c>
      <c r="O133" s="735"/>
      <c r="P133" s="687">
        <f t="shared" si="82"/>
        <v>0</v>
      </c>
      <c r="Q133" s="689">
        <f t="shared" ref="Q133:Q171" si="94">ROUND(L133+N133+P133,2)</f>
        <v>20869</v>
      </c>
      <c r="R133" s="686">
        <f t="shared" ref="R133:R171" si="95">ROUND(G133*Q133,2)</f>
        <v>20869</v>
      </c>
      <c r="S133" s="736"/>
      <c r="T133" s="736"/>
      <c r="U133" s="671">
        <f t="shared" ref="U133:U171" si="96">ROUND(V133+W133,2)</f>
        <v>62607</v>
      </c>
      <c r="V133" s="671">
        <f t="shared" ref="V133:V171" si="97">ROUND(G133*L133*3,2)</f>
        <v>62607</v>
      </c>
      <c r="W133" s="671">
        <f t="shared" ref="W133:W171" si="98">ROUND(G133*3*(N133+P133),2)</f>
        <v>0</v>
      </c>
      <c r="X133" s="671">
        <f t="shared" ref="X133:X171" si="99">AA133+AB133</f>
        <v>62607</v>
      </c>
      <c r="Y133" s="691">
        <f t="shared" ref="Y133:Y171" si="100">L133*Z133</f>
        <v>20869</v>
      </c>
      <c r="Z133" s="691">
        <v>1</v>
      </c>
      <c r="AA133" s="671">
        <f t="shared" ref="AA133:AA171" si="101">V133*Z133</f>
        <v>62607</v>
      </c>
      <c r="AB133" s="671">
        <f t="shared" ref="AB133:AB171" si="102">W133*Z133</f>
        <v>0</v>
      </c>
      <c r="AC133" s="671">
        <f t="shared" ref="AC133:AC171" si="103">ROUND(AF133+AG133,2)</f>
        <v>65111.28</v>
      </c>
      <c r="AD133" s="689">
        <f t="shared" ref="AD133:AD171" si="104">ROUND(Y133*AE133,2)</f>
        <v>21703.759999999998</v>
      </c>
      <c r="AE133" s="691">
        <f t="shared" si="83"/>
        <v>1.04</v>
      </c>
      <c r="AF133" s="671">
        <f t="shared" ref="AF133:AF171" si="105">ROUND(AA133*AE133,2)</f>
        <v>65111.28</v>
      </c>
      <c r="AG133" s="692">
        <f t="shared" ref="AG133:AG171" si="106">ROUND(AB133*AE133,2)</f>
        <v>0</v>
      </c>
      <c r="AH133" s="671">
        <f t="shared" ref="AH133:AH171" si="107">ROUND(AK133+AL133,2)</f>
        <v>66153.06</v>
      </c>
      <c r="AI133" s="691">
        <f t="shared" ref="AI133:AI171" si="108">ROUND(AD133*AJ133,2)</f>
        <v>22051.02</v>
      </c>
      <c r="AJ133" s="691">
        <f t="shared" si="84"/>
        <v>1.016</v>
      </c>
      <c r="AK133" s="671">
        <f t="shared" ref="AK133:AK171" si="109">ROUND(AJ133*AF133,2)</f>
        <v>66153.06</v>
      </c>
      <c r="AL133" s="671">
        <f t="shared" ref="AL133:AL171" si="110">ROUND(AJ133*AG133,2)</f>
        <v>0</v>
      </c>
      <c r="AM133" s="661">
        <v>0.04</v>
      </c>
      <c r="AN133" s="662">
        <f t="shared" si="91"/>
        <v>0.04</v>
      </c>
      <c r="AO133" s="691">
        <f t="shared" ref="AO133:AO171" si="111">ROUND(U133/G133*AN133,2)</f>
        <v>2504.2800000000002</v>
      </c>
      <c r="AP133" s="691">
        <f t="shared" ref="AP133:AP171" si="112">ROUND(X133/G133*AN133,2)</f>
        <v>2504.2800000000002</v>
      </c>
      <c r="AQ133" s="691">
        <f t="shared" ref="AQ133:AQ171" si="113">ROUND(AC133/G133*AN133,2)</f>
        <v>2604.4499999999998</v>
      </c>
      <c r="AR133" s="691">
        <f t="shared" ref="AR133:AR171" si="114">ROUND(AH133/G133*AN133,2)</f>
        <v>2646.12</v>
      </c>
      <c r="AS133" s="671">
        <f t="shared" ref="AS133:AS171" si="115">U133-AO133</f>
        <v>60102.720000000001</v>
      </c>
      <c r="AT133" s="671">
        <f t="shared" ref="AT133:AT171" si="116">X133-AP133</f>
        <v>60102.720000000001</v>
      </c>
      <c r="AU133" s="671">
        <f t="shared" ref="AU133:AU171" si="117">AC133-AQ133</f>
        <v>62506.83</v>
      </c>
      <c r="AV133" s="671">
        <f t="shared" ref="AV133:AV171" si="118">AH133-AR133</f>
        <v>63506.939999999995</v>
      </c>
      <c r="AW133" s="695">
        <f t="shared" ref="AW133:AW171" si="119">ROUND(AO133*BG133+AS133*BH133,2)</f>
        <v>13433.21</v>
      </c>
      <c r="AX133" s="696">
        <f t="shared" ref="AX133:AX171" si="120">ROUND(AP133*BG133+AT133*BH133,2)</f>
        <v>13433.21</v>
      </c>
      <c r="AY133" s="696">
        <f t="shared" ref="AY133:AY171" si="121">ROUND(AQ133*BG133+AU133*BH133,2)</f>
        <v>13970.54</v>
      </c>
      <c r="AZ133" s="697">
        <f t="shared" ref="AZ133:AZ171" si="122">ROUND(AR133*BG133+AV133*BH133,2)</f>
        <v>14194.07</v>
      </c>
      <c r="BA133" s="832"/>
      <c r="BB133" s="663">
        <f t="shared" ref="BB133:BB164" si="123">U133+X133+AE133+AH133</f>
        <v>191368.09999999998</v>
      </c>
      <c r="BC133" s="694">
        <f t="shared" ref="BC133:BC171" si="124">ROUND(V133+AF133+AK133+AA133,2)</f>
        <v>256478.34</v>
      </c>
      <c r="BD133" s="694">
        <f t="shared" ref="BD133:BD171" si="125">ROUND(W133+AG133+AL133+AB133,2)</f>
        <v>0</v>
      </c>
      <c r="BE133" s="663">
        <f t="shared" si="92"/>
        <v>15947.341666666665</v>
      </c>
      <c r="BG133" s="699">
        <v>8.4099999999999994E-2</v>
      </c>
      <c r="BH133" s="700">
        <v>0.22</v>
      </c>
    </row>
    <row r="134" spans="1:60" ht="30" customHeight="1">
      <c r="A134" s="651" t="s">
        <v>515</v>
      </c>
      <c r="B134" s="655" t="s">
        <v>784</v>
      </c>
      <c r="C134" s="655" t="s">
        <v>802</v>
      </c>
      <c r="D134" s="652" t="s">
        <v>803</v>
      </c>
      <c r="E134" s="735"/>
      <c r="F134" s="735"/>
      <c r="G134" s="652">
        <v>2</v>
      </c>
      <c r="H134" s="735"/>
      <c r="I134" s="735">
        <v>2</v>
      </c>
      <c r="J134" s="702" t="s">
        <v>483</v>
      </c>
      <c r="K134" s="653">
        <v>20869</v>
      </c>
      <c r="L134" s="688">
        <f>20869/G134</f>
        <v>10434.5</v>
      </c>
      <c r="M134" s="735"/>
      <c r="N134" s="688">
        <f t="shared" si="93"/>
        <v>0</v>
      </c>
      <c r="O134" s="735"/>
      <c r="P134" s="687">
        <f t="shared" ref="P134:P171" si="126">ROUND(L134*O134/100,2)</f>
        <v>0</v>
      </c>
      <c r="Q134" s="689">
        <f t="shared" si="94"/>
        <v>10434.5</v>
      </c>
      <c r="R134" s="686">
        <f t="shared" si="95"/>
        <v>20869</v>
      </c>
      <c r="S134" s="736"/>
      <c r="T134" s="736"/>
      <c r="U134" s="671">
        <f t="shared" si="96"/>
        <v>62607</v>
      </c>
      <c r="V134" s="671">
        <f t="shared" si="97"/>
        <v>62607</v>
      </c>
      <c r="W134" s="671">
        <f t="shared" si="98"/>
        <v>0</v>
      </c>
      <c r="X134" s="671">
        <f t="shared" si="99"/>
        <v>62607</v>
      </c>
      <c r="Y134" s="691">
        <f t="shared" si="100"/>
        <v>10434.5</v>
      </c>
      <c r="Z134" s="691">
        <v>1</v>
      </c>
      <c r="AA134" s="671">
        <f t="shared" si="101"/>
        <v>62607</v>
      </c>
      <c r="AB134" s="671">
        <f t="shared" si="102"/>
        <v>0</v>
      </c>
      <c r="AC134" s="671">
        <f t="shared" si="103"/>
        <v>65111.28</v>
      </c>
      <c r="AD134" s="689">
        <f t="shared" si="104"/>
        <v>10851.88</v>
      </c>
      <c r="AE134" s="691">
        <f t="shared" ref="AE134:AE171" si="127">AE133</f>
        <v>1.04</v>
      </c>
      <c r="AF134" s="671">
        <f t="shared" si="105"/>
        <v>65111.28</v>
      </c>
      <c r="AG134" s="692">
        <f t="shared" si="106"/>
        <v>0</v>
      </c>
      <c r="AH134" s="671">
        <f t="shared" si="107"/>
        <v>66153.06</v>
      </c>
      <c r="AI134" s="691">
        <f t="shared" si="108"/>
        <v>11025.51</v>
      </c>
      <c r="AJ134" s="691">
        <f t="shared" ref="AJ134:AJ171" si="128">AJ133</f>
        <v>1.016</v>
      </c>
      <c r="AK134" s="671">
        <f t="shared" si="109"/>
        <v>66153.06</v>
      </c>
      <c r="AL134" s="671">
        <f t="shared" si="110"/>
        <v>0</v>
      </c>
      <c r="AM134" s="661">
        <v>0.04</v>
      </c>
      <c r="AN134" s="662">
        <f t="shared" si="91"/>
        <v>0.08</v>
      </c>
      <c r="AO134" s="691">
        <f t="shared" si="111"/>
        <v>2504.2800000000002</v>
      </c>
      <c r="AP134" s="691">
        <f t="shared" si="112"/>
        <v>2504.2800000000002</v>
      </c>
      <c r="AQ134" s="691">
        <f t="shared" si="113"/>
        <v>2604.4499999999998</v>
      </c>
      <c r="AR134" s="691">
        <f t="shared" si="114"/>
        <v>2646.12</v>
      </c>
      <c r="AS134" s="671">
        <f t="shared" si="115"/>
        <v>60102.720000000001</v>
      </c>
      <c r="AT134" s="671">
        <f t="shared" si="116"/>
        <v>60102.720000000001</v>
      </c>
      <c r="AU134" s="671">
        <f t="shared" si="117"/>
        <v>62506.83</v>
      </c>
      <c r="AV134" s="671">
        <f t="shared" si="118"/>
        <v>63506.939999999995</v>
      </c>
      <c r="AW134" s="695">
        <f t="shared" si="119"/>
        <v>13433.21</v>
      </c>
      <c r="AX134" s="696">
        <f t="shared" si="120"/>
        <v>13433.21</v>
      </c>
      <c r="AY134" s="696">
        <f t="shared" si="121"/>
        <v>13970.54</v>
      </c>
      <c r="AZ134" s="697">
        <f t="shared" si="122"/>
        <v>14194.07</v>
      </c>
      <c r="BA134" s="832"/>
      <c r="BB134" s="663">
        <f t="shared" si="123"/>
        <v>191368.09999999998</v>
      </c>
      <c r="BC134" s="694">
        <f t="shared" si="124"/>
        <v>256478.34</v>
      </c>
      <c r="BD134" s="694">
        <f t="shared" si="125"/>
        <v>0</v>
      </c>
      <c r="BE134" s="663">
        <f t="shared" si="92"/>
        <v>7973.6708333333327</v>
      </c>
      <c r="BG134" s="699">
        <v>8.4099999999999994E-2</v>
      </c>
      <c r="BH134" s="700">
        <v>0.22</v>
      </c>
    </row>
    <row r="135" spans="1:60" ht="30" hidden="1" customHeight="1">
      <c r="A135" s="651" t="s">
        <v>815</v>
      </c>
      <c r="B135" s="655" t="s">
        <v>784</v>
      </c>
      <c r="C135" s="655" t="s">
        <v>802</v>
      </c>
      <c r="D135" s="652" t="s">
        <v>803</v>
      </c>
      <c r="E135" s="735"/>
      <c r="F135" s="735"/>
      <c r="G135" s="652">
        <v>1</v>
      </c>
      <c r="H135" s="735"/>
      <c r="I135" s="735"/>
      <c r="J135" s="702" t="s">
        <v>483</v>
      </c>
      <c r="K135" s="653">
        <v>20869</v>
      </c>
      <c r="L135" s="688">
        <f>L134</f>
        <v>10434.5</v>
      </c>
      <c r="M135" s="735"/>
      <c r="N135" s="688">
        <f t="shared" si="93"/>
        <v>0</v>
      </c>
      <c r="O135" s="735"/>
      <c r="P135" s="687">
        <f t="shared" si="126"/>
        <v>0</v>
      </c>
      <c r="Q135" s="689">
        <f t="shared" si="94"/>
        <v>10434.5</v>
      </c>
      <c r="R135" s="686">
        <f t="shared" si="95"/>
        <v>10434.5</v>
      </c>
      <c r="S135" s="736"/>
      <c r="T135" s="736"/>
      <c r="U135" s="671">
        <f t="shared" si="96"/>
        <v>31303.5</v>
      </c>
      <c r="V135" s="671">
        <f t="shared" si="97"/>
        <v>31303.5</v>
      </c>
      <c r="W135" s="671">
        <f t="shared" si="98"/>
        <v>0</v>
      </c>
      <c r="X135" s="671">
        <f t="shared" si="99"/>
        <v>31303.5</v>
      </c>
      <c r="Y135" s="691">
        <f t="shared" si="100"/>
        <v>10434.5</v>
      </c>
      <c r="Z135" s="691">
        <v>1</v>
      </c>
      <c r="AA135" s="671">
        <f t="shared" si="101"/>
        <v>31303.5</v>
      </c>
      <c r="AB135" s="671">
        <f t="shared" si="102"/>
        <v>0</v>
      </c>
      <c r="AC135" s="671">
        <f t="shared" si="103"/>
        <v>32555.64</v>
      </c>
      <c r="AD135" s="689">
        <f t="shared" si="104"/>
        <v>10851.88</v>
      </c>
      <c r="AE135" s="691">
        <f t="shared" si="127"/>
        <v>1.04</v>
      </c>
      <c r="AF135" s="671">
        <f t="shared" si="105"/>
        <v>32555.64</v>
      </c>
      <c r="AG135" s="692">
        <f t="shared" si="106"/>
        <v>0</v>
      </c>
      <c r="AH135" s="671">
        <f t="shared" si="107"/>
        <v>33076.53</v>
      </c>
      <c r="AI135" s="691">
        <f t="shared" si="108"/>
        <v>11025.51</v>
      </c>
      <c r="AJ135" s="691">
        <f t="shared" si="128"/>
        <v>1.016</v>
      </c>
      <c r="AK135" s="671">
        <f t="shared" si="109"/>
        <v>33076.53</v>
      </c>
      <c r="AL135" s="671">
        <f t="shared" si="110"/>
        <v>0</v>
      </c>
      <c r="AM135" s="661">
        <v>0.04</v>
      </c>
      <c r="AN135" s="662">
        <f t="shared" si="91"/>
        <v>0.04</v>
      </c>
      <c r="AO135" s="691">
        <f t="shared" si="111"/>
        <v>1252.1400000000001</v>
      </c>
      <c r="AP135" s="691">
        <f t="shared" si="112"/>
        <v>1252.1400000000001</v>
      </c>
      <c r="AQ135" s="691">
        <f t="shared" si="113"/>
        <v>1302.23</v>
      </c>
      <c r="AR135" s="691">
        <f t="shared" si="114"/>
        <v>1323.06</v>
      </c>
      <c r="AS135" s="671">
        <f t="shared" si="115"/>
        <v>30051.360000000001</v>
      </c>
      <c r="AT135" s="671">
        <f t="shared" si="116"/>
        <v>30051.360000000001</v>
      </c>
      <c r="AU135" s="671">
        <f t="shared" si="117"/>
        <v>31253.41</v>
      </c>
      <c r="AV135" s="671">
        <f t="shared" si="118"/>
        <v>31753.469999999998</v>
      </c>
      <c r="AW135" s="695">
        <f t="shared" si="119"/>
        <v>6716.6</v>
      </c>
      <c r="AX135" s="696">
        <f t="shared" si="120"/>
        <v>6716.6</v>
      </c>
      <c r="AY135" s="696">
        <f t="shared" si="121"/>
        <v>6985.27</v>
      </c>
      <c r="AZ135" s="697">
        <f t="shared" si="122"/>
        <v>7097.03</v>
      </c>
      <c r="BA135" s="832"/>
      <c r="BB135" s="663">
        <f t="shared" si="123"/>
        <v>95684.57</v>
      </c>
      <c r="BC135" s="694">
        <f t="shared" si="124"/>
        <v>128239.17</v>
      </c>
      <c r="BD135" s="694">
        <f t="shared" si="125"/>
        <v>0</v>
      </c>
      <c r="BE135" s="663">
        <f t="shared" si="92"/>
        <v>7973.7141666666676</v>
      </c>
      <c r="BG135" s="699">
        <v>8.4099999999999994E-2</v>
      </c>
      <c r="BH135" s="700">
        <v>0.22</v>
      </c>
    </row>
    <row r="136" spans="1:60" ht="21" customHeight="1">
      <c r="A136" s="651" t="s">
        <v>488</v>
      </c>
      <c r="B136" s="655" t="s">
        <v>783</v>
      </c>
      <c r="C136" s="655" t="s">
        <v>797</v>
      </c>
      <c r="D136" s="652">
        <v>1231</v>
      </c>
      <c r="E136" s="735"/>
      <c r="F136" s="735"/>
      <c r="G136" s="652">
        <v>1</v>
      </c>
      <c r="H136" s="735"/>
      <c r="I136" s="735">
        <v>1</v>
      </c>
      <c r="J136" s="702" t="s">
        <v>487</v>
      </c>
      <c r="K136" s="737">
        <f>R136</f>
        <v>25958</v>
      </c>
      <c r="L136" s="688">
        <v>25958</v>
      </c>
      <c r="M136" s="735"/>
      <c r="N136" s="688">
        <f t="shared" si="93"/>
        <v>0</v>
      </c>
      <c r="O136" s="735"/>
      <c r="P136" s="687">
        <f t="shared" si="126"/>
        <v>0</v>
      </c>
      <c r="Q136" s="689">
        <f t="shared" si="94"/>
        <v>25958</v>
      </c>
      <c r="R136" s="686">
        <f t="shared" si="95"/>
        <v>25958</v>
      </c>
      <c r="S136" s="736"/>
      <c r="T136" s="736"/>
      <c r="U136" s="671">
        <f t="shared" si="96"/>
        <v>77874</v>
      </c>
      <c r="V136" s="671">
        <f t="shared" si="97"/>
        <v>77874</v>
      </c>
      <c r="W136" s="671">
        <f t="shared" si="98"/>
        <v>0</v>
      </c>
      <c r="X136" s="671">
        <f t="shared" si="99"/>
        <v>77874</v>
      </c>
      <c r="Y136" s="691">
        <f t="shared" si="100"/>
        <v>25958</v>
      </c>
      <c r="Z136" s="691">
        <v>1</v>
      </c>
      <c r="AA136" s="671">
        <f t="shared" si="101"/>
        <v>77874</v>
      </c>
      <c r="AB136" s="671">
        <f t="shared" si="102"/>
        <v>0</v>
      </c>
      <c r="AC136" s="671">
        <f t="shared" si="103"/>
        <v>80988.960000000006</v>
      </c>
      <c r="AD136" s="689">
        <f t="shared" si="104"/>
        <v>26996.32</v>
      </c>
      <c r="AE136" s="691">
        <f t="shared" si="127"/>
        <v>1.04</v>
      </c>
      <c r="AF136" s="671">
        <f t="shared" si="105"/>
        <v>80988.960000000006</v>
      </c>
      <c r="AG136" s="692">
        <f t="shared" si="106"/>
        <v>0</v>
      </c>
      <c r="AH136" s="671">
        <f t="shared" si="107"/>
        <v>82284.78</v>
      </c>
      <c r="AI136" s="691">
        <f t="shared" si="108"/>
        <v>27428.26</v>
      </c>
      <c r="AJ136" s="691">
        <f t="shared" si="128"/>
        <v>1.016</v>
      </c>
      <c r="AK136" s="671">
        <f t="shared" si="109"/>
        <v>82284.78</v>
      </c>
      <c r="AL136" s="671">
        <f t="shared" si="110"/>
        <v>0</v>
      </c>
      <c r="AM136" s="661">
        <v>0.04</v>
      </c>
      <c r="AN136" s="662">
        <f t="shared" si="91"/>
        <v>0.04</v>
      </c>
      <c r="AO136" s="691">
        <f t="shared" si="111"/>
        <v>3114.96</v>
      </c>
      <c r="AP136" s="691">
        <f t="shared" si="112"/>
        <v>3114.96</v>
      </c>
      <c r="AQ136" s="691">
        <f t="shared" si="113"/>
        <v>3239.56</v>
      </c>
      <c r="AR136" s="691">
        <f t="shared" si="114"/>
        <v>3291.39</v>
      </c>
      <c r="AS136" s="671">
        <f t="shared" si="115"/>
        <v>74759.039999999994</v>
      </c>
      <c r="AT136" s="671">
        <f t="shared" si="116"/>
        <v>74759.039999999994</v>
      </c>
      <c r="AU136" s="671">
        <f t="shared" si="117"/>
        <v>77749.400000000009</v>
      </c>
      <c r="AV136" s="671">
        <f t="shared" si="118"/>
        <v>78993.39</v>
      </c>
      <c r="AW136" s="695">
        <f t="shared" si="119"/>
        <v>16708.96</v>
      </c>
      <c r="AX136" s="696">
        <f t="shared" si="120"/>
        <v>16708.96</v>
      </c>
      <c r="AY136" s="696">
        <f t="shared" si="121"/>
        <v>17377.310000000001</v>
      </c>
      <c r="AZ136" s="697">
        <f t="shared" si="122"/>
        <v>17655.349999999999</v>
      </c>
      <c r="BA136" s="832">
        <f>(U136+X136+AC136/120*140+AH136/120*140)/G136*I136</f>
        <v>346234.03</v>
      </c>
      <c r="BB136" s="663">
        <f t="shared" si="123"/>
        <v>238033.82</v>
      </c>
      <c r="BC136" s="694">
        <f t="shared" si="124"/>
        <v>319021.74</v>
      </c>
      <c r="BD136" s="694">
        <f t="shared" si="125"/>
        <v>0</v>
      </c>
      <c r="BE136" s="663">
        <f t="shared" si="92"/>
        <v>19836.151666666668</v>
      </c>
      <c r="BG136" s="699">
        <v>8.4099999999999994E-2</v>
      </c>
      <c r="BH136" s="700">
        <v>0.22</v>
      </c>
    </row>
    <row r="137" spans="1:60" ht="21" hidden="1" customHeight="1">
      <c r="A137" s="651" t="s">
        <v>489</v>
      </c>
      <c r="B137" s="655" t="s">
        <v>783</v>
      </c>
      <c r="C137" s="655" t="s">
        <v>810</v>
      </c>
      <c r="D137" s="652" t="s">
        <v>816</v>
      </c>
      <c r="E137" s="735"/>
      <c r="F137" s="735"/>
      <c r="G137" s="652">
        <v>1</v>
      </c>
      <c r="H137" s="735"/>
      <c r="I137" s="735"/>
      <c r="J137" s="702" t="s">
        <v>487</v>
      </c>
      <c r="K137" s="737">
        <f>R137</f>
        <v>17982</v>
      </c>
      <c r="L137" s="688">
        <v>17982</v>
      </c>
      <c r="M137" s="735"/>
      <c r="N137" s="688">
        <f t="shared" si="93"/>
        <v>0</v>
      </c>
      <c r="O137" s="735"/>
      <c r="P137" s="687">
        <f t="shared" si="126"/>
        <v>0</v>
      </c>
      <c r="Q137" s="689">
        <f t="shared" si="94"/>
        <v>17982</v>
      </c>
      <c r="R137" s="686">
        <f t="shared" si="95"/>
        <v>17982</v>
      </c>
      <c r="S137" s="736"/>
      <c r="T137" s="736"/>
      <c r="U137" s="671">
        <f t="shared" si="96"/>
        <v>53946</v>
      </c>
      <c r="V137" s="671">
        <f t="shared" si="97"/>
        <v>53946</v>
      </c>
      <c r="W137" s="671">
        <f t="shared" si="98"/>
        <v>0</v>
      </c>
      <c r="X137" s="671">
        <f t="shared" si="99"/>
        <v>53946</v>
      </c>
      <c r="Y137" s="691">
        <f t="shared" si="100"/>
        <v>17982</v>
      </c>
      <c r="Z137" s="691">
        <v>1</v>
      </c>
      <c r="AA137" s="671">
        <f t="shared" si="101"/>
        <v>53946</v>
      </c>
      <c r="AB137" s="671">
        <f t="shared" si="102"/>
        <v>0</v>
      </c>
      <c r="AC137" s="671">
        <f t="shared" si="103"/>
        <v>56103.839999999997</v>
      </c>
      <c r="AD137" s="689">
        <f t="shared" si="104"/>
        <v>18701.28</v>
      </c>
      <c r="AE137" s="691">
        <f t="shared" si="127"/>
        <v>1.04</v>
      </c>
      <c r="AF137" s="671">
        <f t="shared" si="105"/>
        <v>56103.839999999997</v>
      </c>
      <c r="AG137" s="692">
        <f t="shared" si="106"/>
        <v>0</v>
      </c>
      <c r="AH137" s="671">
        <f t="shared" si="107"/>
        <v>57001.5</v>
      </c>
      <c r="AI137" s="691">
        <f t="shared" si="108"/>
        <v>19000.5</v>
      </c>
      <c r="AJ137" s="691">
        <f t="shared" si="128"/>
        <v>1.016</v>
      </c>
      <c r="AK137" s="671">
        <f t="shared" si="109"/>
        <v>57001.5</v>
      </c>
      <c r="AL137" s="671">
        <f t="shared" si="110"/>
        <v>0</v>
      </c>
      <c r="AM137" s="661">
        <v>0.04</v>
      </c>
      <c r="AN137" s="662">
        <f t="shared" si="91"/>
        <v>0.04</v>
      </c>
      <c r="AO137" s="691">
        <f t="shared" si="111"/>
        <v>2157.84</v>
      </c>
      <c r="AP137" s="691">
        <f t="shared" si="112"/>
        <v>2157.84</v>
      </c>
      <c r="AQ137" s="691">
        <f t="shared" si="113"/>
        <v>2244.15</v>
      </c>
      <c r="AR137" s="691">
        <f t="shared" si="114"/>
        <v>2280.06</v>
      </c>
      <c r="AS137" s="671">
        <f t="shared" si="115"/>
        <v>51788.160000000003</v>
      </c>
      <c r="AT137" s="671">
        <f t="shared" si="116"/>
        <v>51788.160000000003</v>
      </c>
      <c r="AU137" s="671">
        <f t="shared" si="117"/>
        <v>53859.689999999995</v>
      </c>
      <c r="AV137" s="671">
        <f t="shared" si="118"/>
        <v>54721.440000000002</v>
      </c>
      <c r="AW137" s="695">
        <f t="shared" si="119"/>
        <v>11574.87</v>
      </c>
      <c r="AX137" s="696">
        <f t="shared" si="120"/>
        <v>11574.87</v>
      </c>
      <c r="AY137" s="696">
        <f t="shared" si="121"/>
        <v>12037.86</v>
      </c>
      <c r="AZ137" s="697">
        <f t="shared" si="122"/>
        <v>12230.47</v>
      </c>
      <c r="BA137" s="832"/>
      <c r="BB137" s="663">
        <f t="shared" si="123"/>
        <v>164894.53999999998</v>
      </c>
      <c r="BC137" s="694">
        <f t="shared" si="124"/>
        <v>220997.34</v>
      </c>
      <c r="BD137" s="694">
        <f t="shared" si="125"/>
        <v>0</v>
      </c>
      <c r="BE137" s="663">
        <f t="shared" si="92"/>
        <v>13741.211666666664</v>
      </c>
      <c r="BG137" s="699">
        <v>8.4099999999999994E-2</v>
      </c>
      <c r="BH137" s="700">
        <v>0.22</v>
      </c>
    </row>
    <row r="138" spans="1:60" s="861" customFormat="1" ht="21" customHeight="1">
      <c r="A138" s="839" t="s">
        <v>490</v>
      </c>
      <c r="B138" s="839" t="s">
        <v>783</v>
      </c>
      <c r="C138" s="839" t="s">
        <v>810</v>
      </c>
      <c r="D138" s="840" t="s">
        <v>816</v>
      </c>
      <c r="E138" s="841"/>
      <c r="F138" s="841"/>
      <c r="G138" s="840">
        <v>4</v>
      </c>
      <c r="H138" s="841"/>
      <c r="I138" s="841">
        <v>1</v>
      </c>
      <c r="J138" s="840" t="s">
        <v>487</v>
      </c>
      <c r="K138" s="842">
        <f>R138</f>
        <v>41740</v>
      </c>
      <c r="L138" s="843">
        <f>41740/4</f>
        <v>10435</v>
      </c>
      <c r="M138" s="841"/>
      <c r="N138" s="843">
        <f t="shared" si="93"/>
        <v>0</v>
      </c>
      <c r="O138" s="841"/>
      <c r="P138" s="844">
        <f t="shared" si="126"/>
        <v>0</v>
      </c>
      <c r="Q138" s="845">
        <f t="shared" si="94"/>
        <v>10435</v>
      </c>
      <c r="R138" s="846">
        <f t="shared" si="95"/>
        <v>41740</v>
      </c>
      <c r="S138" s="847"/>
      <c r="T138" s="847"/>
      <c r="U138" s="848">
        <f t="shared" si="96"/>
        <v>125220</v>
      </c>
      <c r="V138" s="848">
        <f t="shared" si="97"/>
        <v>125220</v>
      </c>
      <c r="W138" s="848">
        <f t="shared" si="98"/>
        <v>0</v>
      </c>
      <c r="X138" s="848">
        <f t="shared" si="99"/>
        <v>125220</v>
      </c>
      <c r="Y138" s="849">
        <f t="shared" si="100"/>
        <v>10435</v>
      </c>
      <c r="Z138" s="849">
        <v>1</v>
      </c>
      <c r="AA138" s="848">
        <f t="shared" si="101"/>
        <v>125220</v>
      </c>
      <c r="AB138" s="848">
        <f t="shared" si="102"/>
        <v>0</v>
      </c>
      <c r="AC138" s="848">
        <f t="shared" si="103"/>
        <v>130228.8</v>
      </c>
      <c r="AD138" s="845">
        <f t="shared" si="104"/>
        <v>10852.4</v>
      </c>
      <c r="AE138" s="849">
        <f t="shared" si="127"/>
        <v>1.04</v>
      </c>
      <c r="AF138" s="848">
        <f t="shared" si="105"/>
        <v>130228.8</v>
      </c>
      <c r="AG138" s="850">
        <f t="shared" si="106"/>
        <v>0</v>
      </c>
      <c r="AH138" s="848">
        <f t="shared" si="107"/>
        <v>132312.46</v>
      </c>
      <c r="AI138" s="849">
        <f t="shared" si="108"/>
        <v>11026.04</v>
      </c>
      <c r="AJ138" s="849">
        <f t="shared" si="128"/>
        <v>1.016</v>
      </c>
      <c r="AK138" s="848">
        <f t="shared" si="109"/>
        <v>132312.46</v>
      </c>
      <c r="AL138" s="848">
        <f t="shared" si="110"/>
        <v>0</v>
      </c>
      <c r="AM138" s="851">
        <v>0.04</v>
      </c>
      <c r="AN138" s="852">
        <f t="shared" si="91"/>
        <v>0.16</v>
      </c>
      <c r="AO138" s="849">
        <f t="shared" si="111"/>
        <v>5008.8</v>
      </c>
      <c r="AP138" s="849">
        <f t="shared" si="112"/>
        <v>5008.8</v>
      </c>
      <c r="AQ138" s="849">
        <f t="shared" si="113"/>
        <v>5209.1499999999996</v>
      </c>
      <c r="AR138" s="849">
        <f t="shared" si="114"/>
        <v>5292.5</v>
      </c>
      <c r="AS138" s="848">
        <f t="shared" si="115"/>
        <v>120211.2</v>
      </c>
      <c r="AT138" s="848">
        <f t="shared" si="116"/>
        <v>120211.2</v>
      </c>
      <c r="AU138" s="848">
        <f t="shared" si="117"/>
        <v>125019.65000000001</v>
      </c>
      <c r="AV138" s="848">
        <f t="shared" si="118"/>
        <v>127019.95999999999</v>
      </c>
      <c r="AW138" s="853">
        <f t="shared" si="119"/>
        <v>26867.7</v>
      </c>
      <c r="AX138" s="854">
        <f t="shared" si="120"/>
        <v>26867.7</v>
      </c>
      <c r="AY138" s="854">
        <f t="shared" si="121"/>
        <v>27942.41</v>
      </c>
      <c r="AZ138" s="855">
        <f t="shared" si="122"/>
        <v>28389.49</v>
      </c>
      <c r="BA138" s="856">
        <f>(U138+X138+AC138/120*140+AH138/120*140)/G138*I138</f>
        <v>139184.53416666668</v>
      </c>
      <c r="BB138" s="857">
        <f t="shared" si="123"/>
        <v>382753.5</v>
      </c>
      <c r="BC138" s="858">
        <f t="shared" si="124"/>
        <v>512981.26</v>
      </c>
      <c r="BD138" s="858">
        <f t="shared" si="125"/>
        <v>0</v>
      </c>
      <c r="BE138" s="857">
        <f t="shared" si="92"/>
        <v>7974.03125</v>
      </c>
      <c r="BF138" s="857"/>
      <c r="BG138" s="859">
        <v>8.4099999999999994E-2</v>
      </c>
      <c r="BH138" s="860">
        <v>0.22</v>
      </c>
    </row>
    <row r="139" spans="1:60" ht="21" customHeight="1">
      <c r="A139" s="651" t="s">
        <v>477</v>
      </c>
      <c r="B139" s="655" t="s">
        <v>783</v>
      </c>
      <c r="C139" s="655" t="s">
        <v>797</v>
      </c>
      <c r="D139" s="652">
        <v>1232</v>
      </c>
      <c r="E139" s="735"/>
      <c r="F139" s="735"/>
      <c r="G139" s="652">
        <v>1</v>
      </c>
      <c r="H139" s="735"/>
      <c r="I139" s="735">
        <v>1</v>
      </c>
      <c r="J139" s="702" t="s">
        <v>491</v>
      </c>
      <c r="K139" s="737">
        <f>R139</f>
        <v>13312</v>
      </c>
      <c r="L139" s="688">
        <v>13312</v>
      </c>
      <c r="M139" s="735"/>
      <c r="N139" s="688">
        <f t="shared" si="93"/>
        <v>0</v>
      </c>
      <c r="O139" s="735"/>
      <c r="P139" s="687">
        <f t="shared" si="126"/>
        <v>0</v>
      </c>
      <c r="Q139" s="689">
        <f t="shared" si="94"/>
        <v>13312</v>
      </c>
      <c r="R139" s="686">
        <f t="shared" si="95"/>
        <v>13312</v>
      </c>
      <c r="S139" s="736"/>
      <c r="T139" s="736"/>
      <c r="U139" s="671">
        <f t="shared" si="96"/>
        <v>39936</v>
      </c>
      <c r="V139" s="671">
        <f t="shared" si="97"/>
        <v>39936</v>
      </c>
      <c r="W139" s="671">
        <f t="shared" si="98"/>
        <v>0</v>
      </c>
      <c r="X139" s="671">
        <f t="shared" si="99"/>
        <v>39936</v>
      </c>
      <c r="Y139" s="691">
        <f t="shared" si="100"/>
        <v>13312</v>
      </c>
      <c r="Z139" s="691">
        <v>1</v>
      </c>
      <c r="AA139" s="671">
        <f t="shared" si="101"/>
        <v>39936</v>
      </c>
      <c r="AB139" s="671">
        <f t="shared" si="102"/>
        <v>0</v>
      </c>
      <c r="AC139" s="671">
        <f t="shared" si="103"/>
        <v>41533.440000000002</v>
      </c>
      <c r="AD139" s="689">
        <f t="shared" si="104"/>
        <v>13844.48</v>
      </c>
      <c r="AE139" s="691">
        <f t="shared" si="127"/>
        <v>1.04</v>
      </c>
      <c r="AF139" s="671">
        <f t="shared" si="105"/>
        <v>41533.440000000002</v>
      </c>
      <c r="AG139" s="692">
        <f t="shared" si="106"/>
        <v>0</v>
      </c>
      <c r="AH139" s="671">
        <f t="shared" si="107"/>
        <v>42197.98</v>
      </c>
      <c r="AI139" s="691">
        <f t="shared" si="108"/>
        <v>14065.99</v>
      </c>
      <c r="AJ139" s="691">
        <f t="shared" si="128"/>
        <v>1.016</v>
      </c>
      <c r="AK139" s="671">
        <f t="shared" si="109"/>
        <v>42197.98</v>
      </c>
      <c r="AL139" s="671">
        <f t="shared" si="110"/>
        <v>0</v>
      </c>
      <c r="AM139" s="661">
        <v>0.04</v>
      </c>
      <c r="AN139" s="662">
        <f t="shared" si="91"/>
        <v>0.04</v>
      </c>
      <c r="AO139" s="691">
        <f t="shared" si="111"/>
        <v>1597.44</v>
      </c>
      <c r="AP139" s="691">
        <f t="shared" si="112"/>
        <v>1597.44</v>
      </c>
      <c r="AQ139" s="691">
        <f t="shared" si="113"/>
        <v>1661.34</v>
      </c>
      <c r="AR139" s="691">
        <f t="shared" si="114"/>
        <v>1687.92</v>
      </c>
      <c r="AS139" s="671">
        <f t="shared" si="115"/>
        <v>38338.559999999998</v>
      </c>
      <c r="AT139" s="671">
        <f t="shared" si="116"/>
        <v>38338.559999999998</v>
      </c>
      <c r="AU139" s="671">
        <f t="shared" si="117"/>
        <v>39872.100000000006</v>
      </c>
      <c r="AV139" s="671">
        <f t="shared" si="118"/>
        <v>40510.060000000005</v>
      </c>
      <c r="AW139" s="695">
        <f t="shared" si="119"/>
        <v>8568.83</v>
      </c>
      <c r="AX139" s="696">
        <f t="shared" si="120"/>
        <v>8568.83</v>
      </c>
      <c r="AY139" s="696">
        <f t="shared" si="121"/>
        <v>8911.58</v>
      </c>
      <c r="AZ139" s="697">
        <f t="shared" si="122"/>
        <v>9054.17</v>
      </c>
      <c r="BA139" s="832">
        <f>(U139+X139+AC139/120*140+AH139/120*140)/G139*I139</f>
        <v>177558.65666666668</v>
      </c>
      <c r="BB139" s="663">
        <f t="shared" si="123"/>
        <v>122071.01999999999</v>
      </c>
      <c r="BC139" s="694">
        <f t="shared" si="124"/>
        <v>163603.42000000001</v>
      </c>
      <c r="BD139" s="694">
        <f t="shared" si="125"/>
        <v>0</v>
      </c>
      <c r="BE139" s="663">
        <f t="shared" si="92"/>
        <v>10172.584999999999</v>
      </c>
      <c r="BG139" s="699">
        <v>8.4099999999999994E-2</v>
      </c>
      <c r="BH139" s="700">
        <v>0.22</v>
      </c>
    </row>
    <row r="140" spans="1:60" ht="21" hidden="1" customHeight="1">
      <c r="A140" s="651" t="s">
        <v>817</v>
      </c>
      <c r="B140" s="655" t="s">
        <v>783</v>
      </c>
      <c r="C140" s="655" t="s">
        <v>802</v>
      </c>
      <c r="D140" s="652">
        <v>3152</v>
      </c>
      <c r="E140" s="735"/>
      <c r="F140" s="735"/>
      <c r="G140" s="652">
        <v>1</v>
      </c>
      <c r="H140" s="735"/>
      <c r="I140" s="735"/>
      <c r="J140" s="702" t="s">
        <v>491</v>
      </c>
      <c r="K140" s="737">
        <f>R140</f>
        <v>8875</v>
      </c>
      <c r="L140" s="688">
        <v>8875</v>
      </c>
      <c r="M140" s="735"/>
      <c r="N140" s="688">
        <f t="shared" si="93"/>
        <v>0</v>
      </c>
      <c r="O140" s="735"/>
      <c r="P140" s="687">
        <f t="shared" si="126"/>
        <v>0</v>
      </c>
      <c r="Q140" s="689">
        <f t="shared" si="94"/>
        <v>8875</v>
      </c>
      <c r="R140" s="686">
        <f t="shared" si="95"/>
        <v>8875</v>
      </c>
      <c r="S140" s="736"/>
      <c r="T140" s="736"/>
      <c r="U140" s="671">
        <f t="shared" si="96"/>
        <v>26625</v>
      </c>
      <c r="V140" s="671">
        <f t="shared" si="97"/>
        <v>26625</v>
      </c>
      <c r="W140" s="671">
        <f t="shared" si="98"/>
        <v>0</v>
      </c>
      <c r="X140" s="671">
        <f t="shared" si="99"/>
        <v>26625</v>
      </c>
      <c r="Y140" s="691">
        <f t="shared" si="100"/>
        <v>8875</v>
      </c>
      <c r="Z140" s="691">
        <v>1</v>
      </c>
      <c r="AA140" s="671">
        <f t="shared" si="101"/>
        <v>26625</v>
      </c>
      <c r="AB140" s="671">
        <f t="shared" si="102"/>
        <v>0</v>
      </c>
      <c r="AC140" s="671">
        <f t="shared" si="103"/>
        <v>27690</v>
      </c>
      <c r="AD140" s="689">
        <f t="shared" si="104"/>
        <v>9230</v>
      </c>
      <c r="AE140" s="691">
        <f t="shared" si="127"/>
        <v>1.04</v>
      </c>
      <c r="AF140" s="671">
        <f t="shared" si="105"/>
        <v>27690</v>
      </c>
      <c r="AG140" s="692">
        <f t="shared" si="106"/>
        <v>0</v>
      </c>
      <c r="AH140" s="671">
        <f t="shared" si="107"/>
        <v>28133.040000000001</v>
      </c>
      <c r="AI140" s="691">
        <f t="shared" si="108"/>
        <v>9377.68</v>
      </c>
      <c r="AJ140" s="691">
        <f t="shared" si="128"/>
        <v>1.016</v>
      </c>
      <c r="AK140" s="671">
        <f t="shared" si="109"/>
        <v>28133.040000000001</v>
      </c>
      <c r="AL140" s="671">
        <f t="shared" si="110"/>
        <v>0</v>
      </c>
      <c r="AM140" s="661">
        <v>0.04</v>
      </c>
      <c r="AN140" s="662">
        <f t="shared" si="91"/>
        <v>0.04</v>
      </c>
      <c r="AO140" s="691">
        <f t="shared" si="111"/>
        <v>1065</v>
      </c>
      <c r="AP140" s="691">
        <f t="shared" si="112"/>
        <v>1065</v>
      </c>
      <c r="AQ140" s="691">
        <f t="shared" si="113"/>
        <v>1107.5999999999999</v>
      </c>
      <c r="AR140" s="691">
        <f t="shared" si="114"/>
        <v>1125.32</v>
      </c>
      <c r="AS140" s="671">
        <f t="shared" si="115"/>
        <v>25560</v>
      </c>
      <c r="AT140" s="671">
        <f t="shared" si="116"/>
        <v>25560</v>
      </c>
      <c r="AU140" s="671">
        <f t="shared" si="117"/>
        <v>26582.400000000001</v>
      </c>
      <c r="AV140" s="671">
        <f t="shared" si="118"/>
        <v>27007.72</v>
      </c>
      <c r="AW140" s="695">
        <f t="shared" si="119"/>
        <v>5712.77</v>
      </c>
      <c r="AX140" s="696">
        <f t="shared" si="120"/>
        <v>5712.77</v>
      </c>
      <c r="AY140" s="696">
        <f t="shared" si="121"/>
        <v>5941.28</v>
      </c>
      <c r="AZ140" s="697">
        <f t="shared" si="122"/>
        <v>6036.34</v>
      </c>
      <c r="BA140" s="832"/>
      <c r="BB140" s="663">
        <f t="shared" si="123"/>
        <v>81384.08</v>
      </c>
      <c r="BC140" s="694">
        <f t="shared" si="124"/>
        <v>109073.04</v>
      </c>
      <c r="BD140" s="694">
        <f t="shared" si="125"/>
        <v>0</v>
      </c>
      <c r="BE140" s="663">
        <f t="shared" si="92"/>
        <v>6782.0066666666671</v>
      </c>
      <c r="BG140" s="699">
        <v>8.4099999999999994E-2</v>
      </c>
      <c r="BH140" s="700">
        <v>0.22</v>
      </c>
    </row>
    <row r="141" spans="1:60" ht="21" customHeight="1">
      <c r="A141" s="651" t="s">
        <v>818</v>
      </c>
      <c r="B141" s="655" t="s">
        <v>783</v>
      </c>
      <c r="C141" s="655" t="s">
        <v>802</v>
      </c>
      <c r="D141" s="652">
        <v>3221</v>
      </c>
      <c r="E141" s="735"/>
      <c r="F141" s="735"/>
      <c r="G141" s="652">
        <v>2</v>
      </c>
      <c r="H141" s="735"/>
      <c r="I141" s="735">
        <v>0</v>
      </c>
      <c r="J141" s="702" t="s">
        <v>491</v>
      </c>
      <c r="K141" s="737">
        <f t="shared" ref="K141:K146" si="129">R141</f>
        <v>25206</v>
      </c>
      <c r="L141" s="688">
        <v>12603</v>
      </c>
      <c r="M141" s="735"/>
      <c r="N141" s="688">
        <f t="shared" si="93"/>
        <v>0</v>
      </c>
      <c r="O141" s="735"/>
      <c r="P141" s="687">
        <f t="shared" si="126"/>
        <v>0</v>
      </c>
      <c r="Q141" s="689">
        <f t="shared" si="94"/>
        <v>12603</v>
      </c>
      <c r="R141" s="686">
        <f t="shared" si="95"/>
        <v>25206</v>
      </c>
      <c r="S141" s="736"/>
      <c r="T141" s="736"/>
      <c r="U141" s="671">
        <f t="shared" si="96"/>
        <v>75618</v>
      </c>
      <c r="V141" s="671">
        <f t="shared" si="97"/>
        <v>75618</v>
      </c>
      <c r="W141" s="671">
        <f t="shared" si="98"/>
        <v>0</v>
      </c>
      <c r="X141" s="671">
        <f t="shared" si="99"/>
        <v>75618</v>
      </c>
      <c r="Y141" s="691">
        <f t="shared" si="100"/>
        <v>12603</v>
      </c>
      <c r="Z141" s="691">
        <v>1</v>
      </c>
      <c r="AA141" s="671">
        <f t="shared" si="101"/>
        <v>75618</v>
      </c>
      <c r="AB141" s="671">
        <f t="shared" si="102"/>
        <v>0</v>
      </c>
      <c r="AC141" s="671">
        <f t="shared" si="103"/>
        <v>78642.720000000001</v>
      </c>
      <c r="AD141" s="689">
        <f t="shared" si="104"/>
        <v>13107.12</v>
      </c>
      <c r="AE141" s="691">
        <f t="shared" si="127"/>
        <v>1.04</v>
      </c>
      <c r="AF141" s="671">
        <f t="shared" si="105"/>
        <v>78642.720000000001</v>
      </c>
      <c r="AG141" s="692">
        <f t="shared" si="106"/>
        <v>0</v>
      </c>
      <c r="AH141" s="671">
        <f t="shared" si="107"/>
        <v>79901</v>
      </c>
      <c r="AI141" s="691">
        <f t="shared" si="108"/>
        <v>13316.83</v>
      </c>
      <c r="AJ141" s="691">
        <f t="shared" si="128"/>
        <v>1.016</v>
      </c>
      <c r="AK141" s="671">
        <f t="shared" si="109"/>
        <v>79901</v>
      </c>
      <c r="AL141" s="671">
        <f t="shared" si="110"/>
        <v>0</v>
      </c>
      <c r="AM141" s="661">
        <v>0.04</v>
      </c>
      <c r="AN141" s="662">
        <f t="shared" si="91"/>
        <v>0.08</v>
      </c>
      <c r="AO141" s="691">
        <f t="shared" si="111"/>
        <v>3024.72</v>
      </c>
      <c r="AP141" s="691">
        <f t="shared" si="112"/>
        <v>3024.72</v>
      </c>
      <c r="AQ141" s="691">
        <f t="shared" si="113"/>
        <v>3145.71</v>
      </c>
      <c r="AR141" s="691">
        <f t="shared" si="114"/>
        <v>3196.04</v>
      </c>
      <c r="AS141" s="671">
        <f t="shared" si="115"/>
        <v>72593.279999999999</v>
      </c>
      <c r="AT141" s="671">
        <f t="shared" si="116"/>
        <v>72593.279999999999</v>
      </c>
      <c r="AU141" s="671">
        <f t="shared" si="117"/>
        <v>75497.009999999995</v>
      </c>
      <c r="AV141" s="671">
        <f t="shared" si="118"/>
        <v>76704.960000000006</v>
      </c>
      <c r="AW141" s="695">
        <f t="shared" si="119"/>
        <v>16224.9</v>
      </c>
      <c r="AX141" s="696">
        <f t="shared" si="120"/>
        <v>16224.9</v>
      </c>
      <c r="AY141" s="696">
        <f t="shared" si="121"/>
        <v>16873.900000000001</v>
      </c>
      <c r="AZ141" s="697">
        <f t="shared" si="122"/>
        <v>17143.88</v>
      </c>
      <c r="BA141" s="832">
        <f>(U141+X141+AC141/120*140+AH141/120*140)/G141*I141</f>
        <v>0</v>
      </c>
      <c r="BB141" s="663">
        <f t="shared" si="123"/>
        <v>231138.04</v>
      </c>
      <c r="BC141" s="694">
        <f t="shared" si="124"/>
        <v>309779.71999999997</v>
      </c>
      <c r="BD141" s="694">
        <f t="shared" si="125"/>
        <v>0</v>
      </c>
      <c r="BE141" s="663">
        <f t="shared" si="92"/>
        <v>9630.751666666667</v>
      </c>
      <c r="BG141" s="699">
        <v>8.4099999999999994E-2</v>
      </c>
      <c r="BH141" s="700">
        <v>0.22</v>
      </c>
    </row>
    <row r="142" spans="1:60" ht="21" customHeight="1">
      <c r="A142" s="651" t="s">
        <v>495</v>
      </c>
      <c r="B142" s="655" t="s">
        <v>754</v>
      </c>
      <c r="C142" s="655" t="s">
        <v>810</v>
      </c>
      <c r="D142" s="652" t="s">
        <v>819</v>
      </c>
      <c r="E142" s="735"/>
      <c r="F142" s="735"/>
      <c r="G142" s="652">
        <v>1</v>
      </c>
      <c r="H142" s="735"/>
      <c r="I142" s="735">
        <f>G142</f>
        <v>1</v>
      </c>
      <c r="J142" s="702" t="s">
        <v>494</v>
      </c>
      <c r="K142" s="682">
        <f t="shared" si="129"/>
        <v>10428</v>
      </c>
      <c r="L142" s="688">
        <v>10428</v>
      </c>
      <c r="M142" s="735"/>
      <c r="N142" s="688">
        <f t="shared" si="93"/>
        <v>0</v>
      </c>
      <c r="O142" s="735"/>
      <c r="P142" s="687">
        <f t="shared" si="126"/>
        <v>0</v>
      </c>
      <c r="Q142" s="689">
        <f t="shared" si="94"/>
        <v>10428</v>
      </c>
      <c r="R142" s="686">
        <f t="shared" si="95"/>
        <v>10428</v>
      </c>
      <c r="S142" s="736"/>
      <c r="T142" s="736"/>
      <c r="U142" s="671">
        <f t="shared" si="96"/>
        <v>31284</v>
      </c>
      <c r="V142" s="671">
        <f t="shared" si="97"/>
        <v>31284</v>
      </c>
      <c r="W142" s="671">
        <f t="shared" si="98"/>
        <v>0</v>
      </c>
      <c r="X142" s="671">
        <f t="shared" si="99"/>
        <v>31284</v>
      </c>
      <c r="Y142" s="691">
        <f t="shared" si="100"/>
        <v>10428</v>
      </c>
      <c r="Z142" s="691">
        <v>1</v>
      </c>
      <c r="AA142" s="671">
        <f t="shared" si="101"/>
        <v>31284</v>
      </c>
      <c r="AB142" s="671">
        <f t="shared" si="102"/>
        <v>0</v>
      </c>
      <c r="AC142" s="671">
        <f t="shared" si="103"/>
        <v>32535.360000000001</v>
      </c>
      <c r="AD142" s="689">
        <f t="shared" si="104"/>
        <v>10845.12</v>
      </c>
      <c r="AE142" s="691">
        <f t="shared" si="127"/>
        <v>1.04</v>
      </c>
      <c r="AF142" s="671">
        <f t="shared" si="105"/>
        <v>32535.360000000001</v>
      </c>
      <c r="AG142" s="692">
        <f t="shared" si="106"/>
        <v>0</v>
      </c>
      <c r="AH142" s="671">
        <f t="shared" si="107"/>
        <v>33055.93</v>
      </c>
      <c r="AI142" s="691">
        <f t="shared" si="108"/>
        <v>11018.64</v>
      </c>
      <c r="AJ142" s="691">
        <f t="shared" si="128"/>
        <v>1.016</v>
      </c>
      <c r="AK142" s="671">
        <f t="shared" si="109"/>
        <v>33055.93</v>
      </c>
      <c r="AL142" s="671">
        <f t="shared" si="110"/>
        <v>0</v>
      </c>
      <c r="AM142" s="661">
        <v>0.04</v>
      </c>
      <c r="AN142" s="662">
        <f t="shared" si="91"/>
        <v>0.04</v>
      </c>
      <c r="AO142" s="691">
        <f t="shared" si="111"/>
        <v>1251.3599999999999</v>
      </c>
      <c r="AP142" s="691">
        <f t="shared" si="112"/>
        <v>1251.3599999999999</v>
      </c>
      <c r="AQ142" s="691">
        <f t="shared" si="113"/>
        <v>1301.4100000000001</v>
      </c>
      <c r="AR142" s="691">
        <f t="shared" si="114"/>
        <v>1322.24</v>
      </c>
      <c r="AS142" s="671">
        <f t="shared" si="115"/>
        <v>30032.639999999999</v>
      </c>
      <c r="AT142" s="671">
        <f t="shared" si="116"/>
        <v>30032.639999999999</v>
      </c>
      <c r="AU142" s="671">
        <f t="shared" si="117"/>
        <v>31233.95</v>
      </c>
      <c r="AV142" s="671">
        <f t="shared" si="118"/>
        <v>31733.69</v>
      </c>
      <c r="AW142" s="695">
        <f t="shared" si="119"/>
        <v>6712.42</v>
      </c>
      <c r="AX142" s="696">
        <f t="shared" si="120"/>
        <v>6712.42</v>
      </c>
      <c r="AY142" s="696">
        <f t="shared" si="121"/>
        <v>6980.92</v>
      </c>
      <c r="AZ142" s="697">
        <f t="shared" si="122"/>
        <v>7092.61</v>
      </c>
      <c r="BA142" s="832"/>
      <c r="BB142" s="663">
        <f t="shared" si="123"/>
        <v>95624.97</v>
      </c>
      <c r="BC142" s="694">
        <f t="shared" si="124"/>
        <v>128159.29</v>
      </c>
      <c r="BD142" s="694">
        <f t="shared" si="125"/>
        <v>0</v>
      </c>
      <c r="BE142" s="663">
        <f t="shared" si="92"/>
        <v>7968.7475000000004</v>
      </c>
      <c r="BG142" s="699">
        <v>8.4099999999999994E-2</v>
      </c>
      <c r="BH142" s="700">
        <v>0.22</v>
      </c>
    </row>
    <row r="143" spans="1:60" ht="21" customHeight="1">
      <c r="A143" s="651" t="s">
        <v>820</v>
      </c>
      <c r="B143" s="655" t="s">
        <v>754</v>
      </c>
      <c r="C143" s="655" t="s">
        <v>810</v>
      </c>
      <c r="D143" s="652" t="s">
        <v>819</v>
      </c>
      <c r="E143" s="735"/>
      <c r="F143" s="735"/>
      <c r="G143" s="652">
        <v>1</v>
      </c>
      <c r="H143" s="735"/>
      <c r="I143" s="735">
        <f t="shared" ref="I143:I146" si="130">G143</f>
        <v>1</v>
      </c>
      <c r="J143" s="702" t="s">
        <v>494</v>
      </c>
      <c r="K143" s="682">
        <f t="shared" si="129"/>
        <v>9319</v>
      </c>
      <c r="L143" s="688">
        <v>9319</v>
      </c>
      <c r="M143" s="735"/>
      <c r="N143" s="688">
        <f t="shared" si="93"/>
        <v>0</v>
      </c>
      <c r="O143" s="735"/>
      <c r="P143" s="687">
        <f t="shared" si="126"/>
        <v>0</v>
      </c>
      <c r="Q143" s="689">
        <f t="shared" si="94"/>
        <v>9319</v>
      </c>
      <c r="R143" s="686">
        <f t="shared" si="95"/>
        <v>9319</v>
      </c>
      <c r="S143" s="736"/>
      <c r="T143" s="736"/>
      <c r="U143" s="671">
        <f t="shared" si="96"/>
        <v>27957</v>
      </c>
      <c r="V143" s="671">
        <f t="shared" si="97"/>
        <v>27957</v>
      </c>
      <c r="W143" s="671">
        <f t="shared" si="98"/>
        <v>0</v>
      </c>
      <c r="X143" s="671">
        <f t="shared" si="99"/>
        <v>27957</v>
      </c>
      <c r="Y143" s="691">
        <f t="shared" si="100"/>
        <v>9319</v>
      </c>
      <c r="Z143" s="691">
        <v>1</v>
      </c>
      <c r="AA143" s="671">
        <f t="shared" si="101"/>
        <v>27957</v>
      </c>
      <c r="AB143" s="671">
        <f t="shared" si="102"/>
        <v>0</v>
      </c>
      <c r="AC143" s="671">
        <f t="shared" si="103"/>
        <v>29075.279999999999</v>
      </c>
      <c r="AD143" s="689">
        <f t="shared" si="104"/>
        <v>9691.76</v>
      </c>
      <c r="AE143" s="691">
        <f t="shared" si="127"/>
        <v>1.04</v>
      </c>
      <c r="AF143" s="671">
        <f t="shared" si="105"/>
        <v>29075.279999999999</v>
      </c>
      <c r="AG143" s="692">
        <f t="shared" si="106"/>
        <v>0</v>
      </c>
      <c r="AH143" s="671">
        <f t="shared" si="107"/>
        <v>29540.48</v>
      </c>
      <c r="AI143" s="691">
        <f t="shared" si="108"/>
        <v>9846.83</v>
      </c>
      <c r="AJ143" s="691">
        <f t="shared" si="128"/>
        <v>1.016</v>
      </c>
      <c r="AK143" s="671">
        <f t="shared" si="109"/>
        <v>29540.48</v>
      </c>
      <c r="AL143" s="671">
        <f t="shared" si="110"/>
        <v>0</v>
      </c>
      <c r="AM143" s="661">
        <v>0.04</v>
      </c>
      <c r="AN143" s="662">
        <f t="shared" si="91"/>
        <v>0.04</v>
      </c>
      <c r="AO143" s="691">
        <f t="shared" si="111"/>
        <v>1118.28</v>
      </c>
      <c r="AP143" s="691">
        <f t="shared" si="112"/>
        <v>1118.28</v>
      </c>
      <c r="AQ143" s="691">
        <f t="shared" si="113"/>
        <v>1163.01</v>
      </c>
      <c r="AR143" s="691">
        <f t="shared" si="114"/>
        <v>1181.6199999999999</v>
      </c>
      <c r="AS143" s="671">
        <f t="shared" si="115"/>
        <v>26838.720000000001</v>
      </c>
      <c r="AT143" s="671">
        <f t="shared" si="116"/>
        <v>26838.720000000001</v>
      </c>
      <c r="AU143" s="671">
        <f t="shared" si="117"/>
        <v>27912.27</v>
      </c>
      <c r="AV143" s="671">
        <f t="shared" si="118"/>
        <v>28358.86</v>
      </c>
      <c r="AW143" s="695">
        <f t="shared" si="119"/>
        <v>5998.57</v>
      </c>
      <c r="AX143" s="696">
        <f t="shared" si="120"/>
        <v>5998.57</v>
      </c>
      <c r="AY143" s="696">
        <f t="shared" si="121"/>
        <v>6238.51</v>
      </c>
      <c r="AZ143" s="697">
        <f t="shared" si="122"/>
        <v>6338.32</v>
      </c>
      <c r="BA143" s="832"/>
      <c r="BB143" s="663">
        <f t="shared" si="123"/>
        <v>85455.52</v>
      </c>
      <c r="BC143" s="694">
        <f t="shared" si="124"/>
        <v>114529.76</v>
      </c>
      <c r="BD143" s="694">
        <f t="shared" si="125"/>
        <v>0</v>
      </c>
      <c r="BE143" s="663">
        <f t="shared" si="92"/>
        <v>7121.293333333334</v>
      </c>
      <c r="BG143" s="699">
        <v>8.4099999999999994E-2</v>
      </c>
      <c r="BH143" s="700">
        <v>0.22</v>
      </c>
    </row>
    <row r="144" spans="1:60" ht="21" customHeight="1">
      <c r="A144" s="651" t="s">
        <v>495</v>
      </c>
      <c r="B144" s="655" t="s">
        <v>754</v>
      </c>
      <c r="C144" s="655" t="s">
        <v>810</v>
      </c>
      <c r="D144" s="652" t="s">
        <v>819</v>
      </c>
      <c r="E144" s="735"/>
      <c r="F144" s="735"/>
      <c r="G144" s="652">
        <v>1</v>
      </c>
      <c r="H144" s="735"/>
      <c r="I144" s="735">
        <f t="shared" si="130"/>
        <v>1</v>
      </c>
      <c r="J144" s="702" t="s">
        <v>821</v>
      </c>
      <c r="K144" s="682">
        <f t="shared" si="129"/>
        <v>10428</v>
      </c>
      <c r="L144" s="688">
        <v>10428</v>
      </c>
      <c r="M144" s="735"/>
      <c r="N144" s="688">
        <f t="shared" si="93"/>
        <v>0</v>
      </c>
      <c r="O144" s="735"/>
      <c r="P144" s="687">
        <f t="shared" si="126"/>
        <v>0</v>
      </c>
      <c r="Q144" s="689">
        <f t="shared" si="94"/>
        <v>10428</v>
      </c>
      <c r="R144" s="686">
        <f t="shared" si="95"/>
        <v>10428</v>
      </c>
      <c r="S144" s="736"/>
      <c r="T144" s="736"/>
      <c r="U144" s="671">
        <f t="shared" si="96"/>
        <v>31284</v>
      </c>
      <c r="V144" s="671">
        <f t="shared" si="97"/>
        <v>31284</v>
      </c>
      <c r="W144" s="671">
        <f t="shared" si="98"/>
        <v>0</v>
      </c>
      <c r="X144" s="671">
        <f t="shared" si="99"/>
        <v>31284</v>
      </c>
      <c r="Y144" s="691">
        <f t="shared" si="100"/>
        <v>10428</v>
      </c>
      <c r="Z144" s="691">
        <v>1</v>
      </c>
      <c r="AA144" s="671">
        <f t="shared" si="101"/>
        <v>31284</v>
      </c>
      <c r="AB144" s="671">
        <f t="shared" si="102"/>
        <v>0</v>
      </c>
      <c r="AC144" s="671">
        <f t="shared" si="103"/>
        <v>32535.360000000001</v>
      </c>
      <c r="AD144" s="689">
        <f t="shared" si="104"/>
        <v>10845.12</v>
      </c>
      <c r="AE144" s="691">
        <f t="shared" si="127"/>
        <v>1.04</v>
      </c>
      <c r="AF144" s="671">
        <f t="shared" si="105"/>
        <v>32535.360000000001</v>
      </c>
      <c r="AG144" s="692">
        <f t="shared" si="106"/>
        <v>0</v>
      </c>
      <c r="AH144" s="671">
        <f t="shared" si="107"/>
        <v>33055.93</v>
      </c>
      <c r="AI144" s="691">
        <f t="shared" si="108"/>
        <v>11018.64</v>
      </c>
      <c r="AJ144" s="691">
        <f t="shared" si="128"/>
        <v>1.016</v>
      </c>
      <c r="AK144" s="671">
        <f t="shared" si="109"/>
        <v>33055.93</v>
      </c>
      <c r="AL144" s="671">
        <f t="shared" si="110"/>
        <v>0</v>
      </c>
      <c r="AM144" s="661">
        <v>0.04</v>
      </c>
      <c r="AN144" s="662">
        <f t="shared" si="91"/>
        <v>0.04</v>
      </c>
      <c r="AO144" s="691">
        <f t="shared" si="111"/>
        <v>1251.3599999999999</v>
      </c>
      <c r="AP144" s="691">
        <f t="shared" si="112"/>
        <v>1251.3599999999999</v>
      </c>
      <c r="AQ144" s="691">
        <f t="shared" si="113"/>
        <v>1301.4100000000001</v>
      </c>
      <c r="AR144" s="691">
        <f t="shared" si="114"/>
        <v>1322.24</v>
      </c>
      <c r="AS144" s="671">
        <f t="shared" si="115"/>
        <v>30032.639999999999</v>
      </c>
      <c r="AT144" s="671">
        <f t="shared" si="116"/>
        <v>30032.639999999999</v>
      </c>
      <c r="AU144" s="671">
        <f t="shared" si="117"/>
        <v>31233.95</v>
      </c>
      <c r="AV144" s="671">
        <f t="shared" si="118"/>
        <v>31733.69</v>
      </c>
      <c r="AW144" s="695">
        <f t="shared" si="119"/>
        <v>6712.42</v>
      </c>
      <c r="AX144" s="696">
        <f t="shared" si="120"/>
        <v>6712.42</v>
      </c>
      <c r="AY144" s="696">
        <f t="shared" si="121"/>
        <v>6980.92</v>
      </c>
      <c r="AZ144" s="697">
        <f t="shared" si="122"/>
        <v>7092.61</v>
      </c>
      <c r="BA144" s="832"/>
      <c r="BB144" s="663">
        <f t="shared" si="123"/>
        <v>95624.97</v>
      </c>
      <c r="BC144" s="694">
        <f t="shared" si="124"/>
        <v>128159.29</v>
      </c>
      <c r="BD144" s="694">
        <f t="shared" si="125"/>
        <v>0</v>
      </c>
      <c r="BE144" s="663">
        <f t="shared" si="92"/>
        <v>7968.7475000000004</v>
      </c>
      <c r="BG144" s="699">
        <v>8.4099999999999994E-2</v>
      </c>
      <c r="BH144" s="700">
        <v>0.22</v>
      </c>
    </row>
    <row r="145" spans="1:60" ht="21" customHeight="1">
      <c r="A145" s="651" t="s">
        <v>822</v>
      </c>
      <c r="B145" s="655" t="s">
        <v>754</v>
      </c>
      <c r="C145" s="655" t="s">
        <v>810</v>
      </c>
      <c r="D145" s="652" t="s">
        <v>819</v>
      </c>
      <c r="E145" s="735"/>
      <c r="F145" s="735"/>
      <c r="G145" s="652">
        <v>1</v>
      </c>
      <c r="H145" s="735"/>
      <c r="I145" s="735">
        <f t="shared" si="130"/>
        <v>1</v>
      </c>
      <c r="J145" s="702" t="s">
        <v>821</v>
      </c>
      <c r="K145" s="682">
        <f t="shared" si="129"/>
        <v>10206</v>
      </c>
      <c r="L145" s="688">
        <v>10206</v>
      </c>
      <c r="M145" s="735"/>
      <c r="N145" s="688">
        <f t="shared" si="93"/>
        <v>0</v>
      </c>
      <c r="O145" s="735"/>
      <c r="P145" s="687">
        <f t="shared" si="126"/>
        <v>0</v>
      </c>
      <c r="Q145" s="689">
        <f t="shared" si="94"/>
        <v>10206</v>
      </c>
      <c r="R145" s="686">
        <f t="shared" si="95"/>
        <v>10206</v>
      </c>
      <c r="S145" s="736"/>
      <c r="T145" s="736"/>
      <c r="U145" s="671">
        <f t="shared" si="96"/>
        <v>30618</v>
      </c>
      <c r="V145" s="671">
        <f t="shared" si="97"/>
        <v>30618</v>
      </c>
      <c r="W145" s="671">
        <f t="shared" si="98"/>
        <v>0</v>
      </c>
      <c r="X145" s="671">
        <f t="shared" si="99"/>
        <v>30618</v>
      </c>
      <c r="Y145" s="691">
        <f t="shared" si="100"/>
        <v>10206</v>
      </c>
      <c r="Z145" s="691">
        <v>1</v>
      </c>
      <c r="AA145" s="671">
        <f t="shared" si="101"/>
        <v>30618</v>
      </c>
      <c r="AB145" s="671">
        <f t="shared" si="102"/>
        <v>0</v>
      </c>
      <c r="AC145" s="671">
        <f t="shared" si="103"/>
        <v>31842.720000000001</v>
      </c>
      <c r="AD145" s="689">
        <f t="shared" si="104"/>
        <v>10614.24</v>
      </c>
      <c r="AE145" s="691">
        <f t="shared" si="127"/>
        <v>1.04</v>
      </c>
      <c r="AF145" s="671">
        <f t="shared" si="105"/>
        <v>31842.720000000001</v>
      </c>
      <c r="AG145" s="692">
        <f t="shared" si="106"/>
        <v>0</v>
      </c>
      <c r="AH145" s="671">
        <f t="shared" si="107"/>
        <v>32352.2</v>
      </c>
      <c r="AI145" s="691">
        <f t="shared" si="108"/>
        <v>10784.07</v>
      </c>
      <c r="AJ145" s="691">
        <f t="shared" si="128"/>
        <v>1.016</v>
      </c>
      <c r="AK145" s="671">
        <f t="shared" si="109"/>
        <v>32352.2</v>
      </c>
      <c r="AL145" s="671">
        <f t="shared" si="110"/>
        <v>0</v>
      </c>
      <c r="AM145" s="661">
        <v>0.04</v>
      </c>
      <c r="AN145" s="662">
        <f t="shared" si="91"/>
        <v>0.04</v>
      </c>
      <c r="AO145" s="691">
        <f t="shared" si="111"/>
        <v>1224.72</v>
      </c>
      <c r="AP145" s="691">
        <f t="shared" si="112"/>
        <v>1224.72</v>
      </c>
      <c r="AQ145" s="691">
        <f t="shared" si="113"/>
        <v>1273.71</v>
      </c>
      <c r="AR145" s="691">
        <f t="shared" si="114"/>
        <v>1294.0899999999999</v>
      </c>
      <c r="AS145" s="671">
        <f t="shared" si="115"/>
        <v>29393.279999999999</v>
      </c>
      <c r="AT145" s="671">
        <f t="shared" si="116"/>
        <v>29393.279999999999</v>
      </c>
      <c r="AU145" s="671">
        <f t="shared" si="117"/>
        <v>30569.010000000002</v>
      </c>
      <c r="AV145" s="671">
        <f t="shared" si="118"/>
        <v>31058.11</v>
      </c>
      <c r="AW145" s="695">
        <f t="shared" si="119"/>
        <v>6569.52</v>
      </c>
      <c r="AX145" s="696">
        <f t="shared" si="120"/>
        <v>6569.52</v>
      </c>
      <c r="AY145" s="696">
        <f t="shared" si="121"/>
        <v>6832.3</v>
      </c>
      <c r="AZ145" s="697">
        <f t="shared" si="122"/>
        <v>6941.62</v>
      </c>
      <c r="BA145" s="832"/>
      <c r="BB145" s="663">
        <f t="shared" si="123"/>
        <v>93589.24</v>
      </c>
      <c r="BC145" s="694">
        <f t="shared" si="124"/>
        <v>125430.92</v>
      </c>
      <c r="BD145" s="694">
        <f t="shared" si="125"/>
        <v>0</v>
      </c>
      <c r="BE145" s="663">
        <f t="shared" si="92"/>
        <v>7799.1033333333335</v>
      </c>
      <c r="BG145" s="699">
        <v>8.4099999999999994E-2</v>
      </c>
      <c r="BH145" s="700">
        <v>0.22</v>
      </c>
    </row>
    <row r="146" spans="1:60" ht="21" customHeight="1">
      <c r="A146" s="651" t="s">
        <v>823</v>
      </c>
      <c r="B146" s="655" t="s">
        <v>754</v>
      </c>
      <c r="C146" s="655" t="s">
        <v>810</v>
      </c>
      <c r="D146" s="652" t="s">
        <v>824</v>
      </c>
      <c r="E146" s="735"/>
      <c r="F146" s="735"/>
      <c r="G146" s="652">
        <v>3</v>
      </c>
      <c r="H146" s="735"/>
      <c r="I146" s="735">
        <f t="shared" si="130"/>
        <v>3</v>
      </c>
      <c r="J146" s="702" t="s">
        <v>821</v>
      </c>
      <c r="K146" s="682">
        <f t="shared" si="129"/>
        <v>27957</v>
      </c>
      <c r="L146" s="688">
        <f>27957/3</f>
        <v>9319</v>
      </c>
      <c r="M146" s="735"/>
      <c r="N146" s="688">
        <f t="shared" si="93"/>
        <v>0</v>
      </c>
      <c r="O146" s="735"/>
      <c r="P146" s="687">
        <f t="shared" si="126"/>
        <v>0</v>
      </c>
      <c r="Q146" s="689">
        <f t="shared" si="94"/>
        <v>9319</v>
      </c>
      <c r="R146" s="686">
        <f t="shared" si="95"/>
        <v>27957</v>
      </c>
      <c r="S146" s="736"/>
      <c r="T146" s="736"/>
      <c r="U146" s="671">
        <f t="shared" si="96"/>
        <v>83871</v>
      </c>
      <c r="V146" s="671">
        <f t="shared" si="97"/>
        <v>83871</v>
      </c>
      <c r="W146" s="671">
        <f t="shared" si="98"/>
        <v>0</v>
      </c>
      <c r="X146" s="671">
        <f t="shared" si="99"/>
        <v>83871</v>
      </c>
      <c r="Y146" s="691">
        <f t="shared" si="100"/>
        <v>9319</v>
      </c>
      <c r="Z146" s="691">
        <v>1</v>
      </c>
      <c r="AA146" s="671">
        <f t="shared" si="101"/>
        <v>83871</v>
      </c>
      <c r="AB146" s="671">
        <f t="shared" si="102"/>
        <v>0</v>
      </c>
      <c r="AC146" s="671">
        <f t="shared" si="103"/>
        <v>87225.84</v>
      </c>
      <c r="AD146" s="689">
        <f t="shared" si="104"/>
        <v>9691.76</v>
      </c>
      <c r="AE146" s="691">
        <f t="shared" si="127"/>
        <v>1.04</v>
      </c>
      <c r="AF146" s="671">
        <f t="shared" si="105"/>
        <v>87225.84</v>
      </c>
      <c r="AG146" s="692">
        <f t="shared" si="106"/>
        <v>0</v>
      </c>
      <c r="AH146" s="671">
        <f t="shared" si="107"/>
        <v>88621.45</v>
      </c>
      <c r="AI146" s="691">
        <f t="shared" si="108"/>
        <v>9846.83</v>
      </c>
      <c r="AJ146" s="691">
        <f t="shared" si="128"/>
        <v>1.016</v>
      </c>
      <c r="AK146" s="671">
        <f t="shared" si="109"/>
        <v>88621.45</v>
      </c>
      <c r="AL146" s="671">
        <f t="shared" si="110"/>
        <v>0</v>
      </c>
      <c r="AM146" s="661">
        <v>0.04</v>
      </c>
      <c r="AN146" s="662">
        <f t="shared" si="91"/>
        <v>0.12</v>
      </c>
      <c r="AO146" s="691">
        <f t="shared" si="111"/>
        <v>3354.84</v>
      </c>
      <c r="AP146" s="691">
        <f t="shared" si="112"/>
        <v>3354.84</v>
      </c>
      <c r="AQ146" s="691">
        <f t="shared" si="113"/>
        <v>3489.03</v>
      </c>
      <c r="AR146" s="691">
        <f t="shared" si="114"/>
        <v>3544.86</v>
      </c>
      <c r="AS146" s="671">
        <f t="shared" si="115"/>
        <v>80516.160000000003</v>
      </c>
      <c r="AT146" s="671">
        <f t="shared" si="116"/>
        <v>80516.160000000003</v>
      </c>
      <c r="AU146" s="671">
        <f t="shared" si="117"/>
        <v>83736.81</v>
      </c>
      <c r="AV146" s="671">
        <f t="shared" si="118"/>
        <v>85076.59</v>
      </c>
      <c r="AW146" s="695">
        <f t="shared" si="119"/>
        <v>17995.7</v>
      </c>
      <c r="AX146" s="696">
        <f t="shared" si="120"/>
        <v>17995.7</v>
      </c>
      <c r="AY146" s="696">
        <f t="shared" si="121"/>
        <v>18715.53</v>
      </c>
      <c r="AZ146" s="697">
        <f t="shared" si="122"/>
        <v>19014.97</v>
      </c>
      <c r="BA146" s="832"/>
      <c r="BB146" s="663">
        <f t="shared" si="123"/>
        <v>256364.49</v>
      </c>
      <c r="BC146" s="694">
        <f t="shared" si="124"/>
        <v>343589.29</v>
      </c>
      <c r="BD146" s="694">
        <f t="shared" si="125"/>
        <v>0</v>
      </c>
      <c r="BE146" s="663">
        <f t="shared" si="92"/>
        <v>7121.2358333333332</v>
      </c>
      <c r="BG146" s="699">
        <v>8.4099999999999994E-2</v>
      </c>
      <c r="BH146" s="700">
        <v>0.22</v>
      </c>
    </row>
    <row r="147" spans="1:60" ht="30" hidden="1" customHeight="1">
      <c r="A147" s="651" t="s">
        <v>498</v>
      </c>
      <c r="B147" s="655" t="s">
        <v>784</v>
      </c>
      <c r="C147" s="655" t="s">
        <v>797</v>
      </c>
      <c r="D147" s="652" t="s">
        <v>824</v>
      </c>
      <c r="E147" s="735"/>
      <c r="F147" s="735"/>
      <c r="G147" s="652">
        <v>1</v>
      </c>
      <c r="H147" s="735"/>
      <c r="I147" s="735"/>
      <c r="J147" s="702" t="s">
        <v>497</v>
      </c>
      <c r="K147" s="682">
        <f>R147</f>
        <v>20869</v>
      </c>
      <c r="L147" s="688">
        <v>20869</v>
      </c>
      <c r="M147" s="735"/>
      <c r="N147" s="688">
        <f t="shared" si="93"/>
        <v>0</v>
      </c>
      <c r="O147" s="735"/>
      <c r="P147" s="687">
        <f t="shared" si="126"/>
        <v>0</v>
      </c>
      <c r="Q147" s="689">
        <f t="shared" si="94"/>
        <v>20869</v>
      </c>
      <c r="R147" s="686">
        <f t="shared" si="95"/>
        <v>20869</v>
      </c>
      <c r="S147" s="736"/>
      <c r="T147" s="736"/>
      <c r="U147" s="671">
        <f t="shared" si="96"/>
        <v>62607</v>
      </c>
      <c r="V147" s="671">
        <f t="shared" si="97"/>
        <v>62607</v>
      </c>
      <c r="W147" s="671">
        <f t="shared" si="98"/>
        <v>0</v>
      </c>
      <c r="X147" s="671">
        <f t="shared" si="99"/>
        <v>62607</v>
      </c>
      <c r="Y147" s="691">
        <f t="shared" si="100"/>
        <v>20869</v>
      </c>
      <c r="Z147" s="691">
        <v>1</v>
      </c>
      <c r="AA147" s="671">
        <f t="shared" si="101"/>
        <v>62607</v>
      </c>
      <c r="AB147" s="671">
        <f t="shared" si="102"/>
        <v>0</v>
      </c>
      <c r="AC147" s="671">
        <f t="shared" si="103"/>
        <v>65111.28</v>
      </c>
      <c r="AD147" s="689">
        <f t="shared" si="104"/>
        <v>21703.759999999998</v>
      </c>
      <c r="AE147" s="691">
        <f t="shared" si="127"/>
        <v>1.04</v>
      </c>
      <c r="AF147" s="671">
        <f t="shared" si="105"/>
        <v>65111.28</v>
      </c>
      <c r="AG147" s="692">
        <f t="shared" si="106"/>
        <v>0</v>
      </c>
      <c r="AH147" s="671">
        <f t="shared" si="107"/>
        <v>66153.06</v>
      </c>
      <c r="AI147" s="691">
        <f t="shared" si="108"/>
        <v>22051.02</v>
      </c>
      <c r="AJ147" s="691">
        <f t="shared" si="128"/>
        <v>1.016</v>
      </c>
      <c r="AK147" s="671">
        <f t="shared" si="109"/>
        <v>66153.06</v>
      </c>
      <c r="AL147" s="671">
        <f t="shared" si="110"/>
        <v>0</v>
      </c>
      <c r="AM147" s="661">
        <v>0.04</v>
      </c>
      <c r="AN147" s="662">
        <f t="shared" si="91"/>
        <v>0.04</v>
      </c>
      <c r="AO147" s="691">
        <f t="shared" si="111"/>
        <v>2504.2800000000002</v>
      </c>
      <c r="AP147" s="691">
        <f t="shared" si="112"/>
        <v>2504.2800000000002</v>
      </c>
      <c r="AQ147" s="691">
        <f t="shared" si="113"/>
        <v>2604.4499999999998</v>
      </c>
      <c r="AR147" s="691">
        <f t="shared" si="114"/>
        <v>2646.12</v>
      </c>
      <c r="AS147" s="671">
        <f t="shared" si="115"/>
        <v>60102.720000000001</v>
      </c>
      <c r="AT147" s="671">
        <f t="shared" si="116"/>
        <v>60102.720000000001</v>
      </c>
      <c r="AU147" s="671">
        <f t="shared" si="117"/>
        <v>62506.83</v>
      </c>
      <c r="AV147" s="671">
        <f t="shared" si="118"/>
        <v>63506.939999999995</v>
      </c>
      <c r="AW147" s="695">
        <f t="shared" si="119"/>
        <v>13433.21</v>
      </c>
      <c r="AX147" s="696">
        <f t="shared" si="120"/>
        <v>13433.21</v>
      </c>
      <c r="AY147" s="696">
        <f t="shared" si="121"/>
        <v>13970.54</v>
      </c>
      <c r="AZ147" s="697">
        <f t="shared" si="122"/>
        <v>14194.07</v>
      </c>
      <c r="BA147" s="832"/>
      <c r="BB147" s="663">
        <f t="shared" si="123"/>
        <v>191368.09999999998</v>
      </c>
      <c r="BC147" s="694">
        <f t="shared" si="124"/>
        <v>256478.34</v>
      </c>
      <c r="BD147" s="694">
        <f t="shared" si="125"/>
        <v>0</v>
      </c>
      <c r="BE147" s="663">
        <f t="shared" si="92"/>
        <v>15947.341666666665</v>
      </c>
      <c r="BG147" s="699">
        <v>8.4099999999999994E-2</v>
      </c>
      <c r="BH147" s="700">
        <v>0.22</v>
      </c>
    </row>
    <row r="148" spans="1:60" ht="30" hidden="1" customHeight="1">
      <c r="A148" s="651" t="s">
        <v>825</v>
      </c>
      <c r="B148" s="655" t="s">
        <v>784</v>
      </c>
      <c r="C148" s="655" t="s">
        <v>797</v>
      </c>
      <c r="D148" s="652" t="s">
        <v>824</v>
      </c>
      <c r="E148" s="735"/>
      <c r="F148" s="735"/>
      <c r="G148" s="652">
        <v>1</v>
      </c>
      <c r="H148" s="735"/>
      <c r="I148" s="735"/>
      <c r="J148" s="702" t="s">
        <v>497</v>
      </c>
      <c r="K148" s="682">
        <f>R148</f>
        <v>15646</v>
      </c>
      <c r="L148" s="688">
        <v>15646</v>
      </c>
      <c r="M148" s="735"/>
      <c r="N148" s="688">
        <f t="shared" si="93"/>
        <v>0</v>
      </c>
      <c r="O148" s="735"/>
      <c r="P148" s="687">
        <f t="shared" si="126"/>
        <v>0</v>
      </c>
      <c r="Q148" s="689">
        <f t="shared" si="94"/>
        <v>15646</v>
      </c>
      <c r="R148" s="686">
        <f t="shared" si="95"/>
        <v>15646</v>
      </c>
      <c r="S148" s="736"/>
      <c r="T148" s="736"/>
      <c r="U148" s="671">
        <f t="shared" si="96"/>
        <v>46938</v>
      </c>
      <c r="V148" s="671">
        <f t="shared" si="97"/>
        <v>46938</v>
      </c>
      <c r="W148" s="671">
        <f t="shared" si="98"/>
        <v>0</v>
      </c>
      <c r="X148" s="671">
        <f t="shared" si="99"/>
        <v>46938</v>
      </c>
      <c r="Y148" s="691">
        <f t="shared" si="100"/>
        <v>15646</v>
      </c>
      <c r="Z148" s="691">
        <v>1</v>
      </c>
      <c r="AA148" s="671">
        <f t="shared" si="101"/>
        <v>46938</v>
      </c>
      <c r="AB148" s="671">
        <f t="shared" si="102"/>
        <v>0</v>
      </c>
      <c r="AC148" s="671">
        <f t="shared" si="103"/>
        <v>48815.519999999997</v>
      </c>
      <c r="AD148" s="689">
        <f t="shared" si="104"/>
        <v>16271.84</v>
      </c>
      <c r="AE148" s="691">
        <f t="shared" si="127"/>
        <v>1.04</v>
      </c>
      <c r="AF148" s="671">
        <f t="shared" si="105"/>
        <v>48815.519999999997</v>
      </c>
      <c r="AG148" s="692">
        <f t="shared" si="106"/>
        <v>0</v>
      </c>
      <c r="AH148" s="671">
        <f t="shared" si="107"/>
        <v>49596.57</v>
      </c>
      <c r="AI148" s="691">
        <f t="shared" si="108"/>
        <v>16532.189999999999</v>
      </c>
      <c r="AJ148" s="691">
        <f t="shared" si="128"/>
        <v>1.016</v>
      </c>
      <c r="AK148" s="671">
        <f t="shared" si="109"/>
        <v>49596.57</v>
      </c>
      <c r="AL148" s="671">
        <f t="shared" si="110"/>
        <v>0</v>
      </c>
      <c r="AM148" s="661">
        <v>0.04</v>
      </c>
      <c r="AN148" s="662">
        <f t="shared" si="91"/>
        <v>0.04</v>
      </c>
      <c r="AO148" s="691">
        <f t="shared" si="111"/>
        <v>1877.52</v>
      </c>
      <c r="AP148" s="691">
        <f t="shared" si="112"/>
        <v>1877.52</v>
      </c>
      <c r="AQ148" s="691">
        <f t="shared" si="113"/>
        <v>1952.62</v>
      </c>
      <c r="AR148" s="691">
        <f t="shared" si="114"/>
        <v>1983.86</v>
      </c>
      <c r="AS148" s="671">
        <f t="shared" si="115"/>
        <v>45060.480000000003</v>
      </c>
      <c r="AT148" s="671">
        <f t="shared" si="116"/>
        <v>45060.480000000003</v>
      </c>
      <c r="AU148" s="671">
        <f t="shared" si="117"/>
        <v>46862.899999999994</v>
      </c>
      <c r="AV148" s="671">
        <f t="shared" si="118"/>
        <v>47612.71</v>
      </c>
      <c r="AW148" s="695">
        <f t="shared" si="119"/>
        <v>10071.209999999999</v>
      </c>
      <c r="AX148" s="696">
        <f t="shared" si="120"/>
        <v>10071.209999999999</v>
      </c>
      <c r="AY148" s="696">
        <f t="shared" si="121"/>
        <v>10474.049999999999</v>
      </c>
      <c r="AZ148" s="697">
        <f t="shared" si="122"/>
        <v>10641.64</v>
      </c>
      <c r="BA148" s="832"/>
      <c r="BB148" s="663">
        <f t="shared" si="123"/>
        <v>143473.60999999999</v>
      </c>
      <c r="BC148" s="694">
        <f t="shared" si="124"/>
        <v>192288.09</v>
      </c>
      <c r="BD148" s="694">
        <f t="shared" si="125"/>
        <v>0</v>
      </c>
      <c r="BE148" s="663">
        <f t="shared" si="92"/>
        <v>11956.134166666665</v>
      </c>
      <c r="BG148" s="699">
        <v>8.4099999999999994E-2</v>
      </c>
      <c r="BH148" s="700">
        <v>0.22</v>
      </c>
    </row>
    <row r="149" spans="1:60" ht="30" hidden="1" customHeight="1">
      <c r="A149" s="651" t="s">
        <v>826</v>
      </c>
      <c r="B149" s="655" t="s">
        <v>784</v>
      </c>
      <c r="C149" s="655" t="s">
        <v>797</v>
      </c>
      <c r="D149" s="652" t="s">
        <v>824</v>
      </c>
      <c r="E149" s="735"/>
      <c r="F149" s="735"/>
      <c r="G149" s="652">
        <v>1</v>
      </c>
      <c r="H149" s="735"/>
      <c r="I149" s="735"/>
      <c r="J149" s="702" t="s">
        <v>497</v>
      </c>
      <c r="K149" s="682">
        <f>R149</f>
        <v>15646</v>
      </c>
      <c r="L149" s="688">
        <v>15646</v>
      </c>
      <c r="M149" s="735"/>
      <c r="N149" s="688">
        <f t="shared" si="93"/>
        <v>0</v>
      </c>
      <c r="O149" s="735"/>
      <c r="P149" s="687">
        <f t="shared" si="126"/>
        <v>0</v>
      </c>
      <c r="Q149" s="689">
        <f t="shared" si="94"/>
        <v>15646</v>
      </c>
      <c r="R149" s="686">
        <f t="shared" si="95"/>
        <v>15646</v>
      </c>
      <c r="S149" s="736"/>
      <c r="T149" s="736"/>
      <c r="U149" s="671">
        <f t="shared" si="96"/>
        <v>46938</v>
      </c>
      <c r="V149" s="671">
        <f t="shared" si="97"/>
        <v>46938</v>
      </c>
      <c r="W149" s="671">
        <f t="shared" si="98"/>
        <v>0</v>
      </c>
      <c r="X149" s="671">
        <f t="shared" si="99"/>
        <v>46938</v>
      </c>
      <c r="Y149" s="691">
        <f t="shared" si="100"/>
        <v>15646</v>
      </c>
      <c r="Z149" s="691">
        <v>1</v>
      </c>
      <c r="AA149" s="671">
        <f t="shared" si="101"/>
        <v>46938</v>
      </c>
      <c r="AB149" s="671">
        <f t="shared" si="102"/>
        <v>0</v>
      </c>
      <c r="AC149" s="671">
        <f t="shared" si="103"/>
        <v>48815.519999999997</v>
      </c>
      <c r="AD149" s="689">
        <f t="shared" si="104"/>
        <v>16271.84</v>
      </c>
      <c r="AE149" s="691">
        <f t="shared" si="127"/>
        <v>1.04</v>
      </c>
      <c r="AF149" s="671">
        <f t="shared" si="105"/>
        <v>48815.519999999997</v>
      </c>
      <c r="AG149" s="692">
        <f t="shared" si="106"/>
        <v>0</v>
      </c>
      <c r="AH149" s="671">
        <f t="shared" si="107"/>
        <v>49596.57</v>
      </c>
      <c r="AI149" s="691">
        <f t="shared" si="108"/>
        <v>16532.189999999999</v>
      </c>
      <c r="AJ149" s="691">
        <f t="shared" si="128"/>
        <v>1.016</v>
      </c>
      <c r="AK149" s="671">
        <f t="shared" si="109"/>
        <v>49596.57</v>
      </c>
      <c r="AL149" s="671">
        <f t="shared" si="110"/>
        <v>0</v>
      </c>
      <c r="AM149" s="661">
        <v>0.04</v>
      </c>
      <c r="AN149" s="662">
        <f t="shared" si="91"/>
        <v>0.04</v>
      </c>
      <c r="AO149" s="691">
        <f t="shared" si="111"/>
        <v>1877.52</v>
      </c>
      <c r="AP149" s="691">
        <f t="shared" si="112"/>
        <v>1877.52</v>
      </c>
      <c r="AQ149" s="691">
        <f t="shared" si="113"/>
        <v>1952.62</v>
      </c>
      <c r="AR149" s="691">
        <f t="shared" si="114"/>
        <v>1983.86</v>
      </c>
      <c r="AS149" s="671">
        <f t="shared" si="115"/>
        <v>45060.480000000003</v>
      </c>
      <c r="AT149" s="671">
        <f t="shared" si="116"/>
        <v>45060.480000000003</v>
      </c>
      <c r="AU149" s="671">
        <f t="shared" si="117"/>
        <v>46862.899999999994</v>
      </c>
      <c r="AV149" s="671">
        <f t="shared" si="118"/>
        <v>47612.71</v>
      </c>
      <c r="AW149" s="695">
        <f t="shared" si="119"/>
        <v>10071.209999999999</v>
      </c>
      <c r="AX149" s="696">
        <f t="shared" si="120"/>
        <v>10071.209999999999</v>
      </c>
      <c r="AY149" s="696">
        <f t="shared" si="121"/>
        <v>10474.049999999999</v>
      </c>
      <c r="AZ149" s="697">
        <f t="shared" si="122"/>
        <v>10641.64</v>
      </c>
      <c r="BA149" s="832"/>
      <c r="BB149" s="663">
        <f t="shared" si="123"/>
        <v>143473.60999999999</v>
      </c>
      <c r="BC149" s="694">
        <f t="shared" si="124"/>
        <v>192288.09</v>
      </c>
      <c r="BD149" s="694">
        <f t="shared" si="125"/>
        <v>0</v>
      </c>
      <c r="BE149" s="663">
        <f t="shared" si="92"/>
        <v>11956.134166666665</v>
      </c>
      <c r="BG149" s="699">
        <v>8.4099999999999994E-2</v>
      </c>
      <c r="BH149" s="700">
        <v>0.22</v>
      </c>
    </row>
    <row r="150" spans="1:60" ht="30" hidden="1" customHeight="1">
      <c r="A150" s="651" t="s">
        <v>827</v>
      </c>
      <c r="B150" s="655" t="s">
        <v>784</v>
      </c>
      <c r="C150" s="655" t="s">
        <v>810</v>
      </c>
      <c r="D150" s="652" t="s">
        <v>803</v>
      </c>
      <c r="E150" s="735"/>
      <c r="F150" s="735"/>
      <c r="G150" s="652">
        <v>1</v>
      </c>
      <c r="H150" s="735"/>
      <c r="I150" s="735"/>
      <c r="J150" s="702" t="s">
        <v>497</v>
      </c>
      <c r="K150" s="682">
        <f>R150</f>
        <v>12604.8</v>
      </c>
      <c r="L150" s="688">
        <v>12604.800000000001</v>
      </c>
      <c r="M150" s="735"/>
      <c r="N150" s="688">
        <f t="shared" si="93"/>
        <v>0</v>
      </c>
      <c r="O150" s="735"/>
      <c r="P150" s="687">
        <f t="shared" si="126"/>
        <v>0</v>
      </c>
      <c r="Q150" s="689">
        <f t="shared" si="94"/>
        <v>12604.8</v>
      </c>
      <c r="R150" s="686">
        <f t="shared" si="95"/>
        <v>12604.8</v>
      </c>
      <c r="S150" s="736"/>
      <c r="T150" s="736"/>
      <c r="U150" s="671">
        <f t="shared" si="96"/>
        <v>37814.400000000001</v>
      </c>
      <c r="V150" s="671">
        <f t="shared" si="97"/>
        <v>37814.400000000001</v>
      </c>
      <c r="W150" s="671">
        <f t="shared" si="98"/>
        <v>0</v>
      </c>
      <c r="X150" s="671">
        <f t="shared" si="99"/>
        <v>37814.400000000001</v>
      </c>
      <c r="Y150" s="691">
        <f t="shared" si="100"/>
        <v>12604.800000000001</v>
      </c>
      <c r="Z150" s="691">
        <v>1</v>
      </c>
      <c r="AA150" s="671">
        <f t="shared" si="101"/>
        <v>37814.400000000001</v>
      </c>
      <c r="AB150" s="671">
        <f t="shared" si="102"/>
        <v>0</v>
      </c>
      <c r="AC150" s="671">
        <f t="shared" si="103"/>
        <v>39326.980000000003</v>
      </c>
      <c r="AD150" s="689">
        <f t="shared" si="104"/>
        <v>13108.99</v>
      </c>
      <c r="AE150" s="691">
        <f t="shared" si="127"/>
        <v>1.04</v>
      </c>
      <c r="AF150" s="671">
        <f t="shared" si="105"/>
        <v>39326.980000000003</v>
      </c>
      <c r="AG150" s="692">
        <f t="shared" si="106"/>
        <v>0</v>
      </c>
      <c r="AH150" s="671">
        <f t="shared" si="107"/>
        <v>39956.21</v>
      </c>
      <c r="AI150" s="691">
        <f t="shared" si="108"/>
        <v>13318.73</v>
      </c>
      <c r="AJ150" s="691">
        <f t="shared" si="128"/>
        <v>1.016</v>
      </c>
      <c r="AK150" s="671">
        <f t="shared" si="109"/>
        <v>39956.21</v>
      </c>
      <c r="AL150" s="671">
        <f t="shared" si="110"/>
        <v>0</v>
      </c>
      <c r="AM150" s="661">
        <v>0.04</v>
      </c>
      <c r="AN150" s="662">
        <f t="shared" si="91"/>
        <v>0.04</v>
      </c>
      <c r="AO150" s="691">
        <f t="shared" si="111"/>
        <v>1512.58</v>
      </c>
      <c r="AP150" s="691">
        <f t="shared" si="112"/>
        <v>1512.58</v>
      </c>
      <c r="AQ150" s="691">
        <f t="shared" si="113"/>
        <v>1573.08</v>
      </c>
      <c r="AR150" s="691">
        <f t="shared" si="114"/>
        <v>1598.25</v>
      </c>
      <c r="AS150" s="671">
        <f t="shared" si="115"/>
        <v>36301.82</v>
      </c>
      <c r="AT150" s="671">
        <f t="shared" si="116"/>
        <v>36301.82</v>
      </c>
      <c r="AU150" s="671">
        <f t="shared" si="117"/>
        <v>37753.9</v>
      </c>
      <c r="AV150" s="671">
        <f t="shared" si="118"/>
        <v>38357.96</v>
      </c>
      <c r="AW150" s="695">
        <f t="shared" si="119"/>
        <v>8113.61</v>
      </c>
      <c r="AX150" s="696">
        <f t="shared" si="120"/>
        <v>8113.61</v>
      </c>
      <c r="AY150" s="696">
        <f t="shared" si="121"/>
        <v>8438.15</v>
      </c>
      <c r="AZ150" s="697">
        <f t="shared" si="122"/>
        <v>8573.16</v>
      </c>
      <c r="BA150" s="832"/>
      <c r="BB150" s="663">
        <f t="shared" si="123"/>
        <v>115586.04999999999</v>
      </c>
      <c r="BC150" s="694">
        <f t="shared" si="124"/>
        <v>154911.99</v>
      </c>
      <c r="BD150" s="694">
        <f t="shared" si="125"/>
        <v>0</v>
      </c>
      <c r="BE150" s="663">
        <f t="shared" si="92"/>
        <v>9632.1708333333318</v>
      </c>
      <c r="BG150" s="699">
        <v>8.4099999999999994E-2</v>
      </c>
      <c r="BH150" s="700">
        <v>0.22</v>
      </c>
    </row>
    <row r="151" spans="1:60" ht="37.5" hidden="1" customHeight="1">
      <c r="A151" s="651" t="s">
        <v>828</v>
      </c>
      <c r="B151" s="655" t="s">
        <v>784</v>
      </c>
      <c r="C151" s="655" t="s">
        <v>810</v>
      </c>
      <c r="D151" s="652" t="s">
        <v>824</v>
      </c>
      <c r="E151" s="735"/>
      <c r="F151" s="735"/>
      <c r="G151" s="652">
        <v>1</v>
      </c>
      <c r="H151" s="735"/>
      <c r="I151" s="735"/>
      <c r="J151" s="702" t="s">
        <v>497</v>
      </c>
      <c r="K151" s="682">
        <f t="shared" ref="K151:K157" si="131">R151</f>
        <v>10435</v>
      </c>
      <c r="L151" s="688">
        <v>10435</v>
      </c>
      <c r="M151" s="735"/>
      <c r="N151" s="688">
        <f t="shared" si="93"/>
        <v>0</v>
      </c>
      <c r="O151" s="735"/>
      <c r="P151" s="687">
        <f t="shared" si="126"/>
        <v>0</v>
      </c>
      <c r="Q151" s="689">
        <f t="shared" si="94"/>
        <v>10435</v>
      </c>
      <c r="R151" s="686">
        <f t="shared" si="95"/>
        <v>10435</v>
      </c>
      <c r="S151" s="736"/>
      <c r="T151" s="736"/>
      <c r="U151" s="671">
        <f t="shared" si="96"/>
        <v>31305</v>
      </c>
      <c r="V151" s="671">
        <f t="shared" si="97"/>
        <v>31305</v>
      </c>
      <c r="W151" s="671">
        <f t="shared" si="98"/>
        <v>0</v>
      </c>
      <c r="X151" s="671">
        <f t="shared" si="99"/>
        <v>31305</v>
      </c>
      <c r="Y151" s="691">
        <f t="shared" si="100"/>
        <v>10435</v>
      </c>
      <c r="Z151" s="691">
        <v>1</v>
      </c>
      <c r="AA151" s="671">
        <f t="shared" si="101"/>
        <v>31305</v>
      </c>
      <c r="AB151" s="671">
        <f t="shared" si="102"/>
        <v>0</v>
      </c>
      <c r="AC151" s="671">
        <f t="shared" si="103"/>
        <v>32557.200000000001</v>
      </c>
      <c r="AD151" s="689">
        <f t="shared" si="104"/>
        <v>10852.4</v>
      </c>
      <c r="AE151" s="691">
        <f t="shared" si="127"/>
        <v>1.04</v>
      </c>
      <c r="AF151" s="671">
        <f t="shared" si="105"/>
        <v>32557.200000000001</v>
      </c>
      <c r="AG151" s="692">
        <f t="shared" si="106"/>
        <v>0</v>
      </c>
      <c r="AH151" s="671">
        <f t="shared" si="107"/>
        <v>33078.120000000003</v>
      </c>
      <c r="AI151" s="691">
        <f t="shared" si="108"/>
        <v>11026.04</v>
      </c>
      <c r="AJ151" s="691">
        <f t="shared" si="128"/>
        <v>1.016</v>
      </c>
      <c r="AK151" s="671">
        <f t="shared" si="109"/>
        <v>33078.120000000003</v>
      </c>
      <c r="AL151" s="671">
        <f t="shared" si="110"/>
        <v>0</v>
      </c>
      <c r="AM151" s="661">
        <v>0.04</v>
      </c>
      <c r="AN151" s="662">
        <f t="shared" si="91"/>
        <v>0.04</v>
      </c>
      <c r="AO151" s="691">
        <f t="shared" si="111"/>
        <v>1252.2</v>
      </c>
      <c r="AP151" s="691">
        <f t="shared" si="112"/>
        <v>1252.2</v>
      </c>
      <c r="AQ151" s="691">
        <f t="shared" si="113"/>
        <v>1302.29</v>
      </c>
      <c r="AR151" s="691">
        <f t="shared" si="114"/>
        <v>1323.12</v>
      </c>
      <c r="AS151" s="671">
        <f t="shared" si="115"/>
        <v>30052.799999999999</v>
      </c>
      <c r="AT151" s="671">
        <f t="shared" si="116"/>
        <v>30052.799999999999</v>
      </c>
      <c r="AU151" s="671">
        <f t="shared" si="117"/>
        <v>31254.91</v>
      </c>
      <c r="AV151" s="671">
        <f t="shared" si="118"/>
        <v>31755.000000000004</v>
      </c>
      <c r="AW151" s="695">
        <f t="shared" si="119"/>
        <v>6716.93</v>
      </c>
      <c r="AX151" s="696">
        <f t="shared" si="120"/>
        <v>6716.93</v>
      </c>
      <c r="AY151" s="696">
        <f t="shared" si="121"/>
        <v>6985.6</v>
      </c>
      <c r="AZ151" s="697">
        <f t="shared" si="122"/>
        <v>7097.37</v>
      </c>
      <c r="BA151" s="832"/>
      <c r="BB151" s="663">
        <f t="shared" si="123"/>
        <v>95689.16</v>
      </c>
      <c r="BC151" s="694">
        <f t="shared" si="124"/>
        <v>128245.32</v>
      </c>
      <c r="BD151" s="694">
        <f t="shared" si="125"/>
        <v>0</v>
      </c>
      <c r="BE151" s="663">
        <f t="shared" si="92"/>
        <v>7974.0966666666673</v>
      </c>
      <c r="BG151" s="699">
        <v>8.4099999999999994E-2</v>
      </c>
      <c r="BH151" s="700">
        <v>0.22</v>
      </c>
    </row>
    <row r="152" spans="1:60" ht="21" hidden="1" customHeight="1">
      <c r="A152" s="651" t="s">
        <v>829</v>
      </c>
      <c r="B152" s="655" t="s">
        <v>784</v>
      </c>
      <c r="C152" s="655" t="s">
        <v>755</v>
      </c>
      <c r="D152" s="652">
        <v>3115</v>
      </c>
      <c r="E152" s="735"/>
      <c r="F152" s="735"/>
      <c r="G152" s="652">
        <v>1</v>
      </c>
      <c r="H152" s="735"/>
      <c r="I152" s="735"/>
      <c r="J152" s="808" t="s">
        <v>497</v>
      </c>
      <c r="K152" s="682">
        <f t="shared" si="131"/>
        <v>11094</v>
      </c>
      <c r="L152" s="688">
        <v>11094</v>
      </c>
      <c r="M152" s="735"/>
      <c r="N152" s="688">
        <f t="shared" si="93"/>
        <v>0</v>
      </c>
      <c r="O152" s="735"/>
      <c r="P152" s="687">
        <f t="shared" si="126"/>
        <v>0</v>
      </c>
      <c r="Q152" s="689">
        <f t="shared" si="94"/>
        <v>11094</v>
      </c>
      <c r="R152" s="686">
        <f t="shared" si="95"/>
        <v>11094</v>
      </c>
      <c r="S152" s="736"/>
      <c r="T152" s="736"/>
      <c r="U152" s="671">
        <f t="shared" si="96"/>
        <v>33282</v>
      </c>
      <c r="V152" s="671">
        <f t="shared" si="97"/>
        <v>33282</v>
      </c>
      <c r="W152" s="671">
        <f t="shared" si="98"/>
        <v>0</v>
      </c>
      <c r="X152" s="671">
        <f t="shared" si="99"/>
        <v>33282</v>
      </c>
      <c r="Y152" s="691">
        <f t="shared" si="100"/>
        <v>11094</v>
      </c>
      <c r="Z152" s="691">
        <v>1</v>
      </c>
      <c r="AA152" s="671">
        <f t="shared" si="101"/>
        <v>33282</v>
      </c>
      <c r="AB152" s="671">
        <f t="shared" si="102"/>
        <v>0</v>
      </c>
      <c r="AC152" s="671">
        <f t="shared" si="103"/>
        <v>34613.279999999999</v>
      </c>
      <c r="AD152" s="689">
        <f t="shared" si="104"/>
        <v>11537.76</v>
      </c>
      <c r="AE152" s="691">
        <f t="shared" si="127"/>
        <v>1.04</v>
      </c>
      <c r="AF152" s="671">
        <f t="shared" si="105"/>
        <v>34613.279999999999</v>
      </c>
      <c r="AG152" s="692">
        <f t="shared" si="106"/>
        <v>0</v>
      </c>
      <c r="AH152" s="671">
        <f t="shared" si="107"/>
        <v>35167.089999999997</v>
      </c>
      <c r="AI152" s="691">
        <f t="shared" si="108"/>
        <v>11722.36</v>
      </c>
      <c r="AJ152" s="691">
        <f t="shared" si="128"/>
        <v>1.016</v>
      </c>
      <c r="AK152" s="671">
        <f t="shared" si="109"/>
        <v>35167.089999999997</v>
      </c>
      <c r="AL152" s="671">
        <f t="shared" si="110"/>
        <v>0</v>
      </c>
      <c r="AM152" s="661">
        <v>0.04</v>
      </c>
      <c r="AN152" s="662">
        <f t="shared" si="91"/>
        <v>0.04</v>
      </c>
      <c r="AO152" s="691">
        <f t="shared" si="111"/>
        <v>1331.28</v>
      </c>
      <c r="AP152" s="691">
        <f t="shared" si="112"/>
        <v>1331.28</v>
      </c>
      <c r="AQ152" s="691">
        <f t="shared" si="113"/>
        <v>1384.53</v>
      </c>
      <c r="AR152" s="691">
        <f t="shared" si="114"/>
        <v>1406.68</v>
      </c>
      <c r="AS152" s="671">
        <f t="shared" si="115"/>
        <v>31950.720000000001</v>
      </c>
      <c r="AT152" s="671">
        <f t="shared" si="116"/>
        <v>31950.720000000001</v>
      </c>
      <c r="AU152" s="671">
        <f t="shared" si="117"/>
        <v>33228.75</v>
      </c>
      <c r="AV152" s="671">
        <f t="shared" si="118"/>
        <v>33760.409999999996</v>
      </c>
      <c r="AW152" s="695">
        <f t="shared" si="119"/>
        <v>7141.12</v>
      </c>
      <c r="AX152" s="696">
        <f t="shared" si="120"/>
        <v>7141.12</v>
      </c>
      <c r="AY152" s="696">
        <f t="shared" si="121"/>
        <v>7426.76</v>
      </c>
      <c r="AZ152" s="697">
        <f t="shared" si="122"/>
        <v>7545.59</v>
      </c>
      <c r="BA152" s="832"/>
      <c r="BB152" s="663">
        <f t="shared" si="123"/>
        <v>101732.12999999999</v>
      </c>
      <c r="BC152" s="694">
        <f t="shared" si="124"/>
        <v>136344.37</v>
      </c>
      <c r="BD152" s="694">
        <f t="shared" si="125"/>
        <v>0</v>
      </c>
      <c r="BE152" s="663">
        <f t="shared" si="92"/>
        <v>8477.6774999999998</v>
      </c>
      <c r="BG152" s="699">
        <v>8.4099999999999994E-2</v>
      </c>
      <c r="BH152" s="700">
        <v>0.22</v>
      </c>
    </row>
    <row r="153" spans="1:60" ht="21" hidden="1" customHeight="1">
      <c r="A153" s="651" t="s">
        <v>830</v>
      </c>
      <c r="B153" s="655" t="s">
        <v>784</v>
      </c>
      <c r="C153" s="655" t="s">
        <v>755</v>
      </c>
      <c r="D153" s="652">
        <v>3119</v>
      </c>
      <c r="E153" s="735"/>
      <c r="F153" s="735"/>
      <c r="G153" s="652">
        <v>1</v>
      </c>
      <c r="H153" s="735"/>
      <c r="I153" s="735"/>
      <c r="J153" s="808" t="s">
        <v>497</v>
      </c>
      <c r="K153" s="682">
        <f t="shared" si="131"/>
        <v>9763</v>
      </c>
      <c r="L153" s="688">
        <v>9763</v>
      </c>
      <c r="M153" s="735"/>
      <c r="N153" s="688">
        <f t="shared" si="93"/>
        <v>0</v>
      </c>
      <c r="O153" s="735"/>
      <c r="P153" s="687">
        <f t="shared" si="126"/>
        <v>0</v>
      </c>
      <c r="Q153" s="689">
        <f t="shared" si="94"/>
        <v>9763</v>
      </c>
      <c r="R153" s="686">
        <f t="shared" si="95"/>
        <v>9763</v>
      </c>
      <c r="S153" s="736"/>
      <c r="T153" s="736"/>
      <c r="U153" s="671">
        <f t="shared" si="96"/>
        <v>29289</v>
      </c>
      <c r="V153" s="671">
        <f t="shared" si="97"/>
        <v>29289</v>
      </c>
      <c r="W153" s="671">
        <f t="shared" si="98"/>
        <v>0</v>
      </c>
      <c r="X153" s="671">
        <f t="shared" si="99"/>
        <v>29289</v>
      </c>
      <c r="Y153" s="691">
        <f t="shared" si="100"/>
        <v>9763</v>
      </c>
      <c r="Z153" s="691">
        <v>1</v>
      </c>
      <c r="AA153" s="671">
        <f t="shared" si="101"/>
        <v>29289</v>
      </c>
      <c r="AB153" s="671">
        <f t="shared" si="102"/>
        <v>0</v>
      </c>
      <c r="AC153" s="671">
        <f t="shared" si="103"/>
        <v>30460.560000000001</v>
      </c>
      <c r="AD153" s="689">
        <f t="shared" si="104"/>
        <v>10153.52</v>
      </c>
      <c r="AE153" s="691">
        <f t="shared" si="127"/>
        <v>1.04</v>
      </c>
      <c r="AF153" s="671">
        <f t="shared" si="105"/>
        <v>30460.560000000001</v>
      </c>
      <c r="AG153" s="692">
        <f t="shared" si="106"/>
        <v>0</v>
      </c>
      <c r="AH153" s="671">
        <f t="shared" si="107"/>
        <v>30947.93</v>
      </c>
      <c r="AI153" s="691">
        <f t="shared" si="108"/>
        <v>10315.98</v>
      </c>
      <c r="AJ153" s="691">
        <f t="shared" si="128"/>
        <v>1.016</v>
      </c>
      <c r="AK153" s="671">
        <f t="shared" si="109"/>
        <v>30947.93</v>
      </c>
      <c r="AL153" s="671">
        <f t="shared" si="110"/>
        <v>0</v>
      </c>
      <c r="AM153" s="661">
        <v>0.04</v>
      </c>
      <c r="AN153" s="662">
        <f t="shared" si="91"/>
        <v>0.04</v>
      </c>
      <c r="AO153" s="691">
        <f t="shared" si="111"/>
        <v>1171.56</v>
      </c>
      <c r="AP153" s="691">
        <f t="shared" si="112"/>
        <v>1171.56</v>
      </c>
      <c r="AQ153" s="691">
        <f t="shared" si="113"/>
        <v>1218.42</v>
      </c>
      <c r="AR153" s="691">
        <f t="shared" si="114"/>
        <v>1237.92</v>
      </c>
      <c r="AS153" s="671">
        <f t="shared" si="115"/>
        <v>28117.439999999999</v>
      </c>
      <c r="AT153" s="671">
        <f t="shared" si="116"/>
        <v>28117.439999999999</v>
      </c>
      <c r="AU153" s="671">
        <f t="shared" si="117"/>
        <v>29242.14</v>
      </c>
      <c r="AV153" s="671">
        <f t="shared" si="118"/>
        <v>29710.010000000002</v>
      </c>
      <c r="AW153" s="695">
        <f t="shared" si="119"/>
        <v>6284.36</v>
      </c>
      <c r="AX153" s="696">
        <f t="shared" si="120"/>
        <v>6284.36</v>
      </c>
      <c r="AY153" s="696">
        <f t="shared" si="121"/>
        <v>6535.74</v>
      </c>
      <c r="AZ153" s="697">
        <f t="shared" si="122"/>
        <v>6640.31</v>
      </c>
      <c r="BA153" s="832"/>
      <c r="BB153" s="663">
        <f t="shared" si="123"/>
        <v>89526.97</v>
      </c>
      <c r="BC153" s="694">
        <f t="shared" si="124"/>
        <v>119986.49</v>
      </c>
      <c r="BD153" s="694">
        <f t="shared" si="125"/>
        <v>0</v>
      </c>
      <c r="BE153" s="663">
        <f t="shared" si="92"/>
        <v>7460.5808333333334</v>
      </c>
      <c r="BG153" s="699">
        <v>8.4099999999999994E-2</v>
      </c>
      <c r="BH153" s="700">
        <v>0.22</v>
      </c>
    </row>
    <row r="154" spans="1:60" ht="21" hidden="1" customHeight="1">
      <c r="A154" s="651" t="s">
        <v>831</v>
      </c>
      <c r="B154" s="655" t="s">
        <v>784</v>
      </c>
      <c r="C154" s="655" t="s">
        <v>755</v>
      </c>
      <c r="D154" s="652">
        <v>3119</v>
      </c>
      <c r="E154" s="735"/>
      <c r="F154" s="735"/>
      <c r="G154" s="652">
        <v>1</v>
      </c>
      <c r="H154" s="735"/>
      <c r="I154" s="735"/>
      <c r="J154" s="808" t="s">
        <v>497</v>
      </c>
      <c r="K154" s="682">
        <f t="shared" si="131"/>
        <v>8432</v>
      </c>
      <c r="L154" s="688">
        <v>8432</v>
      </c>
      <c r="M154" s="735"/>
      <c r="N154" s="688">
        <f t="shared" si="93"/>
        <v>0</v>
      </c>
      <c r="O154" s="735"/>
      <c r="P154" s="687">
        <f t="shared" si="126"/>
        <v>0</v>
      </c>
      <c r="Q154" s="689">
        <f t="shared" si="94"/>
        <v>8432</v>
      </c>
      <c r="R154" s="686">
        <f t="shared" si="95"/>
        <v>8432</v>
      </c>
      <c r="S154" s="736"/>
      <c r="T154" s="736"/>
      <c r="U154" s="671">
        <f t="shared" si="96"/>
        <v>25296</v>
      </c>
      <c r="V154" s="671">
        <f t="shared" si="97"/>
        <v>25296</v>
      </c>
      <c r="W154" s="671">
        <f t="shared" si="98"/>
        <v>0</v>
      </c>
      <c r="X154" s="671">
        <f t="shared" si="99"/>
        <v>25296</v>
      </c>
      <c r="Y154" s="691">
        <f t="shared" si="100"/>
        <v>8432</v>
      </c>
      <c r="Z154" s="691">
        <v>1</v>
      </c>
      <c r="AA154" s="671">
        <f t="shared" si="101"/>
        <v>25296</v>
      </c>
      <c r="AB154" s="671">
        <f t="shared" si="102"/>
        <v>0</v>
      </c>
      <c r="AC154" s="671">
        <f t="shared" si="103"/>
        <v>26307.84</v>
      </c>
      <c r="AD154" s="689">
        <f t="shared" si="104"/>
        <v>8769.2800000000007</v>
      </c>
      <c r="AE154" s="691">
        <f t="shared" si="127"/>
        <v>1.04</v>
      </c>
      <c r="AF154" s="671">
        <f t="shared" si="105"/>
        <v>26307.84</v>
      </c>
      <c r="AG154" s="692">
        <f t="shared" si="106"/>
        <v>0</v>
      </c>
      <c r="AH154" s="671">
        <f t="shared" si="107"/>
        <v>26728.77</v>
      </c>
      <c r="AI154" s="691">
        <f t="shared" si="108"/>
        <v>8909.59</v>
      </c>
      <c r="AJ154" s="691">
        <f t="shared" si="128"/>
        <v>1.016</v>
      </c>
      <c r="AK154" s="671">
        <f t="shared" si="109"/>
        <v>26728.77</v>
      </c>
      <c r="AL154" s="671">
        <f t="shared" si="110"/>
        <v>0</v>
      </c>
      <c r="AM154" s="661">
        <v>0.04</v>
      </c>
      <c r="AN154" s="662">
        <f t="shared" si="91"/>
        <v>0.04</v>
      </c>
      <c r="AO154" s="691">
        <f t="shared" si="111"/>
        <v>1011.84</v>
      </c>
      <c r="AP154" s="691">
        <f t="shared" si="112"/>
        <v>1011.84</v>
      </c>
      <c r="AQ154" s="691">
        <f t="shared" si="113"/>
        <v>1052.31</v>
      </c>
      <c r="AR154" s="691">
        <f t="shared" si="114"/>
        <v>1069.1500000000001</v>
      </c>
      <c r="AS154" s="671">
        <f t="shared" si="115"/>
        <v>24284.16</v>
      </c>
      <c r="AT154" s="671">
        <f t="shared" si="116"/>
        <v>24284.16</v>
      </c>
      <c r="AU154" s="671">
        <f t="shared" si="117"/>
        <v>25255.53</v>
      </c>
      <c r="AV154" s="671">
        <f t="shared" si="118"/>
        <v>25659.62</v>
      </c>
      <c r="AW154" s="695">
        <f t="shared" si="119"/>
        <v>5427.61</v>
      </c>
      <c r="AX154" s="696">
        <f t="shared" si="120"/>
        <v>5427.61</v>
      </c>
      <c r="AY154" s="696">
        <f t="shared" si="121"/>
        <v>5644.72</v>
      </c>
      <c r="AZ154" s="697">
        <f t="shared" si="122"/>
        <v>5735.03</v>
      </c>
      <c r="BA154" s="832"/>
      <c r="BB154" s="663">
        <f t="shared" si="123"/>
        <v>77321.81</v>
      </c>
      <c r="BC154" s="694">
        <f t="shared" si="124"/>
        <v>103628.61</v>
      </c>
      <c r="BD154" s="694">
        <f t="shared" si="125"/>
        <v>0</v>
      </c>
      <c r="BE154" s="663">
        <f t="shared" si="92"/>
        <v>6443.4841666666662</v>
      </c>
      <c r="BG154" s="699">
        <v>8.4099999999999994E-2</v>
      </c>
      <c r="BH154" s="700">
        <v>0.22</v>
      </c>
    </row>
    <row r="155" spans="1:60" ht="21" hidden="1" customHeight="1">
      <c r="A155" s="651" t="s">
        <v>832</v>
      </c>
      <c r="B155" s="655" t="s">
        <v>784</v>
      </c>
      <c r="C155" s="655" t="s">
        <v>755</v>
      </c>
      <c r="D155" s="652">
        <v>3119</v>
      </c>
      <c r="E155" s="735"/>
      <c r="F155" s="735"/>
      <c r="G155" s="652">
        <v>3</v>
      </c>
      <c r="H155" s="735"/>
      <c r="I155" s="735"/>
      <c r="J155" s="808" t="s">
        <v>497</v>
      </c>
      <c r="K155" s="682">
        <f t="shared" si="131"/>
        <v>24228.99</v>
      </c>
      <c r="L155" s="688">
        <f>24229/3</f>
        <v>8076.333333333333</v>
      </c>
      <c r="M155" s="735"/>
      <c r="N155" s="688">
        <f t="shared" si="93"/>
        <v>0</v>
      </c>
      <c r="O155" s="735"/>
      <c r="P155" s="687">
        <f t="shared" si="126"/>
        <v>0</v>
      </c>
      <c r="Q155" s="689">
        <f t="shared" si="94"/>
        <v>8076.33</v>
      </c>
      <c r="R155" s="686">
        <f t="shared" si="95"/>
        <v>24228.99</v>
      </c>
      <c r="S155" s="736"/>
      <c r="T155" s="736"/>
      <c r="U155" s="671">
        <f t="shared" si="96"/>
        <v>72687</v>
      </c>
      <c r="V155" s="671">
        <f t="shared" si="97"/>
        <v>72687</v>
      </c>
      <c r="W155" s="671">
        <f t="shared" si="98"/>
        <v>0</v>
      </c>
      <c r="X155" s="671">
        <f t="shared" si="99"/>
        <v>72687</v>
      </c>
      <c r="Y155" s="691">
        <f t="shared" si="100"/>
        <v>8076.333333333333</v>
      </c>
      <c r="Z155" s="691">
        <v>1</v>
      </c>
      <c r="AA155" s="671">
        <f t="shared" si="101"/>
        <v>72687</v>
      </c>
      <c r="AB155" s="671">
        <f t="shared" si="102"/>
        <v>0</v>
      </c>
      <c r="AC155" s="671">
        <f t="shared" si="103"/>
        <v>75594.48</v>
      </c>
      <c r="AD155" s="689">
        <f t="shared" si="104"/>
        <v>8399.39</v>
      </c>
      <c r="AE155" s="691">
        <f t="shared" si="127"/>
        <v>1.04</v>
      </c>
      <c r="AF155" s="671">
        <f t="shared" si="105"/>
        <v>75594.48</v>
      </c>
      <c r="AG155" s="692">
        <f t="shared" si="106"/>
        <v>0</v>
      </c>
      <c r="AH155" s="671">
        <f t="shared" si="107"/>
        <v>76803.990000000005</v>
      </c>
      <c r="AI155" s="691">
        <f t="shared" si="108"/>
        <v>8533.7800000000007</v>
      </c>
      <c r="AJ155" s="691">
        <f t="shared" si="128"/>
        <v>1.016</v>
      </c>
      <c r="AK155" s="671">
        <f t="shared" si="109"/>
        <v>76803.990000000005</v>
      </c>
      <c r="AL155" s="671">
        <f t="shared" si="110"/>
        <v>0</v>
      </c>
      <c r="AM155" s="661">
        <v>0.04</v>
      </c>
      <c r="AN155" s="662">
        <f t="shared" si="91"/>
        <v>0.12</v>
      </c>
      <c r="AO155" s="691">
        <f t="shared" si="111"/>
        <v>2907.48</v>
      </c>
      <c r="AP155" s="691">
        <f t="shared" si="112"/>
        <v>2907.48</v>
      </c>
      <c r="AQ155" s="691">
        <f t="shared" si="113"/>
        <v>3023.78</v>
      </c>
      <c r="AR155" s="691">
        <f t="shared" si="114"/>
        <v>3072.16</v>
      </c>
      <c r="AS155" s="671">
        <f t="shared" si="115"/>
        <v>69779.520000000004</v>
      </c>
      <c r="AT155" s="671">
        <f t="shared" si="116"/>
        <v>69779.520000000004</v>
      </c>
      <c r="AU155" s="671">
        <f t="shared" si="117"/>
        <v>72570.7</v>
      </c>
      <c r="AV155" s="671">
        <f t="shared" si="118"/>
        <v>73731.83</v>
      </c>
      <c r="AW155" s="695">
        <f t="shared" si="119"/>
        <v>15596.01</v>
      </c>
      <c r="AX155" s="696">
        <f t="shared" si="120"/>
        <v>15596.01</v>
      </c>
      <c r="AY155" s="696">
        <f t="shared" si="121"/>
        <v>16219.85</v>
      </c>
      <c r="AZ155" s="697">
        <f t="shared" si="122"/>
        <v>16479.37</v>
      </c>
      <c r="BA155" s="832"/>
      <c r="BB155" s="663">
        <f t="shared" si="123"/>
        <v>222179.03000000003</v>
      </c>
      <c r="BC155" s="694">
        <f t="shared" si="124"/>
        <v>297772.46999999997</v>
      </c>
      <c r="BD155" s="694">
        <f t="shared" si="125"/>
        <v>0</v>
      </c>
      <c r="BE155" s="663">
        <f t="shared" si="92"/>
        <v>6171.6397222222231</v>
      </c>
      <c r="BG155" s="699">
        <v>8.4099999999999994E-2</v>
      </c>
      <c r="BH155" s="700">
        <v>0.22</v>
      </c>
    </row>
    <row r="156" spans="1:60" ht="21" hidden="1" customHeight="1">
      <c r="A156" s="651" t="s">
        <v>833</v>
      </c>
      <c r="B156" s="655" t="s">
        <v>784</v>
      </c>
      <c r="C156" s="655" t="s">
        <v>755</v>
      </c>
      <c r="D156" s="652">
        <v>3115</v>
      </c>
      <c r="E156" s="735"/>
      <c r="F156" s="735"/>
      <c r="G156" s="652">
        <v>3</v>
      </c>
      <c r="H156" s="735"/>
      <c r="I156" s="735"/>
      <c r="J156" s="808" t="s">
        <v>497</v>
      </c>
      <c r="K156" s="682">
        <f t="shared" si="131"/>
        <v>24228.99</v>
      </c>
      <c r="L156" s="688">
        <f>24229/3</f>
        <v>8076.333333333333</v>
      </c>
      <c r="M156" s="735"/>
      <c r="N156" s="688">
        <f t="shared" si="93"/>
        <v>0</v>
      </c>
      <c r="O156" s="735"/>
      <c r="P156" s="687">
        <f t="shared" si="126"/>
        <v>0</v>
      </c>
      <c r="Q156" s="689">
        <f t="shared" si="94"/>
        <v>8076.33</v>
      </c>
      <c r="R156" s="686">
        <f t="shared" si="95"/>
        <v>24228.99</v>
      </c>
      <c r="S156" s="736"/>
      <c r="T156" s="736"/>
      <c r="U156" s="671">
        <f t="shared" si="96"/>
        <v>72687</v>
      </c>
      <c r="V156" s="671">
        <f t="shared" si="97"/>
        <v>72687</v>
      </c>
      <c r="W156" s="671">
        <f t="shared" si="98"/>
        <v>0</v>
      </c>
      <c r="X156" s="671">
        <f t="shared" si="99"/>
        <v>72687</v>
      </c>
      <c r="Y156" s="691">
        <f t="shared" si="100"/>
        <v>8076.333333333333</v>
      </c>
      <c r="Z156" s="691">
        <v>1</v>
      </c>
      <c r="AA156" s="671">
        <f t="shared" si="101"/>
        <v>72687</v>
      </c>
      <c r="AB156" s="671">
        <f t="shared" si="102"/>
        <v>0</v>
      </c>
      <c r="AC156" s="671">
        <f t="shared" si="103"/>
        <v>75594.48</v>
      </c>
      <c r="AD156" s="689">
        <f t="shared" si="104"/>
        <v>8399.39</v>
      </c>
      <c r="AE156" s="691">
        <f t="shared" si="127"/>
        <v>1.04</v>
      </c>
      <c r="AF156" s="671">
        <f t="shared" si="105"/>
        <v>75594.48</v>
      </c>
      <c r="AG156" s="692">
        <f t="shared" si="106"/>
        <v>0</v>
      </c>
      <c r="AH156" s="671">
        <f t="shared" si="107"/>
        <v>76803.990000000005</v>
      </c>
      <c r="AI156" s="691">
        <f t="shared" si="108"/>
        <v>8533.7800000000007</v>
      </c>
      <c r="AJ156" s="691">
        <f t="shared" si="128"/>
        <v>1.016</v>
      </c>
      <c r="AK156" s="671">
        <f t="shared" si="109"/>
        <v>76803.990000000005</v>
      </c>
      <c r="AL156" s="671">
        <f t="shared" si="110"/>
        <v>0</v>
      </c>
      <c r="AM156" s="661">
        <v>0.04</v>
      </c>
      <c r="AN156" s="662">
        <f t="shared" si="91"/>
        <v>0.12</v>
      </c>
      <c r="AO156" s="691">
        <f t="shared" si="111"/>
        <v>2907.48</v>
      </c>
      <c r="AP156" s="691">
        <f t="shared" si="112"/>
        <v>2907.48</v>
      </c>
      <c r="AQ156" s="691">
        <f t="shared" si="113"/>
        <v>3023.78</v>
      </c>
      <c r="AR156" s="691">
        <f t="shared" si="114"/>
        <v>3072.16</v>
      </c>
      <c r="AS156" s="671">
        <f t="shared" si="115"/>
        <v>69779.520000000004</v>
      </c>
      <c r="AT156" s="671">
        <f t="shared" si="116"/>
        <v>69779.520000000004</v>
      </c>
      <c r="AU156" s="671">
        <f t="shared" si="117"/>
        <v>72570.7</v>
      </c>
      <c r="AV156" s="671">
        <f t="shared" si="118"/>
        <v>73731.83</v>
      </c>
      <c r="AW156" s="695">
        <f t="shared" si="119"/>
        <v>15596.01</v>
      </c>
      <c r="AX156" s="696">
        <f t="shared" si="120"/>
        <v>15596.01</v>
      </c>
      <c r="AY156" s="696">
        <f t="shared" si="121"/>
        <v>16219.85</v>
      </c>
      <c r="AZ156" s="697">
        <f t="shared" si="122"/>
        <v>16479.37</v>
      </c>
      <c r="BA156" s="832"/>
      <c r="BB156" s="663">
        <f t="shared" si="123"/>
        <v>222179.03000000003</v>
      </c>
      <c r="BC156" s="694">
        <f t="shared" si="124"/>
        <v>297772.46999999997</v>
      </c>
      <c r="BD156" s="694">
        <f t="shared" si="125"/>
        <v>0</v>
      </c>
      <c r="BE156" s="663">
        <f t="shared" si="92"/>
        <v>6171.6397222222231</v>
      </c>
      <c r="BG156" s="699">
        <v>8.4099999999999994E-2</v>
      </c>
      <c r="BH156" s="700">
        <v>0.22</v>
      </c>
    </row>
    <row r="157" spans="1:60" ht="30" hidden="1" customHeight="1">
      <c r="A157" s="651" t="s">
        <v>834</v>
      </c>
      <c r="B157" s="655" t="s">
        <v>784</v>
      </c>
      <c r="C157" s="655" t="s">
        <v>809</v>
      </c>
      <c r="D157" s="652">
        <v>3119</v>
      </c>
      <c r="E157" s="735"/>
      <c r="F157" s="735"/>
      <c r="G157" s="652">
        <v>1</v>
      </c>
      <c r="H157" s="735"/>
      <c r="I157" s="735"/>
      <c r="J157" s="702" t="s">
        <v>497</v>
      </c>
      <c r="K157" s="682">
        <f t="shared" si="131"/>
        <v>11094</v>
      </c>
      <c r="L157" s="688">
        <v>11094</v>
      </c>
      <c r="M157" s="735"/>
      <c r="N157" s="688">
        <f t="shared" si="93"/>
        <v>0</v>
      </c>
      <c r="O157" s="735"/>
      <c r="P157" s="687">
        <f t="shared" si="126"/>
        <v>0</v>
      </c>
      <c r="Q157" s="689">
        <f t="shared" si="94"/>
        <v>11094</v>
      </c>
      <c r="R157" s="686">
        <f t="shared" si="95"/>
        <v>11094</v>
      </c>
      <c r="S157" s="736"/>
      <c r="T157" s="736"/>
      <c r="U157" s="671">
        <f t="shared" si="96"/>
        <v>33282</v>
      </c>
      <c r="V157" s="671">
        <f t="shared" si="97"/>
        <v>33282</v>
      </c>
      <c r="W157" s="671">
        <f t="shared" si="98"/>
        <v>0</v>
      </c>
      <c r="X157" s="671">
        <f t="shared" si="99"/>
        <v>33282</v>
      </c>
      <c r="Y157" s="691">
        <f t="shared" si="100"/>
        <v>11094</v>
      </c>
      <c r="Z157" s="691">
        <v>1</v>
      </c>
      <c r="AA157" s="671">
        <f t="shared" si="101"/>
        <v>33282</v>
      </c>
      <c r="AB157" s="671">
        <f t="shared" si="102"/>
        <v>0</v>
      </c>
      <c r="AC157" s="671">
        <f t="shared" si="103"/>
        <v>34613.279999999999</v>
      </c>
      <c r="AD157" s="689">
        <f t="shared" si="104"/>
        <v>11537.76</v>
      </c>
      <c r="AE157" s="691">
        <f t="shared" si="127"/>
        <v>1.04</v>
      </c>
      <c r="AF157" s="671">
        <f t="shared" si="105"/>
        <v>34613.279999999999</v>
      </c>
      <c r="AG157" s="692">
        <f t="shared" si="106"/>
        <v>0</v>
      </c>
      <c r="AH157" s="671">
        <f t="shared" si="107"/>
        <v>35167.089999999997</v>
      </c>
      <c r="AI157" s="691">
        <f t="shared" si="108"/>
        <v>11722.36</v>
      </c>
      <c r="AJ157" s="691">
        <f t="shared" si="128"/>
        <v>1.016</v>
      </c>
      <c r="AK157" s="671">
        <f t="shared" si="109"/>
        <v>35167.089999999997</v>
      </c>
      <c r="AL157" s="671">
        <f t="shared" si="110"/>
        <v>0</v>
      </c>
      <c r="AM157" s="661">
        <v>0.04</v>
      </c>
      <c r="AN157" s="662">
        <f t="shared" si="91"/>
        <v>0.04</v>
      </c>
      <c r="AO157" s="691">
        <f t="shared" si="111"/>
        <v>1331.28</v>
      </c>
      <c r="AP157" s="691">
        <f t="shared" si="112"/>
        <v>1331.28</v>
      </c>
      <c r="AQ157" s="691">
        <f t="shared" si="113"/>
        <v>1384.53</v>
      </c>
      <c r="AR157" s="691">
        <f t="shared" si="114"/>
        <v>1406.68</v>
      </c>
      <c r="AS157" s="671">
        <f t="shared" si="115"/>
        <v>31950.720000000001</v>
      </c>
      <c r="AT157" s="671">
        <f t="shared" si="116"/>
        <v>31950.720000000001</v>
      </c>
      <c r="AU157" s="671">
        <f t="shared" si="117"/>
        <v>33228.75</v>
      </c>
      <c r="AV157" s="671">
        <f t="shared" si="118"/>
        <v>33760.409999999996</v>
      </c>
      <c r="AW157" s="695">
        <f t="shared" si="119"/>
        <v>7141.12</v>
      </c>
      <c r="AX157" s="696">
        <f t="shared" si="120"/>
        <v>7141.12</v>
      </c>
      <c r="AY157" s="696">
        <f t="shared" si="121"/>
        <v>7426.76</v>
      </c>
      <c r="AZ157" s="697">
        <f t="shared" si="122"/>
        <v>7545.59</v>
      </c>
      <c r="BA157" s="832"/>
      <c r="BB157" s="663">
        <f t="shared" si="123"/>
        <v>101732.12999999999</v>
      </c>
      <c r="BC157" s="694">
        <f t="shared" si="124"/>
        <v>136344.37</v>
      </c>
      <c r="BD157" s="694">
        <f t="shared" si="125"/>
        <v>0</v>
      </c>
      <c r="BE157" s="663">
        <f t="shared" si="92"/>
        <v>8477.6774999999998</v>
      </c>
      <c r="BG157" s="699">
        <v>8.4099999999999994E-2</v>
      </c>
      <c r="BH157" s="700">
        <v>0.22</v>
      </c>
    </row>
    <row r="158" spans="1:60" ht="21" customHeight="1">
      <c r="A158" s="651" t="s">
        <v>477</v>
      </c>
      <c r="B158" s="655" t="s">
        <v>783</v>
      </c>
      <c r="C158" s="655" t="s">
        <v>797</v>
      </c>
      <c r="D158" s="652" t="s">
        <v>807</v>
      </c>
      <c r="E158" s="735"/>
      <c r="F158" s="735"/>
      <c r="G158" s="652">
        <v>1</v>
      </c>
      <c r="H158" s="735"/>
      <c r="I158" s="735">
        <v>1</v>
      </c>
      <c r="J158" s="702" t="s">
        <v>512</v>
      </c>
      <c r="K158" s="737">
        <f t="shared" ref="K158:K171" si="132">R158</f>
        <v>20869</v>
      </c>
      <c r="L158" s="688">
        <v>20869</v>
      </c>
      <c r="M158" s="735"/>
      <c r="N158" s="688">
        <f t="shared" si="93"/>
        <v>0</v>
      </c>
      <c r="O158" s="735"/>
      <c r="P158" s="687">
        <f t="shared" si="126"/>
        <v>0</v>
      </c>
      <c r="Q158" s="689">
        <f t="shared" si="94"/>
        <v>20869</v>
      </c>
      <c r="R158" s="686">
        <f t="shared" si="95"/>
        <v>20869</v>
      </c>
      <c r="S158" s="736"/>
      <c r="T158" s="736"/>
      <c r="U158" s="671">
        <f t="shared" si="96"/>
        <v>62607</v>
      </c>
      <c r="V158" s="671">
        <f t="shared" si="97"/>
        <v>62607</v>
      </c>
      <c r="W158" s="671">
        <f t="shared" si="98"/>
        <v>0</v>
      </c>
      <c r="X158" s="671">
        <f t="shared" si="99"/>
        <v>62607</v>
      </c>
      <c r="Y158" s="691">
        <f t="shared" si="100"/>
        <v>20869</v>
      </c>
      <c r="Z158" s="691">
        <v>1</v>
      </c>
      <c r="AA158" s="671">
        <f t="shared" si="101"/>
        <v>62607</v>
      </c>
      <c r="AB158" s="671">
        <f t="shared" si="102"/>
        <v>0</v>
      </c>
      <c r="AC158" s="671">
        <f t="shared" si="103"/>
        <v>65111.28</v>
      </c>
      <c r="AD158" s="689">
        <f t="shared" si="104"/>
        <v>21703.759999999998</v>
      </c>
      <c r="AE158" s="691">
        <f t="shared" si="127"/>
        <v>1.04</v>
      </c>
      <c r="AF158" s="671">
        <f t="shared" si="105"/>
        <v>65111.28</v>
      </c>
      <c r="AG158" s="692">
        <f t="shared" si="106"/>
        <v>0</v>
      </c>
      <c r="AH158" s="671">
        <f t="shared" si="107"/>
        <v>66153.06</v>
      </c>
      <c r="AI158" s="691">
        <f t="shared" si="108"/>
        <v>22051.02</v>
      </c>
      <c r="AJ158" s="691">
        <f t="shared" si="128"/>
        <v>1.016</v>
      </c>
      <c r="AK158" s="671">
        <f t="shared" si="109"/>
        <v>66153.06</v>
      </c>
      <c r="AL158" s="671">
        <f t="shared" si="110"/>
        <v>0</v>
      </c>
      <c r="AM158" s="661">
        <v>0.04</v>
      </c>
      <c r="AN158" s="662">
        <f t="shared" si="91"/>
        <v>0.04</v>
      </c>
      <c r="AO158" s="691">
        <f t="shared" si="111"/>
        <v>2504.2800000000002</v>
      </c>
      <c r="AP158" s="691">
        <f t="shared" si="112"/>
        <v>2504.2800000000002</v>
      </c>
      <c r="AQ158" s="691">
        <f t="shared" si="113"/>
        <v>2604.4499999999998</v>
      </c>
      <c r="AR158" s="691">
        <f t="shared" si="114"/>
        <v>2646.12</v>
      </c>
      <c r="AS158" s="671">
        <f t="shared" si="115"/>
        <v>60102.720000000001</v>
      </c>
      <c r="AT158" s="671">
        <f t="shared" si="116"/>
        <v>60102.720000000001</v>
      </c>
      <c r="AU158" s="671">
        <f t="shared" si="117"/>
        <v>62506.83</v>
      </c>
      <c r="AV158" s="671">
        <f t="shared" si="118"/>
        <v>63506.939999999995</v>
      </c>
      <c r="AW158" s="695">
        <f t="shared" si="119"/>
        <v>13433.21</v>
      </c>
      <c r="AX158" s="696">
        <f t="shared" si="120"/>
        <v>13433.21</v>
      </c>
      <c r="AY158" s="696">
        <f t="shared" si="121"/>
        <v>13970.54</v>
      </c>
      <c r="AZ158" s="697">
        <f t="shared" si="122"/>
        <v>14194.07</v>
      </c>
      <c r="BA158" s="832"/>
      <c r="BB158" s="663">
        <f t="shared" si="123"/>
        <v>191368.09999999998</v>
      </c>
      <c r="BC158" s="694">
        <f t="shared" si="124"/>
        <v>256478.34</v>
      </c>
      <c r="BD158" s="694">
        <f t="shared" si="125"/>
        <v>0</v>
      </c>
      <c r="BE158" s="663">
        <f t="shared" si="92"/>
        <v>15947.341666666665</v>
      </c>
      <c r="BG158" s="699">
        <v>8.4099999999999994E-2</v>
      </c>
      <c r="BH158" s="700">
        <v>0.22</v>
      </c>
    </row>
    <row r="159" spans="1:60" ht="21" hidden="1" customHeight="1">
      <c r="A159" s="651" t="s">
        <v>835</v>
      </c>
      <c r="B159" s="655" t="s">
        <v>783</v>
      </c>
      <c r="C159" s="655" t="s">
        <v>810</v>
      </c>
      <c r="D159" s="652" t="s">
        <v>836</v>
      </c>
      <c r="E159" s="735"/>
      <c r="F159" s="735"/>
      <c r="G159" s="652">
        <v>1</v>
      </c>
      <c r="H159" s="735"/>
      <c r="I159" s="735"/>
      <c r="J159" s="702" t="s">
        <v>512</v>
      </c>
      <c r="K159" s="737">
        <f t="shared" si="132"/>
        <v>17572</v>
      </c>
      <c r="L159" s="688">
        <v>17572</v>
      </c>
      <c r="M159" s="735"/>
      <c r="N159" s="688">
        <f t="shared" si="93"/>
        <v>0</v>
      </c>
      <c r="O159" s="735"/>
      <c r="P159" s="687">
        <f t="shared" si="126"/>
        <v>0</v>
      </c>
      <c r="Q159" s="689">
        <f t="shared" si="94"/>
        <v>17572</v>
      </c>
      <c r="R159" s="686">
        <f t="shared" si="95"/>
        <v>17572</v>
      </c>
      <c r="S159" s="736"/>
      <c r="T159" s="736"/>
      <c r="U159" s="671">
        <f t="shared" si="96"/>
        <v>52716</v>
      </c>
      <c r="V159" s="671">
        <f t="shared" si="97"/>
        <v>52716</v>
      </c>
      <c r="W159" s="671">
        <f t="shared" si="98"/>
        <v>0</v>
      </c>
      <c r="X159" s="671">
        <f t="shared" si="99"/>
        <v>52716</v>
      </c>
      <c r="Y159" s="691">
        <f t="shared" si="100"/>
        <v>17572</v>
      </c>
      <c r="Z159" s="691">
        <v>1</v>
      </c>
      <c r="AA159" s="671">
        <f t="shared" si="101"/>
        <v>52716</v>
      </c>
      <c r="AB159" s="671">
        <f t="shared" si="102"/>
        <v>0</v>
      </c>
      <c r="AC159" s="671">
        <f t="shared" si="103"/>
        <v>54824.639999999999</v>
      </c>
      <c r="AD159" s="689">
        <f t="shared" si="104"/>
        <v>18274.88</v>
      </c>
      <c r="AE159" s="691">
        <f t="shared" si="127"/>
        <v>1.04</v>
      </c>
      <c r="AF159" s="671">
        <f t="shared" si="105"/>
        <v>54824.639999999999</v>
      </c>
      <c r="AG159" s="692">
        <f t="shared" si="106"/>
        <v>0</v>
      </c>
      <c r="AH159" s="671">
        <f t="shared" si="107"/>
        <v>55701.83</v>
      </c>
      <c r="AI159" s="691">
        <f t="shared" si="108"/>
        <v>18567.28</v>
      </c>
      <c r="AJ159" s="691">
        <f t="shared" si="128"/>
        <v>1.016</v>
      </c>
      <c r="AK159" s="671">
        <f t="shared" si="109"/>
        <v>55701.83</v>
      </c>
      <c r="AL159" s="671">
        <f t="shared" si="110"/>
        <v>0</v>
      </c>
      <c r="AM159" s="661">
        <v>0.04</v>
      </c>
      <c r="AN159" s="662">
        <f t="shared" si="91"/>
        <v>0.04</v>
      </c>
      <c r="AO159" s="691">
        <f t="shared" si="111"/>
        <v>2108.64</v>
      </c>
      <c r="AP159" s="691">
        <f t="shared" si="112"/>
        <v>2108.64</v>
      </c>
      <c r="AQ159" s="691">
        <f t="shared" si="113"/>
        <v>2192.9899999999998</v>
      </c>
      <c r="AR159" s="691">
        <f t="shared" si="114"/>
        <v>2228.0700000000002</v>
      </c>
      <c r="AS159" s="671">
        <f t="shared" si="115"/>
        <v>50607.360000000001</v>
      </c>
      <c r="AT159" s="671">
        <f t="shared" si="116"/>
        <v>50607.360000000001</v>
      </c>
      <c r="AU159" s="671">
        <f t="shared" si="117"/>
        <v>52631.65</v>
      </c>
      <c r="AV159" s="671">
        <f t="shared" si="118"/>
        <v>53473.760000000002</v>
      </c>
      <c r="AW159" s="695">
        <f t="shared" si="119"/>
        <v>11310.96</v>
      </c>
      <c r="AX159" s="696">
        <f t="shared" si="120"/>
        <v>11310.96</v>
      </c>
      <c r="AY159" s="696">
        <f t="shared" si="121"/>
        <v>11763.39</v>
      </c>
      <c r="AZ159" s="697">
        <f t="shared" si="122"/>
        <v>11951.61</v>
      </c>
      <c r="BA159" s="832"/>
      <c r="BB159" s="663">
        <f t="shared" si="123"/>
        <v>161134.87</v>
      </c>
      <c r="BC159" s="694">
        <f t="shared" si="124"/>
        <v>215958.47</v>
      </c>
      <c r="BD159" s="694">
        <f t="shared" si="125"/>
        <v>0</v>
      </c>
      <c r="BE159" s="663">
        <f t="shared" si="92"/>
        <v>13427.905833333332</v>
      </c>
      <c r="BG159" s="699">
        <v>8.4099999999999994E-2</v>
      </c>
      <c r="BH159" s="700">
        <v>0.22</v>
      </c>
    </row>
    <row r="160" spans="1:60" ht="21" customHeight="1">
      <c r="A160" s="651" t="s">
        <v>837</v>
      </c>
      <c r="B160" s="655" t="s">
        <v>783</v>
      </c>
      <c r="C160" s="655" t="s">
        <v>802</v>
      </c>
      <c r="D160" s="652">
        <v>2429</v>
      </c>
      <c r="E160" s="735"/>
      <c r="F160" s="735"/>
      <c r="G160" s="652">
        <v>2</v>
      </c>
      <c r="H160" s="735"/>
      <c r="I160" s="735">
        <v>1</v>
      </c>
      <c r="J160" s="702" t="s">
        <v>512</v>
      </c>
      <c r="K160" s="737">
        <f t="shared" si="132"/>
        <v>41740</v>
      </c>
      <c r="L160" s="688">
        <v>20870</v>
      </c>
      <c r="M160" s="735"/>
      <c r="N160" s="688">
        <f t="shared" si="93"/>
        <v>0</v>
      </c>
      <c r="O160" s="735"/>
      <c r="P160" s="687">
        <f t="shared" si="126"/>
        <v>0</v>
      </c>
      <c r="Q160" s="689">
        <f t="shared" si="94"/>
        <v>20870</v>
      </c>
      <c r="R160" s="686">
        <f t="shared" si="95"/>
        <v>41740</v>
      </c>
      <c r="S160" s="736"/>
      <c r="T160" s="736"/>
      <c r="U160" s="671">
        <f t="shared" si="96"/>
        <v>125220</v>
      </c>
      <c r="V160" s="671">
        <f t="shared" si="97"/>
        <v>125220</v>
      </c>
      <c r="W160" s="671">
        <f t="shared" si="98"/>
        <v>0</v>
      </c>
      <c r="X160" s="671">
        <f t="shared" si="99"/>
        <v>125220</v>
      </c>
      <c r="Y160" s="691">
        <f t="shared" si="100"/>
        <v>20870</v>
      </c>
      <c r="Z160" s="691">
        <v>1</v>
      </c>
      <c r="AA160" s="671">
        <f t="shared" si="101"/>
        <v>125220</v>
      </c>
      <c r="AB160" s="671">
        <f t="shared" si="102"/>
        <v>0</v>
      </c>
      <c r="AC160" s="671">
        <f t="shared" si="103"/>
        <v>130228.8</v>
      </c>
      <c r="AD160" s="689">
        <f t="shared" si="104"/>
        <v>21704.799999999999</v>
      </c>
      <c r="AE160" s="691">
        <f t="shared" si="127"/>
        <v>1.04</v>
      </c>
      <c r="AF160" s="671">
        <f t="shared" si="105"/>
        <v>130228.8</v>
      </c>
      <c r="AG160" s="692">
        <f t="shared" si="106"/>
        <v>0</v>
      </c>
      <c r="AH160" s="671">
        <f t="shared" si="107"/>
        <v>132312.46</v>
      </c>
      <c r="AI160" s="691">
        <f t="shared" si="108"/>
        <v>22052.080000000002</v>
      </c>
      <c r="AJ160" s="691">
        <f t="shared" si="128"/>
        <v>1.016</v>
      </c>
      <c r="AK160" s="671">
        <f t="shared" si="109"/>
        <v>132312.46</v>
      </c>
      <c r="AL160" s="671">
        <f t="shared" si="110"/>
        <v>0</v>
      </c>
      <c r="AM160" s="661">
        <v>0.04</v>
      </c>
      <c r="AN160" s="662">
        <f t="shared" si="91"/>
        <v>0.08</v>
      </c>
      <c r="AO160" s="691">
        <f t="shared" si="111"/>
        <v>5008.8</v>
      </c>
      <c r="AP160" s="691">
        <f t="shared" si="112"/>
        <v>5008.8</v>
      </c>
      <c r="AQ160" s="691">
        <f t="shared" si="113"/>
        <v>5209.1499999999996</v>
      </c>
      <c r="AR160" s="691">
        <f t="shared" si="114"/>
        <v>5292.5</v>
      </c>
      <c r="AS160" s="671">
        <f t="shared" si="115"/>
        <v>120211.2</v>
      </c>
      <c r="AT160" s="671">
        <f t="shared" si="116"/>
        <v>120211.2</v>
      </c>
      <c r="AU160" s="671">
        <f t="shared" si="117"/>
        <v>125019.65000000001</v>
      </c>
      <c r="AV160" s="671">
        <f t="shared" si="118"/>
        <v>127019.95999999999</v>
      </c>
      <c r="AW160" s="695">
        <f t="shared" si="119"/>
        <v>26867.7</v>
      </c>
      <c r="AX160" s="696">
        <f t="shared" si="120"/>
        <v>26867.7</v>
      </c>
      <c r="AY160" s="696">
        <f t="shared" si="121"/>
        <v>27942.41</v>
      </c>
      <c r="AZ160" s="697">
        <f t="shared" si="122"/>
        <v>28389.49</v>
      </c>
      <c r="BA160" s="832">
        <f>(U160+X160+AC160/120*140+AH160/120*140)/G160*I160</f>
        <v>278369.06833333336</v>
      </c>
      <c r="BB160" s="663">
        <f t="shared" si="123"/>
        <v>382753.5</v>
      </c>
      <c r="BC160" s="694">
        <f t="shared" si="124"/>
        <v>512981.26</v>
      </c>
      <c r="BD160" s="694">
        <f t="shared" si="125"/>
        <v>0</v>
      </c>
      <c r="BE160" s="663">
        <f t="shared" si="92"/>
        <v>15948.0625</v>
      </c>
      <c r="BG160" s="699">
        <v>8.4099999999999994E-2</v>
      </c>
      <c r="BH160" s="700">
        <v>0.22</v>
      </c>
    </row>
    <row r="161" spans="1:60" ht="21" hidden="1" customHeight="1">
      <c r="A161" s="651" t="s">
        <v>838</v>
      </c>
      <c r="B161" s="655" t="s">
        <v>783</v>
      </c>
      <c r="C161" s="655" t="s">
        <v>802</v>
      </c>
      <c r="D161" s="652" t="s">
        <v>803</v>
      </c>
      <c r="E161" s="735"/>
      <c r="F161" s="735"/>
      <c r="G161" s="652">
        <v>1</v>
      </c>
      <c r="H161" s="735"/>
      <c r="I161" s="735"/>
      <c r="J161" s="702" t="s">
        <v>512</v>
      </c>
      <c r="K161" s="737">
        <f t="shared" si="132"/>
        <v>9319</v>
      </c>
      <c r="L161" s="688">
        <v>9319</v>
      </c>
      <c r="M161" s="735"/>
      <c r="N161" s="688">
        <f t="shared" si="93"/>
        <v>0</v>
      </c>
      <c r="O161" s="735"/>
      <c r="P161" s="687">
        <f t="shared" si="126"/>
        <v>0</v>
      </c>
      <c r="Q161" s="689">
        <f t="shared" si="94"/>
        <v>9319</v>
      </c>
      <c r="R161" s="686">
        <f t="shared" si="95"/>
        <v>9319</v>
      </c>
      <c r="S161" s="736"/>
      <c r="T161" s="736"/>
      <c r="U161" s="671">
        <f t="shared" si="96"/>
        <v>27957</v>
      </c>
      <c r="V161" s="671">
        <f t="shared" si="97"/>
        <v>27957</v>
      </c>
      <c r="W161" s="671">
        <f t="shared" si="98"/>
        <v>0</v>
      </c>
      <c r="X161" s="671">
        <f t="shared" si="99"/>
        <v>27957</v>
      </c>
      <c r="Y161" s="691">
        <f t="shared" si="100"/>
        <v>9319</v>
      </c>
      <c r="Z161" s="691">
        <v>1</v>
      </c>
      <c r="AA161" s="671">
        <f t="shared" si="101"/>
        <v>27957</v>
      </c>
      <c r="AB161" s="671">
        <f t="shared" si="102"/>
        <v>0</v>
      </c>
      <c r="AC161" s="671">
        <f t="shared" si="103"/>
        <v>29075.279999999999</v>
      </c>
      <c r="AD161" s="689">
        <f t="shared" si="104"/>
        <v>9691.76</v>
      </c>
      <c r="AE161" s="691">
        <f t="shared" si="127"/>
        <v>1.04</v>
      </c>
      <c r="AF161" s="671">
        <f t="shared" si="105"/>
        <v>29075.279999999999</v>
      </c>
      <c r="AG161" s="692">
        <f t="shared" si="106"/>
        <v>0</v>
      </c>
      <c r="AH161" s="671">
        <f t="shared" si="107"/>
        <v>29540.48</v>
      </c>
      <c r="AI161" s="691">
        <f t="shared" si="108"/>
        <v>9846.83</v>
      </c>
      <c r="AJ161" s="691">
        <f t="shared" si="128"/>
        <v>1.016</v>
      </c>
      <c r="AK161" s="671">
        <f t="shared" si="109"/>
        <v>29540.48</v>
      </c>
      <c r="AL161" s="671">
        <f t="shared" si="110"/>
        <v>0</v>
      </c>
      <c r="AM161" s="661">
        <v>0.04</v>
      </c>
      <c r="AN161" s="662">
        <f t="shared" si="91"/>
        <v>0.04</v>
      </c>
      <c r="AO161" s="691">
        <f t="shared" si="111"/>
        <v>1118.28</v>
      </c>
      <c r="AP161" s="691">
        <f t="shared" si="112"/>
        <v>1118.28</v>
      </c>
      <c r="AQ161" s="691">
        <f t="shared" si="113"/>
        <v>1163.01</v>
      </c>
      <c r="AR161" s="691">
        <f t="shared" si="114"/>
        <v>1181.6199999999999</v>
      </c>
      <c r="AS161" s="671">
        <f t="shared" si="115"/>
        <v>26838.720000000001</v>
      </c>
      <c r="AT161" s="671">
        <f t="shared" si="116"/>
        <v>26838.720000000001</v>
      </c>
      <c r="AU161" s="671">
        <f t="shared" si="117"/>
        <v>27912.27</v>
      </c>
      <c r="AV161" s="671">
        <f t="shared" si="118"/>
        <v>28358.86</v>
      </c>
      <c r="AW161" s="695">
        <f t="shared" si="119"/>
        <v>5998.57</v>
      </c>
      <c r="AX161" s="696">
        <f t="shared" si="120"/>
        <v>5998.57</v>
      </c>
      <c r="AY161" s="696">
        <f t="shared" si="121"/>
        <v>6238.51</v>
      </c>
      <c r="AZ161" s="697">
        <f t="shared" si="122"/>
        <v>6338.32</v>
      </c>
      <c r="BA161" s="832"/>
      <c r="BB161" s="663">
        <f t="shared" si="123"/>
        <v>85455.52</v>
      </c>
      <c r="BC161" s="694">
        <f t="shared" si="124"/>
        <v>114529.76</v>
      </c>
      <c r="BD161" s="694">
        <f t="shared" si="125"/>
        <v>0</v>
      </c>
      <c r="BE161" s="663">
        <f t="shared" si="92"/>
        <v>7121.293333333334</v>
      </c>
      <c r="BG161" s="699">
        <v>8.4099999999999994E-2</v>
      </c>
      <c r="BH161" s="700">
        <v>0.22</v>
      </c>
    </row>
    <row r="162" spans="1:60" ht="21" hidden="1" customHeight="1">
      <c r="A162" s="651" t="s">
        <v>477</v>
      </c>
      <c r="B162" s="655" t="s">
        <v>754</v>
      </c>
      <c r="C162" s="655" t="s">
        <v>797</v>
      </c>
      <c r="D162" s="652" t="s">
        <v>807</v>
      </c>
      <c r="E162" s="735"/>
      <c r="F162" s="735"/>
      <c r="G162" s="652">
        <v>1</v>
      </c>
      <c r="H162" s="735"/>
      <c r="I162" s="735"/>
      <c r="J162" s="702" t="s">
        <v>516</v>
      </c>
      <c r="K162" s="682">
        <f t="shared" si="132"/>
        <v>20869</v>
      </c>
      <c r="L162" s="688">
        <v>20869</v>
      </c>
      <c r="M162" s="735"/>
      <c r="N162" s="688">
        <f t="shared" si="93"/>
        <v>0</v>
      </c>
      <c r="O162" s="735"/>
      <c r="P162" s="687">
        <f t="shared" si="126"/>
        <v>0</v>
      </c>
      <c r="Q162" s="689">
        <f t="shared" si="94"/>
        <v>20869</v>
      </c>
      <c r="R162" s="686">
        <f t="shared" si="95"/>
        <v>20869</v>
      </c>
      <c r="S162" s="736"/>
      <c r="T162" s="736"/>
      <c r="U162" s="671">
        <f t="shared" si="96"/>
        <v>62607</v>
      </c>
      <c r="V162" s="671">
        <f t="shared" si="97"/>
        <v>62607</v>
      </c>
      <c r="W162" s="671">
        <f t="shared" si="98"/>
        <v>0</v>
      </c>
      <c r="X162" s="671">
        <f t="shared" si="99"/>
        <v>62607</v>
      </c>
      <c r="Y162" s="691">
        <f t="shared" si="100"/>
        <v>20869</v>
      </c>
      <c r="Z162" s="691">
        <v>1</v>
      </c>
      <c r="AA162" s="671">
        <f t="shared" si="101"/>
        <v>62607</v>
      </c>
      <c r="AB162" s="671">
        <f t="shared" si="102"/>
        <v>0</v>
      </c>
      <c r="AC162" s="671">
        <f t="shared" si="103"/>
        <v>65111.28</v>
      </c>
      <c r="AD162" s="689">
        <f t="shared" si="104"/>
        <v>21703.759999999998</v>
      </c>
      <c r="AE162" s="691">
        <f t="shared" si="127"/>
        <v>1.04</v>
      </c>
      <c r="AF162" s="671">
        <f t="shared" si="105"/>
        <v>65111.28</v>
      </c>
      <c r="AG162" s="692">
        <f t="shared" si="106"/>
        <v>0</v>
      </c>
      <c r="AH162" s="671">
        <f t="shared" si="107"/>
        <v>66153.06</v>
      </c>
      <c r="AI162" s="691">
        <f t="shared" si="108"/>
        <v>22051.02</v>
      </c>
      <c r="AJ162" s="691">
        <f t="shared" si="128"/>
        <v>1.016</v>
      </c>
      <c r="AK162" s="671">
        <f t="shared" si="109"/>
        <v>66153.06</v>
      </c>
      <c r="AL162" s="671">
        <f t="shared" si="110"/>
        <v>0</v>
      </c>
      <c r="AM162" s="661">
        <v>0.04</v>
      </c>
      <c r="AN162" s="662">
        <f t="shared" si="91"/>
        <v>0.04</v>
      </c>
      <c r="AO162" s="691">
        <f t="shared" si="111"/>
        <v>2504.2800000000002</v>
      </c>
      <c r="AP162" s="691">
        <f t="shared" si="112"/>
        <v>2504.2800000000002</v>
      </c>
      <c r="AQ162" s="691">
        <f t="shared" si="113"/>
        <v>2604.4499999999998</v>
      </c>
      <c r="AR162" s="691">
        <f t="shared" si="114"/>
        <v>2646.12</v>
      </c>
      <c r="AS162" s="671">
        <f t="shared" si="115"/>
        <v>60102.720000000001</v>
      </c>
      <c r="AT162" s="671">
        <f t="shared" si="116"/>
        <v>60102.720000000001</v>
      </c>
      <c r="AU162" s="671">
        <f t="shared" si="117"/>
        <v>62506.83</v>
      </c>
      <c r="AV162" s="671">
        <f t="shared" si="118"/>
        <v>63506.939999999995</v>
      </c>
      <c r="AW162" s="695">
        <f t="shared" si="119"/>
        <v>13433.21</v>
      </c>
      <c r="AX162" s="696">
        <f t="shared" si="120"/>
        <v>13433.21</v>
      </c>
      <c r="AY162" s="696">
        <f t="shared" si="121"/>
        <v>13970.54</v>
      </c>
      <c r="AZ162" s="697">
        <f t="shared" si="122"/>
        <v>14194.07</v>
      </c>
      <c r="BA162" s="832"/>
      <c r="BB162" s="663">
        <f t="shared" si="123"/>
        <v>191368.09999999998</v>
      </c>
      <c r="BC162" s="694">
        <f t="shared" si="124"/>
        <v>256478.34</v>
      </c>
      <c r="BD162" s="694">
        <f t="shared" si="125"/>
        <v>0</v>
      </c>
      <c r="BE162" s="663">
        <f t="shared" si="92"/>
        <v>15947.341666666665</v>
      </c>
      <c r="BG162" s="699">
        <v>8.4099999999999994E-2</v>
      </c>
      <c r="BH162" s="700">
        <v>0.22</v>
      </c>
    </row>
    <row r="163" spans="1:60" ht="21" hidden="1" customHeight="1">
      <c r="A163" s="651" t="s">
        <v>839</v>
      </c>
      <c r="B163" s="655" t="s">
        <v>754</v>
      </c>
      <c r="C163" s="655" t="s">
        <v>802</v>
      </c>
      <c r="D163" s="652" t="s">
        <v>803</v>
      </c>
      <c r="E163" s="735"/>
      <c r="F163" s="735"/>
      <c r="G163" s="652">
        <v>1</v>
      </c>
      <c r="H163" s="735"/>
      <c r="I163" s="735"/>
      <c r="J163" s="702" t="s">
        <v>516</v>
      </c>
      <c r="K163" s="682">
        <f t="shared" si="132"/>
        <v>10435</v>
      </c>
      <c r="L163" s="688">
        <v>10435</v>
      </c>
      <c r="M163" s="735"/>
      <c r="N163" s="688">
        <f t="shared" si="93"/>
        <v>0</v>
      </c>
      <c r="O163" s="735"/>
      <c r="P163" s="687">
        <f t="shared" si="126"/>
        <v>0</v>
      </c>
      <c r="Q163" s="689">
        <f t="shared" si="94"/>
        <v>10435</v>
      </c>
      <c r="R163" s="686">
        <f t="shared" si="95"/>
        <v>10435</v>
      </c>
      <c r="S163" s="736"/>
      <c r="T163" s="736"/>
      <c r="U163" s="671">
        <f t="shared" si="96"/>
        <v>31305</v>
      </c>
      <c r="V163" s="671">
        <f t="shared" si="97"/>
        <v>31305</v>
      </c>
      <c r="W163" s="671">
        <f t="shared" si="98"/>
        <v>0</v>
      </c>
      <c r="X163" s="671">
        <f t="shared" si="99"/>
        <v>31305</v>
      </c>
      <c r="Y163" s="691">
        <f t="shared" si="100"/>
        <v>10435</v>
      </c>
      <c r="Z163" s="691">
        <v>1</v>
      </c>
      <c r="AA163" s="671">
        <f t="shared" si="101"/>
        <v>31305</v>
      </c>
      <c r="AB163" s="671">
        <f t="shared" si="102"/>
        <v>0</v>
      </c>
      <c r="AC163" s="671">
        <f t="shared" si="103"/>
        <v>32557.200000000001</v>
      </c>
      <c r="AD163" s="689">
        <f t="shared" si="104"/>
        <v>10852.4</v>
      </c>
      <c r="AE163" s="691">
        <f t="shared" si="127"/>
        <v>1.04</v>
      </c>
      <c r="AF163" s="671">
        <f t="shared" si="105"/>
        <v>32557.200000000001</v>
      </c>
      <c r="AG163" s="692">
        <f t="shared" si="106"/>
        <v>0</v>
      </c>
      <c r="AH163" s="671">
        <f t="shared" si="107"/>
        <v>33078.120000000003</v>
      </c>
      <c r="AI163" s="691">
        <f t="shared" si="108"/>
        <v>11026.04</v>
      </c>
      <c r="AJ163" s="691">
        <f t="shared" si="128"/>
        <v>1.016</v>
      </c>
      <c r="AK163" s="671">
        <f t="shared" si="109"/>
        <v>33078.120000000003</v>
      </c>
      <c r="AL163" s="671">
        <f t="shared" si="110"/>
        <v>0</v>
      </c>
      <c r="AM163" s="661">
        <v>0.04</v>
      </c>
      <c r="AN163" s="662">
        <f t="shared" si="91"/>
        <v>0.04</v>
      </c>
      <c r="AO163" s="691">
        <f t="shared" si="111"/>
        <v>1252.2</v>
      </c>
      <c r="AP163" s="691">
        <f t="shared" si="112"/>
        <v>1252.2</v>
      </c>
      <c r="AQ163" s="691">
        <f t="shared" si="113"/>
        <v>1302.29</v>
      </c>
      <c r="AR163" s="691">
        <f t="shared" si="114"/>
        <v>1323.12</v>
      </c>
      <c r="AS163" s="671">
        <f t="shared" si="115"/>
        <v>30052.799999999999</v>
      </c>
      <c r="AT163" s="671">
        <f t="shared" si="116"/>
        <v>30052.799999999999</v>
      </c>
      <c r="AU163" s="671">
        <f t="shared" si="117"/>
        <v>31254.91</v>
      </c>
      <c r="AV163" s="671">
        <f t="shared" si="118"/>
        <v>31755.000000000004</v>
      </c>
      <c r="AW163" s="695">
        <f t="shared" si="119"/>
        <v>6716.93</v>
      </c>
      <c r="AX163" s="696">
        <f t="shared" si="120"/>
        <v>6716.93</v>
      </c>
      <c r="AY163" s="696">
        <f t="shared" si="121"/>
        <v>6985.6</v>
      </c>
      <c r="AZ163" s="697">
        <f t="shared" si="122"/>
        <v>7097.37</v>
      </c>
      <c r="BA163" s="832"/>
      <c r="BB163" s="663">
        <f t="shared" si="123"/>
        <v>95689.16</v>
      </c>
      <c r="BC163" s="694">
        <f t="shared" si="124"/>
        <v>128245.32</v>
      </c>
      <c r="BD163" s="694">
        <f t="shared" si="125"/>
        <v>0</v>
      </c>
      <c r="BE163" s="663">
        <f t="shared" si="92"/>
        <v>7974.0966666666673</v>
      </c>
      <c r="BG163" s="699">
        <v>8.4099999999999994E-2</v>
      </c>
      <c r="BH163" s="700">
        <v>0.22</v>
      </c>
    </row>
    <row r="164" spans="1:60" ht="21" hidden="1" customHeight="1">
      <c r="A164" s="651" t="s">
        <v>839</v>
      </c>
      <c r="B164" s="655" t="s">
        <v>754</v>
      </c>
      <c r="C164" s="655" t="s">
        <v>802</v>
      </c>
      <c r="D164" s="652" t="s">
        <v>803</v>
      </c>
      <c r="E164" s="735"/>
      <c r="F164" s="735"/>
      <c r="G164" s="652">
        <v>2</v>
      </c>
      <c r="H164" s="735"/>
      <c r="I164" s="735"/>
      <c r="J164" s="702" t="s">
        <v>516</v>
      </c>
      <c r="K164" s="682">
        <f t="shared" si="132"/>
        <v>37276</v>
      </c>
      <c r="L164" s="688">
        <v>18638</v>
      </c>
      <c r="M164" s="735"/>
      <c r="N164" s="688">
        <f t="shared" si="93"/>
        <v>0</v>
      </c>
      <c r="O164" s="735"/>
      <c r="P164" s="687">
        <f t="shared" si="126"/>
        <v>0</v>
      </c>
      <c r="Q164" s="689">
        <f t="shared" si="94"/>
        <v>18638</v>
      </c>
      <c r="R164" s="686">
        <f t="shared" si="95"/>
        <v>37276</v>
      </c>
      <c r="S164" s="736"/>
      <c r="T164" s="736"/>
      <c r="U164" s="671">
        <f t="shared" si="96"/>
        <v>111828</v>
      </c>
      <c r="V164" s="671">
        <f t="shared" si="97"/>
        <v>111828</v>
      </c>
      <c r="W164" s="671">
        <f t="shared" si="98"/>
        <v>0</v>
      </c>
      <c r="X164" s="671">
        <f t="shared" si="99"/>
        <v>111828</v>
      </c>
      <c r="Y164" s="691">
        <f t="shared" si="100"/>
        <v>18638</v>
      </c>
      <c r="Z164" s="691">
        <v>1</v>
      </c>
      <c r="AA164" s="671">
        <f t="shared" si="101"/>
        <v>111828</v>
      </c>
      <c r="AB164" s="671">
        <f t="shared" si="102"/>
        <v>0</v>
      </c>
      <c r="AC164" s="671">
        <f t="shared" si="103"/>
        <v>116301.12</v>
      </c>
      <c r="AD164" s="689">
        <f t="shared" si="104"/>
        <v>19383.52</v>
      </c>
      <c r="AE164" s="691">
        <f t="shared" si="127"/>
        <v>1.04</v>
      </c>
      <c r="AF164" s="671">
        <f t="shared" si="105"/>
        <v>116301.12</v>
      </c>
      <c r="AG164" s="692">
        <f t="shared" si="106"/>
        <v>0</v>
      </c>
      <c r="AH164" s="671">
        <f t="shared" si="107"/>
        <v>118161.94</v>
      </c>
      <c r="AI164" s="691">
        <f t="shared" si="108"/>
        <v>19693.66</v>
      </c>
      <c r="AJ164" s="691">
        <f t="shared" si="128"/>
        <v>1.016</v>
      </c>
      <c r="AK164" s="671">
        <f t="shared" si="109"/>
        <v>118161.94</v>
      </c>
      <c r="AL164" s="671">
        <f t="shared" si="110"/>
        <v>0</v>
      </c>
      <c r="AM164" s="661">
        <v>0.04</v>
      </c>
      <c r="AN164" s="662">
        <f t="shared" ref="AN164:AN171" si="133">G164*AM164</f>
        <v>0.08</v>
      </c>
      <c r="AO164" s="691">
        <f t="shared" si="111"/>
        <v>4473.12</v>
      </c>
      <c r="AP164" s="691">
        <f t="shared" si="112"/>
        <v>4473.12</v>
      </c>
      <c r="AQ164" s="691">
        <f t="shared" si="113"/>
        <v>4652.04</v>
      </c>
      <c r="AR164" s="691">
        <f t="shared" si="114"/>
        <v>4726.4799999999996</v>
      </c>
      <c r="AS164" s="671">
        <f t="shared" si="115"/>
        <v>107354.88</v>
      </c>
      <c r="AT164" s="671">
        <f t="shared" si="116"/>
        <v>107354.88</v>
      </c>
      <c r="AU164" s="671">
        <f t="shared" si="117"/>
        <v>111649.08</v>
      </c>
      <c r="AV164" s="671">
        <f t="shared" si="118"/>
        <v>113435.46</v>
      </c>
      <c r="AW164" s="695">
        <f t="shared" si="119"/>
        <v>23994.26</v>
      </c>
      <c r="AX164" s="696">
        <f t="shared" si="120"/>
        <v>23994.26</v>
      </c>
      <c r="AY164" s="696">
        <f t="shared" si="121"/>
        <v>24954.03</v>
      </c>
      <c r="AZ164" s="697">
        <f t="shared" si="122"/>
        <v>25353.3</v>
      </c>
      <c r="BA164" s="832"/>
      <c r="BB164" s="663">
        <f t="shared" si="123"/>
        <v>341818.98</v>
      </c>
      <c r="BC164" s="694">
        <f t="shared" si="124"/>
        <v>458119.06</v>
      </c>
      <c r="BD164" s="694">
        <f t="shared" si="125"/>
        <v>0</v>
      </c>
      <c r="BE164" s="663">
        <f t="shared" ref="BE164:BE171" si="134">BB164/12/G164</f>
        <v>14242.457499999999</v>
      </c>
      <c r="BG164" s="699">
        <v>8.4099999999999994E-2</v>
      </c>
      <c r="BH164" s="700">
        <v>0.22</v>
      </c>
    </row>
    <row r="165" spans="1:60" ht="30" customHeight="1">
      <c r="A165" s="651" t="s">
        <v>477</v>
      </c>
      <c r="B165" s="655" t="s">
        <v>784</v>
      </c>
      <c r="C165" s="655" t="s">
        <v>797</v>
      </c>
      <c r="D165" s="652" t="s">
        <v>807</v>
      </c>
      <c r="E165" s="735"/>
      <c r="F165" s="735"/>
      <c r="G165" s="652">
        <v>1</v>
      </c>
      <c r="H165" s="735"/>
      <c r="I165" s="735">
        <v>1</v>
      </c>
      <c r="J165" s="702" t="s">
        <v>517</v>
      </c>
      <c r="K165" s="682">
        <f t="shared" si="132"/>
        <v>20869</v>
      </c>
      <c r="L165" s="688">
        <v>20869</v>
      </c>
      <c r="M165" s="735"/>
      <c r="N165" s="688">
        <f t="shared" si="93"/>
        <v>0</v>
      </c>
      <c r="O165" s="735"/>
      <c r="P165" s="687">
        <f t="shared" si="126"/>
        <v>0</v>
      </c>
      <c r="Q165" s="689">
        <f t="shared" si="94"/>
        <v>20869</v>
      </c>
      <c r="R165" s="686">
        <f t="shared" si="95"/>
        <v>20869</v>
      </c>
      <c r="S165" s="736"/>
      <c r="T165" s="736"/>
      <c r="U165" s="671">
        <f t="shared" si="96"/>
        <v>62607</v>
      </c>
      <c r="V165" s="671">
        <f t="shared" si="97"/>
        <v>62607</v>
      </c>
      <c r="W165" s="671">
        <f t="shared" si="98"/>
        <v>0</v>
      </c>
      <c r="X165" s="671">
        <f t="shared" si="99"/>
        <v>62607</v>
      </c>
      <c r="Y165" s="691">
        <f t="shared" si="100"/>
        <v>20869</v>
      </c>
      <c r="Z165" s="691">
        <v>1</v>
      </c>
      <c r="AA165" s="671">
        <f t="shared" si="101"/>
        <v>62607</v>
      </c>
      <c r="AB165" s="671">
        <f t="shared" si="102"/>
        <v>0</v>
      </c>
      <c r="AC165" s="671">
        <f t="shared" si="103"/>
        <v>65111.28</v>
      </c>
      <c r="AD165" s="689">
        <f t="shared" si="104"/>
        <v>21703.759999999998</v>
      </c>
      <c r="AE165" s="691">
        <f t="shared" si="127"/>
        <v>1.04</v>
      </c>
      <c r="AF165" s="671">
        <f t="shared" si="105"/>
        <v>65111.28</v>
      </c>
      <c r="AG165" s="692">
        <f t="shared" si="106"/>
        <v>0</v>
      </c>
      <c r="AH165" s="671">
        <f t="shared" si="107"/>
        <v>66153.06</v>
      </c>
      <c r="AI165" s="691">
        <f t="shared" si="108"/>
        <v>22051.02</v>
      </c>
      <c r="AJ165" s="691">
        <f t="shared" si="128"/>
        <v>1.016</v>
      </c>
      <c r="AK165" s="671">
        <f t="shared" si="109"/>
        <v>66153.06</v>
      </c>
      <c r="AL165" s="671">
        <f t="shared" si="110"/>
        <v>0</v>
      </c>
      <c r="AM165" s="661">
        <v>0.04</v>
      </c>
      <c r="AN165" s="662">
        <f t="shared" si="133"/>
        <v>0.04</v>
      </c>
      <c r="AO165" s="691">
        <f t="shared" si="111"/>
        <v>2504.2800000000002</v>
      </c>
      <c r="AP165" s="691">
        <f t="shared" si="112"/>
        <v>2504.2800000000002</v>
      </c>
      <c r="AQ165" s="691">
        <f t="shared" si="113"/>
        <v>2604.4499999999998</v>
      </c>
      <c r="AR165" s="691">
        <f t="shared" si="114"/>
        <v>2646.12</v>
      </c>
      <c r="AS165" s="671">
        <f t="shared" si="115"/>
        <v>60102.720000000001</v>
      </c>
      <c r="AT165" s="671">
        <f t="shared" si="116"/>
        <v>60102.720000000001</v>
      </c>
      <c r="AU165" s="671">
        <f t="shared" si="117"/>
        <v>62506.83</v>
      </c>
      <c r="AV165" s="671">
        <f t="shared" si="118"/>
        <v>63506.939999999995</v>
      </c>
      <c r="AW165" s="695">
        <f t="shared" si="119"/>
        <v>13433.21</v>
      </c>
      <c r="AX165" s="696">
        <f t="shared" si="120"/>
        <v>13433.21</v>
      </c>
      <c r="AY165" s="696">
        <f t="shared" si="121"/>
        <v>13970.54</v>
      </c>
      <c r="AZ165" s="697">
        <f t="shared" si="122"/>
        <v>14194.07</v>
      </c>
      <c r="BA165" s="832"/>
      <c r="BB165" s="663">
        <f t="shared" ref="BB165:BB171" si="135">U165+X165+AE165+AH165</f>
        <v>191368.09999999998</v>
      </c>
      <c r="BC165" s="694">
        <f t="shared" si="124"/>
        <v>256478.34</v>
      </c>
      <c r="BD165" s="694">
        <f t="shared" si="125"/>
        <v>0</v>
      </c>
      <c r="BE165" s="663">
        <f t="shared" si="134"/>
        <v>15947.341666666665</v>
      </c>
      <c r="BG165" s="699">
        <v>8.4099999999999994E-2</v>
      </c>
      <c r="BH165" s="700">
        <v>0.22</v>
      </c>
    </row>
    <row r="166" spans="1:60" ht="30" hidden="1" customHeight="1">
      <c r="A166" s="651" t="s">
        <v>484</v>
      </c>
      <c r="B166" s="655" t="s">
        <v>784</v>
      </c>
      <c r="C166" s="655" t="s">
        <v>810</v>
      </c>
      <c r="D166" s="652" t="s">
        <v>803</v>
      </c>
      <c r="E166" s="735"/>
      <c r="F166" s="735"/>
      <c r="G166" s="652">
        <v>2</v>
      </c>
      <c r="H166" s="735"/>
      <c r="I166" s="735"/>
      <c r="J166" s="702" t="s">
        <v>517</v>
      </c>
      <c r="K166" s="682">
        <f t="shared" si="132"/>
        <v>50588</v>
      </c>
      <c r="L166" s="688">
        <v>25294</v>
      </c>
      <c r="M166" s="735"/>
      <c r="N166" s="688">
        <f t="shared" si="93"/>
        <v>0</v>
      </c>
      <c r="O166" s="735"/>
      <c r="P166" s="687">
        <f t="shared" si="126"/>
        <v>0</v>
      </c>
      <c r="Q166" s="689">
        <f t="shared" si="94"/>
        <v>25294</v>
      </c>
      <c r="R166" s="686">
        <f t="shared" si="95"/>
        <v>50588</v>
      </c>
      <c r="S166" s="736"/>
      <c r="T166" s="736"/>
      <c r="U166" s="671">
        <f t="shared" si="96"/>
        <v>151764</v>
      </c>
      <c r="V166" s="671">
        <f t="shared" si="97"/>
        <v>151764</v>
      </c>
      <c r="W166" s="671">
        <f t="shared" si="98"/>
        <v>0</v>
      </c>
      <c r="X166" s="671">
        <f t="shared" si="99"/>
        <v>151764</v>
      </c>
      <c r="Y166" s="691">
        <f t="shared" si="100"/>
        <v>25294</v>
      </c>
      <c r="Z166" s="691">
        <v>1</v>
      </c>
      <c r="AA166" s="671">
        <f t="shared" si="101"/>
        <v>151764</v>
      </c>
      <c r="AB166" s="671">
        <f t="shared" si="102"/>
        <v>0</v>
      </c>
      <c r="AC166" s="671">
        <f t="shared" si="103"/>
        <v>157834.56</v>
      </c>
      <c r="AD166" s="689">
        <f t="shared" si="104"/>
        <v>26305.759999999998</v>
      </c>
      <c r="AE166" s="691">
        <f t="shared" si="127"/>
        <v>1.04</v>
      </c>
      <c r="AF166" s="671">
        <f t="shared" si="105"/>
        <v>157834.56</v>
      </c>
      <c r="AG166" s="692">
        <f t="shared" si="106"/>
        <v>0</v>
      </c>
      <c r="AH166" s="671">
        <f t="shared" si="107"/>
        <v>160359.91</v>
      </c>
      <c r="AI166" s="691">
        <f t="shared" si="108"/>
        <v>26726.65</v>
      </c>
      <c r="AJ166" s="691">
        <f t="shared" si="128"/>
        <v>1.016</v>
      </c>
      <c r="AK166" s="671">
        <f t="shared" si="109"/>
        <v>160359.91</v>
      </c>
      <c r="AL166" s="671">
        <f t="shared" si="110"/>
        <v>0</v>
      </c>
      <c r="AM166" s="661">
        <v>0.04</v>
      </c>
      <c r="AN166" s="662">
        <f t="shared" si="133"/>
        <v>0.08</v>
      </c>
      <c r="AO166" s="691">
        <f t="shared" si="111"/>
        <v>6070.56</v>
      </c>
      <c r="AP166" s="691">
        <f t="shared" si="112"/>
        <v>6070.56</v>
      </c>
      <c r="AQ166" s="691">
        <f t="shared" si="113"/>
        <v>6313.38</v>
      </c>
      <c r="AR166" s="691">
        <f t="shared" si="114"/>
        <v>6414.4</v>
      </c>
      <c r="AS166" s="671">
        <f t="shared" si="115"/>
        <v>145693.44</v>
      </c>
      <c r="AT166" s="671">
        <f t="shared" si="116"/>
        <v>145693.44</v>
      </c>
      <c r="AU166" s="671">
        <f t="shared" si="117"/>
        <v>151521.18</v>
      </c>
      <c r="AV166" s="671">
        <f t="shared" si="118"/>
        <v>153945.51</v>
      </c>
      <c r="AW166" s="695">
        <f t="shared" si="119"/>
        <v>32563.09</v>
      </c>
      <c r="AX166" s="696">
        <f t="shared" si="120"/>
        <v>32563.09</v>
      </c>
      <c r="AY166" s="696">
        <f t="shared" si="121"/>
        <v>33865.61</v>
      </c>
      <c r="AZ166" s="697">
        <f t="shared" si="122"/>
        <v>34407.46</v>
      </c>
      <c r="BA166" s="832"/>
      <c r="BB166" s="663">
        <f t="shared" si="135"/>
        <v>463888.94999999995</v>
      </c>
      <c r="BC166" s="694">
        <f t="shared" si="124"/>
        <v>621722.47</v>
      </c>
      <c r="BD166" s="694">
        <f t="shared" si="125"/>
        <v>0</v>
      </c>
      <c r="BE166" s="663">
        <f t="shared" si="134"/>
        <v>19328.706249999999</v>
      </c>
      <c r="BG166" s="699">
        <v>8.4099999999999994E-2</v>
      </c>
      <c r="BH166" s="700">
        <v>0.22</v>
      </c>
    </row>
    <row r="167" spans="1:60" ht="30" hidden="1" customHeight="1">
      <c r="A167" s="651" t="s">
        <v>840</v>
      </c>
      <c r="B167" s="655" t="s">
        <v>784</v>
      </c>
      <c r="C167" s="655" t="s">
        <v>810</v>
      </c>
      <c r="D167" s="652" t="s">
        <v>803</v>
      </c>
      <c r="E167" s="735"/>
      <c r="F167" s="735"/>
      <c r="G167" s="652">
        <v>1</v>
      </c>
      <c r="H167" s="735"/>
      <c r="I167" s="735"/>
      <c r="J167" s="702" t="s">
        <v>517</v>
      </c>
      <c r="K167" s="682">
        <f t="shared" si="132"/>
        <v>9319</v>
      </c>
      <c r="L167" s="688">
        <v>9319</v>
      </c>
      <c r="M167" s="735"/>
      <c r="N167" s="688">
        <f t="shared" si="93"/>
        <v>0</v>
      </c>
      <c r="O167" s="735"/>
      <c r="P167" s="687">
        <f t="shared" si="126"/>
        <v>0</v>
      </c>
      <c r="Q167" s="689">
        <f t="shared" si="94"/>
        <v>9319</v>
      </c>
      <c r="R167" s="686">
        <f t="shared" si="95"/>
        <v>9319</v>
      </c>
      <c r="S167" s="736"/>
      <c r="T167" s="736"/>
      <c r="U167" s="671">
        <f t="shared" si="96"/>
        <v>27957</v>
      </c>
      <c r="V167" s="671">
        <f t="shared" si="97"/>
        <v>27957</v>
      </c>
      <c r="W167" s="671">
        <f t="shared" si="98"/>
        <v>0</v>
      </c>
      <c r="X167" s="671">
        <f t="shared" si="99"/>
        <v>27957</v>
      </c>
      <c r="Y167" s="691">
        <f t="shared" si="100"/>
        <v>9319</v>
      </c>
      <c r="Z167" s="691">
        <v>1</v>
      </c>
      <c r="AA167" s="671">
        <f t="shared" si="101"/>
        <v>27957</v>
      </c>
      <c r="AB167" s="671">
        <f t="shared" si="102"/>
        <v>0</v>
      </c>
      <c r="AC167" s="671">
        <f t="shared" si="103"/>
        <v>29075.279999999999</v>
      </c>
      <c r="AD167" s="689">
        <f t="shared" si="104"/>
        <v>9691.76</v>
      </c>
      <c r="AE167" s="691">
        <f t="shared" si="127"/>
        <v>1.04</v>
      </c>
      <c r="AF167" s="671">
        <f t="shared" si="105"/>
        <v>29075.279999999999</v>
      </c>
      <c r="AG167" s="692">
        <f t="shared" si="106"/>
        <v>0</v>
      </c>
      <c r="AH167" s="671">
        <f t="shared" si="107"/>
        <v>29540.48</v>
      </c>
      <c r="AI167" s="691">
        <f t="shared" si="108"/>
        <v>9846.83</v>
      </c>
      <c r="AJ167" s="691">
        <f t="shared" si="128"/>
        <v>1.016</v>
      </c>
      <c r="AK167" s="671">
        <f t="shared" si="109"/>
        <v>29540.48</v>
      </c>
      <c r="AL167" s="671">
        <f t="shared" si="110"/>
        <v>0</v>
      </c>
      <c r="AM167" s="661">
        <v>0.04</v>
      </c>
      <c r="AN167" s="662">
        <f t="shared" si="133"/>
        <v>0.04</v>
      </c>
      <c r="AO167" s="691">
        <f t="shared" si="111"/>
        <v>1118.28</v>
      </c>
      <c r="AP167" s="691">
        <f t="shared" si="112"/>
        <v>1118.28</v>
      </c>
      <c r="AQ167" s="691">
        <f t="shared" si="113"/>
        <v>1163.01</v>
      </c>
      <c r="AR167" s="691">
        <f t="shared" si="114"/>
        <v>1181.6199999999999</v>
      </c>
      <c r="AS167" s="671">
        <f t="shared" si="115"/>
        <v>26838.720000000001</v>
      </c>
      <c r="AT167" s="671">
        <f t="shared" si="116"/>
        <v>26838.720000000001</v>
      </c>
      <c r="AU167" s="671">
        <f t="shared" si="117"/>
        <v>27912.27</v>
      </c>
      <c r="AV167" s="671">
        <f t="shared" si="118"/>
        <v>28358.86</v>
      </c>
      <c r="AW167" s="695">
        <f t="shared" si="119"/>
        <v>5998.57</v>
      </c>
      <c r="AX167" s="696">
        <f t="shared" si="120"/>
        <v>5998.57</v>
      </c>
      <c r="AY167" s="696">
        <f t="shared" si="121"/>
        <v>6238.51</v>
      </c>
      <c r="AZ167" s="697">
        <f t="shared" si="122"/>
        <v>6338.32</v>
      </c>
      <c r="BA167" s="832"/>
      <c r="BB167" s="663">
        <f t="shared" si="135"/>
        <v>85455.52</v>
      </c>
      <c r="BC167" s="694">
        <f t="shared" si="124"/>
        <v>114529.76</v>
      </c>
      <c r="BD167" s="694">
        <f t="shared" si="125"/>
        <v>0</v>
      </c>
      <c r="BE167" s="663">
        <f t="shared" si="134"/>
        <v>7121.293333333334</v>
      </c>
      <c r="BG167" s="699">
        <v>8.4099999999999994E-2</v>
      </c>
      <c r="BH167" s="700">
        <v>0.22</v>
      </c>
    </row>
    <row r="168" spans="1:60" ht="21" customHeight="1">
      <c r="A168" s="655" t="s">
        <v>841</v>
      </c>
      <c r="B168" s="655" t="s">
        <v>754</v>
      </c>
      <c r="C168" s="655" t="s">
        <v>797</v>
      </c>
      <c r="D168" s="735" t="str">
        <f>D147</f>
        <v>1226.2</v>
      </c>
      <c r="E168" s="735"/>
      <c r="F168" s="735"/>
      <c r="G168" s="735">
        <v>1</v>
      </c>
      <c r="H168" s="735"/>
      <c r="I168" s="735">
        <v>1</v>
      </c>
      <c r="J168" s="768" t="s">
        <v>842</v>
      </c>
      <c r="K168" s="682">
        <f t="shared" si="132"/>
        <v>20869</v>
      </c>
      <c r="L168" s="688">
        <v>20869</v>
      </c>
      <c r="M168" s="735"/>
      <c r="N168" s="688">
        <f t="shared" si="93"/>
        <v>0</v>
      </c>
      <c r="O168" s="735"/>
      <c r="P168" s="687">
        <f t="shared" si="126"/>
        <v>0</v>
      </c>
      <c r="Q168" s="689">
        <f t="shared" si="94"/>
        <v>20869</v>
      </c>
      <c r="R168" s="686">
        <f t="shared" si="95"/>
        <v>20869</v>
      </c>
      <c r="S168" s="670">
        <f>S147</f>
        <v>0</v>
      </c>
      <c r="T168" s="670">
        <f>T147</f>
        <v>0</v>
      </c>
      <c r="U168" s="671">
        <f t="shared" si="96"/>
        <v>62607</v>
      </c>
      <c r="V168" s="671">
        <f t="shared" si="97"/>
        <v>62607</v>
      </c>
      <c r="W168" s="671">
        <f t="shared" si="98"/>
        <v>0</v>
      </c>
      <c r="X168" s="671">
        <f t="shared" si="99"/>
        <v>62607</v>
      </c>
      <c r="Y168" s="691">
        <f t="shared" si="100"/>
        <v>20869</v>
      </c>
      <c r="Z168" s="691">
        <v>1</v>
      </c>
      <c r="AA168" s="671">
        <f t="shared" si="101"/>
        <v>62607</v>
      </c>
      <c r="AB168" s="671">
        <f t="shared" si="102"/>
        <v>0</v>
      </c>
      <c r="AC168" s="671">
        <f t="shared" si="103"/>
        <v>65111.28</v>
      </c>
      <c r="AD168" s="689">
        <f t="shared" si="104"/>
        <v>21703.759999999998</v>
      </c>
      <c r="AE168" s="691">
        <f t="shared" si="127"/>
        <v>1.04</v>
      </c>
      <c r="AF168" s="671">
        <f t="shared" si="105"/>
        <v>65111.28</v>
      </c>
      <c r="AG168" s="692">
        <f t="shared" si="106"/>
        <v>0</v>
      </c>
      <c r="AH168" s="671">
        <f t="shared" si="107"/>
        <v>66153.06</v>
      </c>
      <c r="AI168" s="691">
        <f t="shared" si="108"/>
        <v>22051.02</v>
      </c>
      <c r="AJ168" s="691">
        <f t="shared" si="128"/>
        <v>1.016</v>
      </c>
      <c r="AK168" s="671">
        <f t="shared" si="109"/>
        <v>66153.06</v>
      </c>
      <c r="AL168" s="671">
        <f t="shared" si="110"/>
        <v>0</v>
      </c>
      <c r="AM168" s="661">
        <v>0.04</v>
      </c>
      <c r="AN168" s="662">
        <f t="shared" si="133"/>
        <v>0.04</v>
      </c>
      <c r="AO168" s="691">
        <f t="shared" si="111"/>
        <v>2504.2800000000002</v>
      </c>
      <c r="AP168" s="691">
        <f t="shared" si="112"/>
        <v>2504.2800000000002</v>
      </c>
      <c r="AQ168" s="691">
        <f t="shared" si="113"/>
        <v>2604.4499999999998</v>
      </c>
      <c r="AR168" s="691">
        <f t="shared" si="114"/>
        <v>2646.12</v>
      </c>
      <c r="AS168" s="671">
        <f t="shared" si="115"/>
        <v>60102.720000000001</v>
      </c>
      <c r="AT168" s="671">
        <f t="shared" si="116"/>
        <v>60102.720000000001</v>
      </c>
      <c r="AU168" s="671">
        <f t="shared" si="117"/>
        <v>62506.83</v>
      </c>
      <c r="AV168" s="671">
        <f t="shared" si="118"/>
        <v>63506.939999999995</v>
      </c>
      <c r="AW168" s="695">
        <f t="shared" si="119"/>
        <v>13433.21</v>
      </c>
      <c r="AX168" s="696">
        <f t="shared" si="120"/>
        <v>13433.21</v>
      </c>
      <c r="AY168" s="696">
        <f t="shared" si="121"/>
        <v>13970.54</v>
      </c>
      <c r="AZ168" s="697">
        <f t="shared" si="122"/>
        <v>14194.07</v>
      </c>
      <c r="BA168" s="832">
        <f>(U168+X168+AC168/120*140+AH168/120*140)/G168*I168</f>
        <v>278355.73</v>
      </c>
      <c r="BB168" s="663">
        <f t="shared" si="135"/>
        <v>191368.09999999998</v>
      </c>
      <c r="BC168" s="694">
        <f t="shared" si="124"/>
        <v>256478.34</v>
      </c>
      <c r="BD168" s="694">
        <f t="shared" si="125"/>
        <v>0</v>
      </c>
      <c r="BE168" s="663">
        <f t="shared" si="134"/>
        <v>15947.341666666665</v>
      </c>
      <c r="BG168" s="699">
        <v>8.4099999999999994E-2</v>
      </c>
      <c r="BH168" s="700">
        <v>0.22</v>
      </c>
    </row>
    <row r="169" spans="1:60" ht="24.75" customHeight="1">
      <c r="A169" s="655" t="s">
        <v>843</v>
      </c>
      <c r="B169" s="655" t="s">
        <v>754</v>
      </c>
      <c r="C169" s="655" t="s">
        <v>810</v>
      </c>
      <c r="D169" s="735"/>
      <c r="E169" s="735"/>
      <c r="F169" s="735"/>
      <c r="G169" s="735">
        <v>1</v>
      </c>
      <c r="H169" s="735"/>
      <c r="I169" s="735">
        <v>1</v>
      </c>
      <c r="J169" s="768" t="s">
        <v>842</v>
      </c>
      <c r="K169" s="682">
        <f t="shared" si="132"/>
        <v>10435</v>
      </c>
      <c r="L169" s="688">
        <v>10435</v>
      </c>
      <c r="M169" s="735"/>
      <c r="N169" s="688">
        <f t="shared" si="93"/>
        <v>0</v>
      </c>
      <c r="O169" s="735"/>
      <c r="P169" s="687">
        <f t="shared" si="126"/>
        <v>0</v>
      </c>
      <c r="Q169" s="689">
        <f t="shared" si="94"/>
        <v>10435</v>
      </c>
      <c r="R169" s="686">
        <f t="shared" si="95"/>
        <v>10435</v>
      </c>
      <c r="S169" s="670">
        <f>S151</f>
        <v>0</v>
      </c>
      <c r="T169" s="670">
        <f>T151</f>
        <v>0</v>
      </c>
      <c r="U169" s="671">
        <f t="shared" si="96"/>
        <v>31305</v>
      </c>
      <c r="V169" s="671">
        <f t="shared" si="97"/>
        <v>31305</v>
      </c>
      <c r="W169" s="671">
        <f t="shared" si="98"/>
        <v>0</v>
      </c>
      <c r="X169" s="671">
        <f t="shared" si="99"/>
        <v>31305</v>
      </c>
      <c r="Y169" s="691">
        <f t="shared" si="100"/>
        <v>10435</v>
      </c>
      <c r="Z169" s="691">
        <v>1</v>
      </c>
      <c r="AA169" s="671">
        <f t="shared" si="101"/>
        <v>31305</v>
      </c>
      <c r="AB169" s="671">
        <f t="shared" si="102"/>
        <v>0</v>
      </c>
      <c r="AC169" s="671">
        <f t="shared" si="103"/>
        <v>32557.200000000001</v>
      </c>
      <c r="AD169" s="689">
        <f t="shared" si="104"/>
        <v>10852.4</v>
      </c>
      <c r="AE169" s="691">
        <f t="shared" si="127"/>
        <v>1.04</v>
      </c>
      <c r="AF169" s="671">
        <f t="shared" si="105"/>
        <v>32557.200000000001</v>
      </c>
      <c r="AG169" s="692">
        <f t="shared" si="106"/>
        <v>0</v>
      </c>
      <c r="AH169" s="671">
        <f t="shared" si="107"/>
        <v>33078.120000000003</v>
      </c>
      <c r="AI169" s="691">
        <f t="shared" si="108"/>
        <v>11026.04</v>
      </c>
      <c r="AJ169" s="691">
        <f t="shared" si="128"/>
        <v>1.016</v>
      </c>
      <c r="AK169" s="671">
        <f t="shared" si="109"/>
        <v>33078.120000000003</v>
      </c>
      <c r="AL169" s="671">
        <f t="shared" si="110"/>
        <v>0</v>
      </c>
      <c r="AM169" s="661">
        <v>0.04</v>
      </c>
      <c r="AN169" s="662">
        <f t="shared" si="133"/>
        <v>0.04</v>
      </c>
      <c r="AO169" s="691">
        <f t="shared" si="111"/>
        <v>1252.2</v>
      </c>
      <c r="AP169" s="691">
        <f t="shared" si="112"/>
        <v>1252.2</v>
      </c>
      <c r="AQ169" s="691">
        <f t="shared" si="113"/>
        <v>1302.29</v>
      </c>
      <c r="AR169" s="691">
        <f t="shared" si="114"/>
        <v>1323.12</v>
      </c>
      <c r="AS169" s="671">
        <f t="shared" si="115"/>
        <v>30052.799999999999</v>
      </c>
      <c r="AT169" s="671">
        <f t="shared" si="116"/>
        <v>30052.799999999999</v>
      </c>
      <c r="AU169" s="671">
        <f t="shared" si="117"/>
        <v>31254.91</v>
      </c>
      <c r="AV169" s="671">
        <f t="shared" si="118"/>
        <v>31755.000000000004</v>
      </c>
      <c r="AW169" s="695">
        <f t="shared" si="119"/>
        <v>6716.93</v>
      </c>
      <c r="AX169" s="696">
        <f t="shared" si="120"/>
        <v>6716.93</v>
      </c>
      <c r="AY169" s="696">
        <f t="shared" si="121"/>
        <v>6985.6</v>
      </c>
      <c r="AZ169" s="697">
        <f t="shared" si="122"/>
        <v>7097.37</v>
      </c>
      <c r="BA169" s="832">
        <f>(U169+X169+AC169/120*140+AH169/120*140)/G169*I169</f>
        <v>139184.53999999998</v>
      </c>
      <c r="BB169" s="663">
        <f t="shared" si="135"/>
        <v>95689.16</v>
      </c>
      <c r="BC169" s="694">
        <f t="shared" si="124"/>
        <v>128245.32</v>
      </c>
      <c r="BD169" s="694">
        <f t="shared" si="125"/>
        <v>0</v>
      </c>
      <c r="BE169" s="663">
        <f t="shared" si="134"/>
        <v>7974.0966666666673</v>
      </c>
      <c r="BG169" s="699">
        <v>8.4099999999999994E-2</v>
      </c>
      <c r="BH169" s="700">
        <v>0.22</v>
      </c>
    </row>
    <row r="170" spans="1:60" ht="24.75" customHeight="1">
      <c r="A170" s="655" t="s">
        <v>844</v>
      </c>
      <c r="B170" s="655" t="s">
        <v>754</v>
      </c>
      <c r="C170" s="655" t="s">
        <v>810</v>
      </c>
      <c r="D170" s="735"/>
      <c r="E170" s="735"/>
      <c r="F170" s="735"/>
      <c r="G170" s="735">
        <v>1</v>
      </c>
      <c r="H170" s="735"/>
      <c r="I170" s="735">
        <v>1</v>
      </c>
      <c r="J170" s="768" t="s">
        <v>842</v>
      </c>
      <c r="K170" s="682">
        <f t="shared" si="132"/>
        <v>12604.8</v>
      </c>
      <c r="L170" s="688">
        <v>12604.800000000001</v>
      </c>
      <c r="M170" s="735"/>
      <c r="N170" s="688">
        <f t="shared" si="93"/>
        <v>0</v>
      </c>
      <c r="O170" s="735"/>
      <c r="P170" s="687">
        <f t="shared" si="126"/>
        <v>0</v>
      </c>
      <c r="Q170" s="689">
        <f t="shared" si="94"/>
        <v>12604.8</v>
      </c>
      <c r="R170" s="686">
        <f t="shared" si="95"/>
        <v>12604.8</v>
      </c>
      <c r="S170" s="670">
        <f>S150</f>
        <v>0</v>
      </c>
      <c r="T170" s="670">
        <f>T150</f>
        <v>0</v>
      </c>
      <c r="U170" s="671">
        <f t="shared" si="96"/>
        <v>37814.400000000001</v>
      </c>
      <c r="V170" s="671">
        <f t="shared" si="97"/>
        <v>37814.400000000001</v>
      </c>
      <c r="W170" s="671">
        <f t="shared" si="98"/>
        <v>0</v>
      </c>
      <c r="X170" s="671">
        <f t="shared" si="99"/>
        <v>37814.400000000001</v>
      </c>
      <c r="Y170" s="691">
        <f t="shared" si="100"/>
        <v>12604.800000000001</v>
      </c>
      <c r="Z170" s="691">
        <v>1</v>
      </c>
      <c r="AA170" s="671">
        <f t="shared" si="101"/>
        <v>37814.400000000001</v>
      </c>
      <c r="AB170" s="671">
        <f t="shared" si="102"/>
        <v>0</v>
      </c>
      <c r="AC170" s="671">
        <f t="shared" si="103"/>
        <v>39326.980000000003</v>
      </c>
      <c r="AD170" s="689">
        <f t="shared" si="104"/>
        <v>13108.99</v>
      </c>
      <c r="AE170" s="691">
        <f t="shared" si="127"/>
        <v>1.04</v>
      </c>
      <c r="AF170" s="671">
        <f t="shared" si="105"/>
        <v>39326.980000000003</v>
      </c>
      <c r="AG170" s="692">
        <f t="shared" si="106"/>
        <v>0</v>
      </c>
      <c r="AH170" s="671">
        <f t="shared" si="107"/>
        <v>39956.21</v>
      </c>
      <c r="AI170" s="691">
        <f t="shared" si="108"/>
        <v>13318.73</v>
      </c>
      <c r="AJ170" s="691">
        <f t="shared" si="128"/>
        <v>1.016</v>
      </c>
      <c r="AK170" s="671">
        <f t="shared" si="109"/>
        <v>39956.21</v>
      </c>
      <c r="AL170" s="671">
        <f t="shared" si="110"/>
        <v>0</v>
      </c>
      <c r="AM170" s="661">
        <v>0.04</v>
      </c>
      <c r="AN170" s="662">
        <f t="shared" si="133"/>
        <v>0.04</v>
      </c>
      <c r="AO170" s="691">
        <f t="shared" si="111"/>
        <v>1512.58</v>
      </c>
      <c r="AP170" s="691">
        <f t="shared" si="112"/>
        <v>1512.58</v>
      </c>
      <c r="AQ170" s="691">
        <f t="shared" si="113"/>
        <v>1573.08</v>
      </c>
      <c r="AR170" s="691">
        <f t="shared" si="114"/>
        <v>1598.25</v>
      </c>
      <c r="AS170" s="671">
        <f t="shared" si="115"/>
        <v>36301.82</v>
      </c>
      <c r="AT170" s="671">
        <f t="shared" si="116"/>
        <v>36301.82</v>
      </c>
      <c r="AU170" s="671">
        <f t="shared" si="117"/>
        <v>37753.9</v>
      </c>
      <c r="AV170" s="671">
        <f t="shared" si="118"/>
        <v>38357.96</v>
      </c>
      <c r="AW170" s="695">
        <f t="shared" si="119"/>
        <v>8113.61</v>
      </c>
      <c r="AX170" s="696">
        <f t="shared" si="120"/>
        <v>8113.61</v>
      </c>
      <c r="AY170" s="696">
        <f t="shared" si="121"/>
        <v>8438.15</v>
      </c>
      <c r="AZ170" s="697">
        <f t="shared" si="122"/>
        <v>8573.16</v>
      </c>
      <c r="BA170" s="832">
        <f>(U170+X170+AC170/120*140+AH170/120*140)/G170*I170</f>
        <v>168125.85500000001</v>
      </c>
      <c r="BB170" s="663">
        <f t="shared" si="135"/>
        <v>115586.04999999999</v>
      </c>
      <c r="BC170" s="694">
        <f t="shared" si="124"/>
        <v>154911.99</v>
      </c>
      <c r="BD170" s="694">
        <f t="shared" si="125"/>
        <v>0</v>
      </c>
      <c r="BE170" s="663">
        <f t="shared" si="134"/>
        <v>9632.1708333333318</v>
      </c>
      <c r="BG170" s="699">
        <v>8.4099999999999994E-2</v>
      </c>
      <c r="BH170" s="700">
        <v>0.22</v>
      </c>
    </row>
    <row r="171" spans="1:60" ht="24.75" customHeight="1">
      <c r="A171" s="655" t="s">
        <v>844</v>
      </c>
      <c r="B171" s="655" t="s">
        <v>754</v>
      </c>
      <c r="C171" s="655" t="s">
        <v>810</v>
      </c>
      <c r="D171" s="735"/>
      <c r="E171" s="735"/>
      <c r="F171" s="735"/>
      <c r="G171" s="735">
        <v>1</v>
      </c>
      <c r="H171" s="735"/>
      <c r="I171" s="735">
        <v>1</v>
      </c>
      <c r="J171" s="768" t="s">
        <v>842</v>
      </c>
      <c r="K171" s="682">
        <f t="shared" si="132"/>
        <v>12604.8</v>
      </c>
      <c r="L171" s="688">
        <v>12604.800000000001</v>
      </c>
      <c r="M171" s="735"/>
      <c r="N171" s="688">
        <f t="shared" si="93"/>
        <v>0</v>
      </c>
      <c r="O171" s="735"/>
      <c r="P171" s="687">
        <f t="shared" si="126"/>
        <v>0</v>
      </c>
      <c r="Q171" s="689">
        <f t="shared" si="94"/>
        <v>12604.8</v>
      </c>
      <c r="R171" s="686">
        <f t="shared" si="95"/>
        <v>12604.8</v>
      </c>
      <c r="S171" s="670">
        <f>S170</f>
        <v>0</v>
      </c>
      <c r="T171" s="670">
        <f>T170</f>
        <v>0</v>
      </c>
      <c r="U171" s="671">
        <f t="shared" si="96"/>
        <v>37814.400000000001</v>
      </c>
      <c r="V171" s="671">
        <f t="shared" si="97"/>
        <v>37814.400000000001</v>
      </c>
      <c r="W171" s="671">
        <f t="shared" si="98"/>
        <v>0</v>
      </c>
      <c r="X171" s="671">
        <f t="shared" si="99"/>
        <v>37814.400000000001</v>
      </c>
      <c r="Y171" s="691">
        <f t="shared" si="100"/>
        <v>12604.800000000001</v>
      </c>
      <c r="Z171" s="691">
        <v>1</v>
      </c>
      <c r="AA171" s="671">
        <f t="shared" si="101"/>
        <v>37814.400000000001</v>
      </c>
      <c r="AB171" s="671">
        <f t="shared" si="102"/>
        <v>0</v>
      </c>
      <c r="AC171" s="671">
        <f t="shared" si="103"/>
        <v>39326.980000000003</v>
      </c>
      <c r="AD171" s="689">
        <f t="shared" si="104"/>
        <v>13108.99</v>
      </c>
      <c r="AE171" s="691">
        <f t="shared" si="127"/>
        <v>1.04</v>
      </c>
      <c r="AF171" s="671">
        <f t="shared" si="105"/>
        <v>39326.980000000003</v>
      </c>
      <c r="AG171" s="692">
        <f t="shared" si="106"/>
        <v>0</v>
      </c>
      <c r="AH171" s="671">
        <f t="shared" si="107"/>
        <v>39956.21</v>
      </c>
      <c r="AI171" s="691">
        <f t="shared" si="108"/>
        <v>13318.73</v>
      </c>
      <c r="AJ171" s="691">
        <f t="shared" si="128"/>
        <v>1.016</v>
      </c>
      <c r="AK171" s="671">
        <f t="shared" si="109"/>
        <v>39956.21</v>
      </c>
      <c r="AL171" s="671">
        <f t="shared" si="110"/>
        <v>0</v>
      </c>
      <c r="AM171" s="661">
        <v>0.04</v>
      </c>
      <c r="AN171" s="662">
        <f t="shared" si="133"/>
        <v>0.04</v>
      </c>
      <c r="AO171" s="691">
        <f t="shared" si="111"/>
        <v>1512.58</v>
      </c>
      <c r="AP171" s="691">
        <f t="shared" si="112"/>
        <v>1512.58</v>
      </c>
      <c r="AQ171" s="691">
        <f t="shared" si="113"/>
        <v>1573.08</v>
      </c>
      <c r="AR171" s="691">
        <f t="shared" si="114"/>
        <v>1598.25</v>
      </c>
      <c r="AS171" s="671">
        <f t="shared" si="115"/>
        <v>36301.82</v>
      </c>
      <c r="AT171" s="671">
        <f t="shared" si="116"/>
        <v>36301.82</v>
      </c>
      <c r="AU171" s="671">
        <f t="shared" si="117"/>
        <v>37753.9</v>
      </c>
      <c r="AV171" s="671">
        <f t="shared" si="118"/>
        <v>38357.96</v>
      </c>
      <c r="AW171" s="695">
        <f t="shared" si="119"/>
        <v>8113.61</v>
      </c>
      <c r="AX171" s="696">
        <f t="shared" si="120"/>
        <v>8113.61</v>
      </c>
      <c r="AY171" s="696">
        <f t="shared" si="121"/>
        <v>8438.15</v>
      </c>
      <c r="AZ171" s="697">
        <f t="shared" si="122"/>
        <v>8573.16</v>
      </c>
      <c r="BA171" s="832">
        <f>(U171+X171+AC171/120*140+AH171/120*140)/G171*I171</f>
        <v>168125.85500000001</v>
      </c>
      <c r="BB171" s="663">
        <f t="shared" si="135"/>
        <v>115586.04999999999</v>
      </c>
      <c r="BC171" s="694">
        <f t="shared" si="124"/>
        <v>154911.99</v>
      </c>
      <c r="BD171" s="694">
        <f t="shared" si="125"/>
        <v>0</v>
      </c>
      <c r="BE171" s="663">
        <f t="shared" si="134"/>
        <v>9632.1708333333318</v>
      </c>
      <c r="BG171" s="699">
        <v>8.4099999999999994E-2</v>
      </c>
      <c r="BH171" s="700">
        <v>0.22</v>
      </c>
    </row>
    <row r="172" spans="1:60" s="322" customFormat="1" ht="18.75" customHeight="1" thickBot="1">
      <c r="A172" s="739" t="s">
        <v>845</v>
      </c>
      <c r="B172" s="739"/>
      <c r="C172" s="739"/>
      <c r="D172" s="740"/>
      <c r="E172" s="740"/>
      <c r="F172" s="740"/>
      <c r="G172" s="740">
        <f>SUM(G4:G171)</f>
        <v>424</v>
      </c>
      <c r="H172" s="740"/>
      <c r="I172" s="740">
        <f>SUM(I4:I171)</f>
        <v>80.5</v>
      </c>
      <c r="J172" s="721"/>
      <c r="K172" s="721">
        <f>SUM(K4:K171)</f>
        <v>1759609.2842987697</v>
      </c>
      <c r="L172" s="721"/>
      <c r="M172" s="740"/>
      <c r="N172" s="721"/>
      <c r="O172" s="740"/>
      <c r="P172" s="721"/>
      <c r="Q172" s="838">
        <f>SUM(Q4:Q171)</f>
        <v>1968145.98</v>
      </c>
      <c r="R172" s="741"/>
      <c r="S172" s="739"/>
      <c r="T172" s="739"/>
      <c r="U172" s="671">
        <f>SUM(U4:U171)</f>
        <v>13617955.29000001</v>
      </c>
      <c r="V172" s="671">
        <f>SUM(V4:V171)</f>
        <v>9681582.9600000046</v>
      </c>
      <c r="W172" s="671">
        <f>SUM(W4:W171)</f>
        <v>3936372.3300000015</v>
      </c>
      <c r="X172" s="671">
        <f>SUM(X4:X171)</f>
        <v>13617955.29000001</v>
      </c>
      <c r="Y172" s="671"/>
      <c r="Z172" s="671"/>
      <c r="AA172" s="671">
        <f t="shared" ref="AA172:AR172" si="136">SUM(AA4:AA171)</f>
        <v>9681582.9600000046</v>
      </c>
      <c r="AB172" s="671">
        <f t="shared" si="136"/>
        <v>3936372.3300000015</v>
      </c>
      <c r="AC172" s="671">
        <f t="shared" si="136"/>
        <v>14162673.520000003</v>
      </c>
      <c r="AD172" s="671"/>
      <c r="AE172" s="671"/>
      <c r="AF172" s="671">
        <f t="shared" si="136"/>
        <v>10068846.27</v>
      </c>
      <c r="AG172" s="671">
        <f t="shared" si="136"/>
        <v>4093827.2499999981</v>
      </c>
      <c r="AH172" s="671">
        <f t="shared" si="136"/>
        <v>14389276.140000001</v>
      </c>
      <c r="AI172" s="671"/>
      <c r="AJ172" s="671"/>
      <c r="AK172" s="671">
        <f t="shared" si="136"/>
        <v>10229947.750000013</v>
      </c>
      <c r="AL172" s="671">
        <f t="shared" si="136"/>
        <v>4159328.3900000011</v>
      </c>
      <c r="AM172" s="671">
        <f t="shared" si="136"/>
        <v>6.7200000000000051</v>
      </c>
      <c r="AN172" s="671">
        <f t="shared" si="136"/>
        <v>16.959999999999901</v>
      </c>
      <c r="AO172" s="671">
        <f t="shared" si="136"/>
        <v>544718.19000000006</v>
      </c>
      <c r="AP172" s="671">
        <f t="shared" si="136"/>
        <v>544718.19000000006</v>
      </c>
      <c r="AQ172" s="671">
        <f t="shared" si="136"/>
        <v>566506.91000000038</v>
      </c>
      <c r="AR172" s="742">
        <f t="shared" si="136"/>
        <v>575570.97</v>
      </c>
      <c r="AS172" s="671">
        <f t="shared" ref="AS172:AZ172" si="137">SUM(AS4:AS171)</f>
        <v>13073237.100000007</v>
      </c>
      <c r="AT172" s="671">
        <f t="shared" si="137"/>
        <v>13073237.100000007</v>
      </c>
      <c r="AU172" s="671">
        <f t="shared" si="137"/>
        <v>13596166.609999998</v>
      </c>
      <c r="AV172" s="671">
        <f t="shared" si="137"/>
        <v>13813705.169999991</v>
      </c>
      <c r="AW172" s="743">
        <f t="shared" si="137"/>
        <v>2921923.0299999975</v>
      </c>
      <c r="AX172" s="744">
        <f t="shared" si="137"/>
        <v>2921923.0299999975</v>
      </c>
      <c r="AY172" s="744">
        <f t="shared" si="137"/>
        <v>3038799.8599999971</v>
      </c>
      <c r="AZ172" s="745">
        <f t="shared" si="137"/>
        <v>3087420.6899999995</v>
      </c>
      <c r="BA172" s="833"/>
      <c r="BB172" s="746">
        <f>SUM(BB4:BB171)</f>
        <v>41605090.270000041</v>
      </c>
      <c r="BC172" s="671">
        <f>SUM(BC4:BC171)</f>
        <v>39661959.940000042</v>
      </c>
      <c r="BD172" s="671">
        <f>SUM(BD4:BD171)</f>
        <v>16125900.299999995</v>
      </c>
      <c r="BE172" s="671" t="e">
        <f>SUM(BE4:BE171)</f>
        <v>#VALUE!</v>
      </c>
      <c r="BF172" s="671"/>
      <c r="BG172" s="671"/>
      <c r="BH172" s="671"/>
    </row>
    <row r="173" spans="1:60" s="388" customFormat="1" hidden="1">
      <c r="A173" s="706"/>
      <c r="B173" s="706"/>
      <c r="C173" s="747" t="str">
        <f>C168</f>
        <v>керів</v>
      </c>
      <c r="D173" s="747" t="s">
        <v>824</v>
      </c>
      <c r="E173" s="747"/>
      <c r="F173" s="747"/>
      <c r="G173" s="747">
        <v>19</v>
      </c>
      <c r="H173" s="705"/>
      <c r="I173" s="705"/>
      <c r="J173" s="705"/>
      <c r="K173" s="748"/>
      <c r="L173" s="748"/>
      <c r="M173" s="705"/>
      <c r="N173" s="748"/>
      <c r="O173" s="705"/>
      <c r="P173" s="748"/>
      <c r="Q173" s="705"/>
      <c r="R173" s="710"/>
      <c r="S173" s="706"/>
      <c r="T173" s="706"/>
      <c r="U173" s="749"/>
      <c r="V173" s="749"/>
      <c r="W173" s="749"/>
      <c r="X173" s="749"/>
      <c r="Y173" s="749"/>
      <c r="Z173" s="749"/>
      <c r="AA173" s="749"/>
      <c r="AB173" s="749"/>
      <c r="AC173" s="749"/>
      <c r="AD173" s="750"/>
      <c r="AE173" s="749"/>
      <c r="AF173" s="749"/>
      <c r="AG173" s="749"/>
      <c r="AH173" s="749"/>
      <c r="AI173" s="749"/>
      <c r="AJ173" s="749"/>
      <c r="AK173" s="749"/>
      <c r="AL173" s="749"/>
      <c r="AM173" s="704"/>
      <c r="AN173" s="705"/>
      <c r="AO173" s="751"/>
      <c r="AP173" s="751"/>
      <c r="AQ173" s="751"/>
      <c r="AR173" s="751"/>
      <c r="AS173" s="752"/>
      <c r="AT173" s="752"/>
      <c r="AU173" s="752"/>
      <c r="AV173" s="752"/>
      <c r="AW173" s="753"/>
      <c r="AX173" s="753"/>
      <c r="AY173" s="753"/>
      <c r="AZ173" s="753"/>
      <c r="BA173" s="801"/>
      <c r="BB173" s="706"/>
      <c r="BC173" s="706"/>
      <c r="BD173" s="706"/>
      <c r="BE173" s="706"/>
      <c r="BF173" s="706"/>
      <c r="BG173" s="706"/>
      <c r="BH173" s="706"/>
    </row>
    <row r="174" spans="1:60" s="388" customFormat="1" ht="15.75" hidden="1">
      <c r="A174" s="706"/>
      <c r="B174" s="706"/>
      <c r="C174" s="703" t="s">
        <v>810</v>
      </c>
      <c r="D174" s="754"/>
      <c r="E174" s="754"/>
      <c r="F174" s="754"/>
      <c r="G174" s="754">
        <v>24</v>
      </c>
      <c r="H174" s="705"/>
      <c r="I174" s="705"/>
      <c r="J174" s="705"/>
      <c r="K174" s="748"/>
      <c r="L174" s="748"/>
      <c r="M174" s="705"/>
      <c r="N174" s="748"/>
      <c r="O174" s="705"/>
      <c r="P174" s="748"/>
      <c r="Q174" s="705"/>
      <c r="R174" s="710"/>
      <c r="S174" s="706"/>
      <c r="T174" s="706"/>
      <c r="U174" s="749">
        <f>U172/3</f>
        <v>4539318.4300000034</v>
      </c>
      <c r="V174" s="749"/>
      <c r="W174" s="749"/>
      <c r="X174" s="749">
        <f>U172+X172</f>
        <v>27235910.580000021</v>
      </c>
      <c r="Y174" s="749"/>
      <c r="Z174" s="749"/>
      <c r="AA174" s="749"/>
      <c r="AB174" s="749"/>
      <c r="AC174" s="749">
        <f>X174+AC172</f>
        <v>41398584.100000024</v>
      </c>
      <c r="AD174" s="750"/>
      <c r="AE174" s="749"/>
      <c r="AF174" s="749"/>
      <c r="AG174" s="749"/>
      <c r="AH174" s="749">
        <f>AC174+AH172</f>
        <v>55787860.240000024</v>
      </c>
      <c r="AI174" s="749"/>
      <c r="AJ174" s="749"/>
      <c r="AK174" s="749"/>
      <c r="AL174" s="749"/>
      <c r="AM174" s="704"/>
      <c r="AN174" s="705"/>
      <c r="AO174" s="750"/>
      <c r="AP174" s="750"/>
      <c r="AQ174" s="750"/>
      <c r="AR174" s="750"/>
      <c r="AS174" s="755"/>
      <c r="AT174" s="755"/>
      <c r="AU174" s="755"/>
      <c r="AV174" s="755"/>
      <c r="AW174" s="706"/>
      <c r="AX174" s="706"/>
      <c r="AY174" s="706"/>
      <c r="AZ174" s="706"/>
      <c r="BA174" s="706"/>
      <c r="BB174" s="706"/>
      <c r="BC174" s="706"/>
      <c r="BD174" s="706"/>
      <c r="BE174" s="706"/>
      <c r="BF174" s="706"/>
      <c r="BG174" s="706"/>
      <c r="BH174" s="706"/>
    </row>
    <row r="175" spans="1:60" s="388" customFormat="1" ht="15.75" hidden="1">
      <c r="A175" s="706"/>
      <c r="B175" s="706"/>
      <c r="C175" s="703" t="s">
        <v>802</v>
      </c>
      <c r="D175" s="754"/>
      <c r="E175" s="754"/>
      <c r="F175" s="754"/>
      <c r="G175" s="754">
        <v>15</v>
      </c>
      <c r="H175" s="705"/>
      <c r="I175" s="705"/>
      <c r="J175" s="705"/>
      <c r="K175" s="748"/>
      <c r="L175" s="748"/>
      <c r="M175" s="705"/>
      <c r="N175" s="748"/>
      <c r="O175" s="705"/>
      <c r="P175" s="748"/>
      <c r="Q175" s="705"/>
      <c r="R175" s="710"/>
      <c r="S175" s="706"/>
      <c r="T175" s="706"/>
      <c r="U175" s="749"/>
      <c r="V175" s="749"/>
      <c r="W175" s="749"/>
      <c r="X175" s="749">
        <f>U183+X183+U184+X184</f>
        <v>27235910.580000017</v>
      </c>
      <c r="Y175" s="749"/>
      <c r="Z175" s="749"/>
      <c r="AA175" s="749"/>
      <c r="AB175" s="749"/>
      <c r="AC175" s="749">
        <f>X175+AC183+AC184</f>
        <v>41398584.100000016</v>
      </c>
      <c r="AD175" s="750"/>
      <c r="AE175" s="749"/>
      <c r="AF175" s="749"/>
      <c r="AG175" s="749"/>
      <c r="AH175" s="749">
        <f>AC175+AH183+AH184</f>
        <v>55787860.240000017</v>
      </c>
      <c r="AI175" s="749"/>
      <c r="AJ175" s="749"/>
      <c r="AK175" s="749"/>
      <c r="AL175" s="749"/>
      <c r="AM175" s="704"/>
      <c r="AN175" s="705"/>
      <c r="AO175" s="750"/>
      <c r="AP175" s="750"/>
      <c r="AQ175" s="750"/>
      <c r="AR175" s="750"/>
      <c r="AS175" s="755"/>
      <c r="AT175" s="755"/>
      <c r="AU175" s="755"/>
      <c r="AV175" s="755"/>
      <c r="AW175" s="706"/>
      <c r="AX175" s="706"/>
      <c r="AY175" s="706"/>
      <c r="AZ175" s="706"/>
      <c r="BA175" s="706"/>
      <c r="BB175" s="706"/>
      <c r="BC175" s="706"/>
      <c r="BD175" s="706"/>
      <c r="BE175" s="706"/>
      <c r="BF175" s="706"/>
      <c r="BG175" s="706"/>
      <c r="BH175" s="706"/>
    </row>
    <row r="176" spans="1:60" s="388" customFormat="1" hidden="1">
      <c r="A176" s="706"/>
      <c r="B176" s="706"/>
      <c r="C176" s="754" t="s">
        <v>805</v>
      </c>
      <c r="D176" s="754"/>
      <c r="E176" s="754"/>
      <c r="F176" s="754"/>
      <c r="G176" s="754">
        <v>2</v>
      </c>
      <c r="H176" s="705"/>
      <c r="I176" s="705"/>
      <c r="J176" s="705"/>
      <c r="K176" s="749"/>
      <c r="L176" s="749"/>
      <c r="M176" s="705"/>
      <c r="N176" s="748"/>
      <c r="O176" s="705"/>
      <c r="P176" s="748"/>
      <c r="Q176" s="705"/>
      <c r="R176" s="710"/>
      <c r="S176" s="706"/>
      <c r="T176" s="706"/>
      <c r="U176" s="749"/>
      <c r="V176" s="749"/>
      <c r="W176" s="749"/>
      <c r="X176" s="749">
        <f t="shared" ref="X176:AC176" si="138">X174-X175</f>
        <v>0</v>
      </c>
      <c r="Y176" s="749">
        <f t="shared" si="138"/>
        <v>0</v>
      </c>
      <c r="Z176" s="749">
        <f t="shared" si="138"/>
        <v>0</v>
      </c>
      <c r="AA176" s="749">
        <f t="shared" si="138"/>
        <v>0</v>
      </c>
      <c r="AB176" s="749">
        <f t="shared" si="138"/>
        <v>0</v>
      </c>
      <c r="AC176" s="749">
        <f t="shared" si="138"/>
        <v>0</v>
      </c>
      <c r="AD176" s="750"/>
      <c r="AE176" s="749"/>
      <c r="AF176" s="749"/>
      <c r="AG176" s="749"/>
      <c r="AH176" s="749"/>
      <c r="AI176" s="749"/>
      <c r="AJ176" s="749"/>
      <c r="AK176" s="749"/>
      <c r="AL176" s="749"/>
      <c r="AM176" s="704"/>
      <c r="AN176" s="705"/>
      <c r="AO176" s="750"/>
      <c r="AP176" s="750"/>
      <c r="AQ176" s="750"/>
      <c r="AR176" s="750"/>
      <c r="AS176" s="755"/>
      <c r="AT176" s="755"/>
      <c r="AU176" s="755"/>
      <c r="AV176" s="755"/>
      <c r="AW176" s="706"/>
      <c r="AX176" s="706"/>
      <c r="AY176" s="706"/>
      <c r="AZ176" s="706"/>
      <c r="BA176" s="706"/>
      <c r="BB176" s="756">
        <f>11/54</f>
        <v>0.20370370370370369</v>
      </c>
      <c r="BC176" s="756"/>
      <c r="BD176" s="756"/>
      <c r="BE176" s="706"/>
      <c r="BF176" s="706"/>
      <c r="BG176" s="706"/>
      <c r="BH176" s="706"/>
    </row>
    <row r="177" spans="1:60" s="388" customFormat="1" hidden="1">
      <c r="A177" s="706"/>
      <c r="B177" s="706"/>
      <c r="C177" s="754" t="s">
        <v>755</v>
      </c>
      <c r="D177" s="754"/>
      <c r="E177" s="754"/>
      <c r="F177" s="754"/>
      <c r="G177" s="754">
        <v>362</v>
      </c>
      <c r="H177" s="705"/>
      <c r="I177" s="705"/>
      <c r="J177" s="748"/>
      <c r="K177" s="748"/>
      <c r="L177" s="748"/>
      <c r="M177" s="705"/>
      <c r="N177" s="748"/>
      <c r="O177" s="705"/>
      <c r="P177" s="748"/>
      <c r="Q177" s="705"/>
      <c r="R177" s="710"/>
      <c r="S177" s="706"/>
      <c r="T177" s="706"/>
      <c r="U177" s="749"/>
      <c r="V177" s="749"/>
      <c r="W177" s="749"/>
      <c r="X177" s="749"/>
      <c r="Y177" s="749"/>
      <c r="Z177" s="749"/>
      <c r="AA177" s="749"/>
      <c r="AB177" s="749"/>
      <c r="AC177" s="749"/>
      <c r="AD177" s="750"/>
      <c r="AE177" s="749"/>
      <c r="AF177" s="749"/>
      <c r="AG177" s="749"/>
      <c r="AH177" s="749"/>
      <c r="AI177" s="749"/>
      <c r="AJ177" s="749"/>
      <c r="AK177" s="749"/>
      <c r="AL177" s="749"/>
      <c r="AM177" s="704"/>
      <c r="AN177" s="705"/>
      <c r="AO177" s="750"/>
      <c r="AP177" s="750"/>
      <c r="AQ177" s="750"/>
      <c r="AR177" s="750"/>
      <c r="AS177" s="755"/>
      <c r="AT177" s="755"/>
      <c r="AU177" s="755"/>
      <c r="AV177" s="755"/>
      <c r="AW177" s="706"/>
      <c r="AX177" s="706"/>
      <c r="AY177" s="706"/>
      <c r="AZ177" s="706"/>
      <c r="BA177" s="706"/>
      <c r="BB177" s="874">
        <f>BB95+BB96+BB97+BB98+BB99+BB100+BB101+BB102+BB103+BB104+BB105+BB106+BB107+BB108+BB109</f>
        <v>1850205.1500000001</v>
      </c>
      <c r="BC177" s="706"/>
      <c r="BD177" s="706"/>
      <c r="BE177" s="706"/>
      <c r="BF177" s="706"/>
      <c r="BG177" s="706"/>
      <c r="BH177" s="706"/>
    </row>
    <row r="178" spans="1:60" s="388" customFormat="1" hidden="1">
      <c r="A178" s="706"/>
      <c r="B178" s="706"/>
      <c r="C178" s="754" t="s">
        <v>809</v>
      </c>
      <c r="D178" s="754"/>
      <c r="E178" s="754"/>
      <c r="F178" s="754"/>
      <c r="G178" s="754">
        <v>2</v>
      </c>
      <c r="H178" s="705"/>
      <c r="I178" s="705"/>
      <c r="J178" s="705"/>
      <c r="K178" s="748"/>
      <c r="L178" s="748"/>
      <c r="M178" s="705"/>
      <c r="N178" s="748"/>
      <c r="O178" s="705"/>
      <c r="P178" s="748"/>
      <c r="Q178" s="705"/>
      <c r="R178" s="710"/>
      <c r="S178" s="706"/>
      <c r="T178" s="706"/>
      <c r="U178" s="749"/>
      <c r="V178" s="749"/>
      <c r="W178" s="749"/>
      <c r="X178" s="749"/>
      <c r="Y178" s="749"/>
      <c r="Z178" s="749"/>
      <c r="AA178" s="749"/>
      <c r="AB178" s="749"/>
      <c r="AC178" s="749"/>
      <c r="AD178" s="750"/>
      <c r="AE178" s="749"/>
      <c r="AF178" s="749"/>
      <c r="AG178" s="749"/>
      <c r="AH178" s="749"/>
      <c r="AI178" s="749"/>
      <c r="AJ178" s="749"/>
      <c r="AK178" s="749"/>
      <c r="AL178" s="749"/>
      <c r="AM178" s="704"/>
      <c r="AN178" s="705"/>
      <c r="AO178" s="750"/>
      <c r="AP178" s="750"/>
      <c r="AQ178" s="750"/>
      <c r="AR178" s="750"/>
      <c r="AS178" s="755"/>
      <c r="AT178" s="755"/>
      <c r="AU178" s="755"/>
      <c r="AV178" s="755"/>
      <c r="AW178" s="706"/>
      <c r="AX178" s="706"/>
      <c r="AY178" s="706"/>
      <c r="AZ178" s="706"/>
      <c r="BA178" s="706"/>
      <c r="BB178" s="706"/>
      <c r="BC178" s="706"/>
      <c r="BD178" s="706"/>
      <c r="BE178" s="706"/>
      <c r="BF178" s="706"/>
      <c r="BG178" s="706"/>
      <c r="BH178" s="706"/>
    </row>
    <row r="179" spans="1:60" s="388" customFormat="1" ht="45">
      <c r="A179" s="706"/>
      <c r="B179" s="706"/>
      <c r="C179" s="754"/>
      <c r="D179" s="754"/>
      <c r="E179" s="754" t="s">
        <v>750</v>
      </c>
      <c r="F179" s="754" t="s">
        <v>751</v>
      </c>
      <c r="G179" s="754">
        <f>SUM(G173:G178)</f>
        <v>424</v>
      </c>
      <c r="H179" s="757"/>
      <c r="I179" s="760"/>
      <c r="J179" s="760"/>
      <c r="K179" s="759" t="s">
        <v>958</v>
      </c>
      <c r="L179" s="758"/>
      <c r="M179" s="760"/>
      <c r="N179" s="758"/>
      <c r="O179" s="760"/>
      <c r="P179" s="758"/>
      <c r="Q179" s="760"/>
      <c r="R179" s="761"/>
      <c r="S179" s="706"/>
      <c r="T179" s="706"/>
      <c r="U179" s="762"/>
      <c r="V179" s="762"/>
      <c r="W179" s="762"/>
      <c r="X179" s="762"/>
      <c r="Y179" s="762"/>
      <c r="Z179" s="762"/>
      <c r="AA179" s="762"/>
      <c r="AB179" s="762"/>
      <c r="AC179" s="762"/>
      <c r="AD179" s="763"/>
      <c r="AE179" s="762"/>
      <c r="AF179" s="762"/>
      <c r="AG179" s="762"/>
      <c r="AH179" s="762"/>
      <c r="AI179" s="762"/>
      <c r="AJ179" s="762"/>
      <c r="AK179" s="762"/>
      <c r="AL179" s="762"/>
      <c r="AM179" s="764"/>
      <c r="AN179" s="760"/>
      <c r="AO179" s="763"/>
      <c r="AP179" s="763"/>
      <c r="AQ179" s="763"/>
      <c r="AR179" s="763"/>
      <c r="AS179" s="765"/>
      <c r="AT179" s="765"/>
      <c r="AU179" s="765"/>
      <c r="AV179" s="765"/>
      <c r="AW179" s="758"/>
      <c r="AX179" s="758"/>
      <c r="AY179" s="758"/>
      <c r="AZ179" s="758"/>
      <c r="BA179" s="758">
        <f>SUBTOTAL(9,BA5:BA178)</f>
        <v>5351595.2078030324</v>
      </c>
      <c r="BB179" s="766"/>
      <c r="BC179" s="766"/>
      <c r="BD179" s="766"/>
      <c r="BE179" s="766"/>
      <c r="BF179" s="766"/>
      <c r="BG179" s="766"/>
      <c r="BH179" s="766"/>
    </row>
    <row r="180" spans="1:60" s="388" customFormat="1" ht="18.75" customHeight="1">
      <c r="A180" s="706"/>
      <c r="B180" s="706"/>
      <c r="C180" s="767" t="s">
        <v>846</v>
      </c>
      <c r="D180" s="768"/>
      <c r="E180" s="768"/>
      <c r="F180" s="768"/>
      <c r="G180" s="768">
        <v>1</v>
      </c>
      <c r="H180" s="757">
        <f>BB114</f>
        <v>325533.2</v>
      </c>
      <c r="I180" s="760"/>
      <c r="J180" s="760"/>
      <c r="K180" s="769">
        <f>K114</f>
        <v>35500</v>
      </c>
      <c r="L180" s="762"/>
      <c r="M180" s="760"/>
      <c r="N180" s="758"/>
      <c r="O180" s="760"/>
      <c r="P180" s="758"/>
      <c r="Q180" s="763"/>
      <c r="R180" s="761"/>
      <c r="S180" s="770"/>
      <c r="T180" s="706">
        <f>BB114</f>
        <v>325533.2</v>
      </c>
      <c r="U180" s="762"/>
      <c r="V180" s="762"/>
      <c r="W180" s="762"/>
      <c r="X180" s="762"/>
      <c r="Y180" s="762"/>
      <c r="Z180" s="762"/>
      <c r="AA180" s="762"/>
      <c r="AB180" s="762"/>
      <c r="AC180" s="762"/>
      <c r="AD180" s="763"/>
      <c r="AE180" s="762"/>
      <c r="AF180" s="762"/>
      <c r="AG180" s="762"/>
      <c r="AH180" s="762"/>
      <c r="AI180" s="762"/>
      <c r="AJ180" s="762"/>
      <c r="AK180" s="762"/>
      <c r="AL180" s="762"/>
      <c r="AM180" s="764"/>
      <c r="AN180" s="760"/>
      <c r="AO180" s="763"/>
      <c r="AP180" s="763"/>
      <c r="AQ180" s="763"/>
      <c r="AR180" s="763"/>
      <c r="AS180" s="765"/>
      <c r="AT180" s="765"/>
      <c r="AU180" s="765"/>
      <c r="AV180" s="765"/>
      <c r="AW180" s="758"/>
      <c r="AX180" s="758"/>
      <c r="AY180" s="758"/>
      <c r="AZ180" s="758"/>
      <c r="BA180" s="758"/>
      <c r="BB180" s="766"/>
      <c r="BC180" s="766"/>
      <c r="BD180" s="766"/>
      <c r="BE180" s="766"/>
      <c r="BF180" s="766"/>
      <c r="BG180" s="766"/>
      <c r="BH180" s="766"/>
    </row>
    <row r="181" spans="1:60" s="388" customFormat="1" ht="18.75" customHeight="1" thickBot="1">
      <c r="A181" s="706"/>
      <c r="B181" s="706"/>
      <c r="C181" s="767" t="s">
        <v>783</v>
      </c>
      <c r="D181" s="768"/>
      <c r="E181" s="768"/>
      <c r="F181" s="768"/>
      <c r="G181" s="768">
        <v>22</v>
      </c>
      <c r="H181" s="757">
        <f>BB114+BB117+BB120+BB121+BB124+BB125+BB130+BB131+BB136+BB137+BB138+BB139+BB140+BB141+BB158+BB159+BB160+BB161</f>
        <v>3350982.5600000005</v>
      </c>
      <c r="I181" s="760"/>
      <c r="J181" s="760"/>
      <c r="K181" s="769">
        <f>K117+K120+K121+K124+K125+K130+K131+K136+K137+K138+K139+K140+K141+K158+K159+K160+K161</f>
        <v>329930</v>
      </c>
      <c r="L181" s="762"/>
      <c r="M181" s="763"/>
      <c r="N181" s="762"/>
      <c r="O181" s="763"/>
      <c r="P181" s="762"/>
      <c r="Q181" s="763"/>
      <c r="R181" s="761"/>
      <c r="S181" s="771"/>
      <c r="T181" s="706">
        <f>BB117+BB120+BB121+BB124+BB125+BB130+BB131+BB136+BB137+BB138+BB139+BB140+BB141+BB158+BB159+BB160+BB161</f>
        <v>3025449.3600000003</v>
      </c>
      <c r="U181" s="762"/>
      <c r="V181" s="762"/>
      <c r="W181" s="762"/>
      <c r="X181" s="762"/>
      <c r="Y181" s="762"/>
      <c r="Z181" s="762"/>
      <c r="AA181" s="762"/>
      <c r="AB181" s="762"/>
      <c r="AC181" s="762"/>
      <c r="AD181" s="763"/>
      <c r="AE181" s="762"/>
      <c r="AF181" s="762"/>
      <c r="AG181" s="762"/>
      <c r="AH181" s="762"/>
      <c r="AI181" s="762"/>
      <c r="AJ181" s="762"/>
      <c r="AK181" s="762"/>
      <c r="AL181" s="762"/>
      <c r="AM181" s="764"/>
      <c r="AN181" s="760"/>
      <c r="AO181" s="763"/>
      <c r="AP181" s="763"/>
      <c r="AQ181" s="763"/>
      <c r="AR181" s="763"/>
      <c r="AS181" s="765"/>
      <c r="AT181" s="765"/>
      <c r="AU181" s="765"/>
      <c r="AV181" s="765"/>
      <c r="AW181" s="758"/>
      <c r="AX181" s="758"/>
      <c r="AY181" s="758"/>
      <c r="AZ181" s="758"/>
      <c r="BA181" s="758"/>
      <c r="BB181" s="766"/>
      <c r="BC181" s="766"/>
      <c r="BD181" s="766"/>
      <c r="BE181" s="766"/>
      <c r="BF181" s="766"/>
      <c r="BG181" s="766"/>
      <c r="BH181" s="766"/>
    </row>
    <row r="182" spans="1:60" ht="45" customHeight="1" thickBot="1">
      <c r="C182" s="736" t="s">
        <v>273</v>
      </c>
      <c r="D182" s="735"/>
      <c r="E182" s="735"/>
      <c r="F182" s="735"/>
      <c r="G182" s="735">
        <f>G179-G180-G181</f>
        <v>401</v>
      </c>
      <c r="H182" s="772">
        <f>BB172-H180-H181</f>
        <v>37928574.510000035</v>
      </c>
      <c r="I182" s="829"/>
      <c r="J182" s="760"/>
      <c r="K182" s="773">
        <f>K172-K180-K181</f>
        <v>1394179.2842987697</v>
      </c>
      <c r="L182" s="762"/>
      <c r="M182" s="763"/>
      <c r="N182" s="762"/>
      <c r="O182" s="763"/>
      <c r="P182" s="762"/>
      <c r="Q182" s="763"/>
      <c r="R182" s="761"/>
      <c r="S182" s="774"/>
      <c r="T182" s="775">
        <f>BB172-T180-T181</f>
        <v>38254107.710000038</v>
      </c>
      <c r="U182" s="776" t="s">
        <v>1117</v>
      </c>
      <c r="V182" s="777" t="s">
        <v>1110</v>
      </c>
      <c r="W182" s="778" t="s">
        <v>1111</v>
      </c>
      <c r="X182" s="776" t="s">
        <v>1118</v>
      </c>
      <c r="Y182" s="779" t="s">
        <v>521</v>
      </c>
      <c r="Z182" s="779" t="s">
        <v>1114</v>
      </c>
      <c r="AA182" s="777" t="s">
        <v>1115</v>
      </c>
      <c r="AB182" s="778" t="s">
        <v>1116</v>
      </c>
      <c r="AC182" s="776" t="s">
        <v>1119</v>
      </c>
      <c r="AD182" s="779" t="s">
        <v>521</v>
      </c>
      <c r="AE182" s="779" t="s">
        <v>1114</v>
      </c>
      <c r="AF182" s="780" t="s">
        <v>1115</v>
      </c>
      <c r="AG182" s="781" t="s">
        <v>1116</v>
      </c>
      <c r="AH182" s="782" t="s">
        <v>747</v>
      </c>
      <c r="AI182" s="779" t="s">
        <v>521</v>
      </c>
      <c r="AJ182" s="779" t="s">
        <v>1114</v>
      </c>
      <c r="AK182" s="780" t="s">
        <v>1115</v>
      </c>
      <c r="AL182" s="781" t="s">
        <v>1116</v>
      </c>
      <c r="AM182" s="764"/>
      <c r="AN182" s="760"/>
      <c r="AO182" s="763"/>
      <c r="AP182" s="763"/>
      <c r="AQ182" s="763"/>
      <c r="AR182" s="763"/>
      <c r="AS182" s="765"/>
      <c r="AT182" s="765"/>
      <c r="AU182" s="765"/>
      <c r="AV182" s="765"/>
      <c r="AW182" s="783"/>
      <c r="AX182" s="783"/>
      <c r="AY182" s="783"/>
      <c r="AZ182" s="783"/>
      <c r="BA182" s="828"/>
      <c r="BB182" s="766"/>
      <c r="BC182" s="766"/>
      <c r="BD182" s="766"/>
      <c r="BE182" s="766"/>
      <c r="BF182" s="766"/>
      <c r="BG182" s="766"/>
      <c r="BH182" s="766"/>
    </row>
    <row r="183" spans="1:60" ht="27" customHeight="1">
      <c r="C183" s="950" t="s">
        <v>961</v>
      </c>
      <c r="D183" s="951"/>
      <c r="E183" s="951"/>
      <c r="F183" s="951"/>
      <c r="G183" s="951"/>
      <c r="H183" s="952"/>
      <c r="I183" s="952"/>
      <c r="J183" s="953"/>
      <c r="K183" s="954"/>
      <c r="L183" s="952"/>
      <c r="M183" s="952"/>
      <c r="N183" s="952"/>
      <c r="O183" s="952"/>
      <c r="P183" s="952"/>
      <c r="Q183" s="952"/>
      <c r="R183" s="955"/>
      <c r="T183" s="663">
        <f>SUBTOTAL(9,T180:T182)</f>
        <v>41605090.270000041</v>
      </c>
      <c r="U183" s="784">
        <f>U172-U184</f>
        <v>12414010.80000001</v>
      </c>
      <c r="V183" s="671">
        <f t="shared" ref="V183:AL183" si="139">V172-V184</f>
        <v>8504401.4700000044</v>
      </c>
      <c r="W183" s="785">
        <f t="shared" si="139"/>
        <v>3909609.3300000015</v>
      </c>
      <c r="X183" s="784">
        <f>X172-X184</f>
        <v>12414010.80000001</v>
      </c>
      <c r="Y183" s="786"/>
      <c r="Z183" s="786"/>
      <c r="AA183" s="671">
        <f t="shared" si="139"/>
        <v>8504401.4700000044</v>
      </c>
      <c r="AB183" s="785">
        <f t="shared" si="139"/>
        <v>3909609.3300000015</v>
      </c>
      <c r="AC183" s="784">
        <f>AC172-AC184</f>
        <v>12910571.260000004</v>
      </c>
      <c r="AD183" s="786"/>
      <c r="AE183" s="786"/>
      <c r="AF183" s="681">
        <f t="shared" si="139"/>
        <v>8844577.5299999993</v>
      </c>
      <c r="AG183" s="787">
        <f t="shared" si="139"/>
        <v>4065993.7299999981</v>
      </c>
      <c r="AH183" s="788">
        <f>AH172-AH184</f>
        <v>13117140.27</v>
      </c>
      <c r="AI183" s="786"/>
      <c r="AJ183" s="786"/>
      <c r="AK183" s="681">
        <f t="shared" si="139"/>
        <v>8986090.7300000135</v>
      </c>
      <c r="AL183" s="787">
        <f t="shared" si="139"/>
        <v>4131049.540000001</v>
      </c>
      <c r="AM183" s="789">
        <f>U183+X183+AC183+AH183</f>
        <v>50855733.130000025</v>
      </c>
      <c r="AN183" s="760"/>
      <c r="AO183" s="763"/>
      <c r="AP183" s="763"/>
      <c r="AQ183" s="763"/>
      <c r="AR183" s="763"/>
      <c r="AS183" s="765"/>
      <c r="AT183" s="765"/>
      <c r="AU183" s="765"/>
      <c r="AV183" s="765"/>
      <c r="AW183" s="783"/>
      <c r="AX183" s="783"/>
      <c r="AY183" s="783"/>
      <c r="AZ183" s="783"/>
      <c r="BA183" s="828"/>
      <c r="BB183" s="766"/>
      <c r="BC183" s="766"/>
      <c r="BD183" s="766"/>
      <c r="BE183" s="766"/>
      <c r="BF183" s="766"/>
      <c r="BG183" s="766"/>
      <c r="BH183" s="766"/>
    </row>
    <row r="184" spans="1:60" ht="27" customHeight="1" thickBot="1">
      <c r="C184" s="959" t="s">
        <v>962</v>
      </c>
      <c r="D184" s="960"/>
      <c r="E184" s="960"/>
      <c r="F184" s="960"/>
      <c r="G184" s="960"/>
      <c r="H184" s="960"/>
      <c r="I184" s="960"/>
      <c r="J184" s="961"/>
      <c r="K184" s="962"/>
      <c r="L184" s="960"/>
      <c r="M184" s="960"/>
      <c r="N184" s="960"/>
      <c r="O184" s="960"/>
      <c r="P184" s="960"/>
      <c r="Q184" s="960"/>
      <c r="R184" s="963"/>
      <c r="U184" s="790">
        <f>ROUND(U48+U50+U114+U117+U120+U121+U122+U123+U124+U125+U130+U131+U136+U137+U138+U139+U140+U141+U158+U159+U160+U161,2)</f>
        <v>1203944.49</v>
      </c>
      <c r="V184" s="791">
        <f t="shared" ref="V184:AL184" si="140">ROUND(V48+V50+V114+V117+V120+V121+V122+V123+V124+V125+V130+V131+V136+V137+V138+V139+V140+V141+V158+V159+V160+V161,2)</f>
        <v>1177181.49</v>
      </c>
      <c r="W184" s="791">
        <f t="shared" si="140"/>
        <v>26763</v>
      </c>
      <c r="X184" s="791">
        <f t="shared" si="140"/>
        <v>1203944.49</v>
      </c>
      <c r="Y184" s="791">
        <f t="shared" si="140"/>
        <v>322103.52</v>
      </c>
      <c r="Z184" s="791">
        <f t="shared" si="140"/>
        <v>22</v>
      </c>
      <c r="AA184" s="791">
        <f t="shared" si="140"/>
        <v>1177181.49</v>
      </c>
      <c r="AB184" s="791">
        <f t="shared" si="140"/>
        <v>26763</v>
      </c>
      <c r="AC184" s="791">
        <f t="shared" si="140"/>
        <v>1252102.26</v>
      </c>
      <c r="AD184" s="791">
        <f t="shared" si="140"/>
        <v>334987.65999999997</v>
      </c>
      <c r="AE184" s="791">
        <f t="shared" si="140"/>
        <v>22.88</v>
      </c>
      <c r="AF184" s="791">
        <f t="shared" si="140"/>
        <v>1224268.74</v>
      </c>
      <c r="AG184" s="791">
        <f>ROUND(AG48+AG50+AG114+AG117+AG120+AG121+AG122+AG123+AG124+AG125+AG130+AG131+AG136+AG137+AG138+AG139+AG140+AG141+AG158+AG159+AG160+AG161,2)</f>
        <v>27833.52</v>
      </c>
      <c r="AH184" s="791">
        <f t="shared" si="140"/>
        <v>1272135.8700000001</v>
      </c>
      <c r="AI184" s="791"/>
      <c r="AJ184" s="791"/>
      <c r="AK184" s="791">
        <f t="shared" si="140"/>
        <v>1243857.02</v>
      </c>
      <c r="AL184" s="791">
        <f t="shared" si="140"/>
        <v>28278.85</v>
      </c>
      <c r="AM184" s="789">
        <f>U184+X184+AC184+AH184</f>
        <v>4932127.1100000003</v>
      </c>
      <c r="AN184" s="789"/>
      <c r="AO184" s="789"/>
      <c r="AP184" s="789"/>
      <c r="AQ184" s="789"/>
      <c r="AR184" s="789"/>
      <c r="AS184" s="789"/>
      <c r="AT184" s="789"/>
      <c r="AU184" s="789"/>
      <c r="AV184" s="789"/>
      <c r="AW184" s="792"/>
      <c r="AX184" s="792"/>
      <c r="AY184" s="792"/>
      <c r="AZ184" s="792"/>
      <c r="BA184" s="792"/>
      <c r="BB184" s="789"/>
      <c r="BC184" s="789"/>
      <c r="BD184" s="789"/>
      <c r="BE184" s="789"/>
      <c r="BF184" s="766"/>
      <c r="BG184" s="766"/>
      <c r="BH184" s="766"/>
    </row>
    <row r="185" spans="1:60" ht="27" customHeight="1" thickBot="1">
      <c r="C185" s="959" t="s">
        <v>964</v>
      </c>
      <c r="D185" s="960"/>
      <c r="E185" s="960"/>
      <c r="F185" s="960"/>
      <c r="G185" s="960"/>
      <c r="H185" s="960"/>
      <c r="I185" s="960"/>
      <c r="J185" s="961"/>
      <c r="K185" s="962"/>
      <c r="L185" s="960"/>
      <c r="M185" s="960"/>
      <c r="N185" s="960"/>
      <c r="O185" s="960"/>
      <c r="P185" s="960"/>
      <c r="Q185" s="960"/>
      <c r="R185" s="963"/>
      <c r="U185" s="793">
        <f>AW172-AW186</f>
        <v>2663599.8699999973</v>
      </c>
      <c r="V185" s="794"/>
      <c r="W185" s="794"/>
      <c r="X185" s="793">
        <f>AX172-AX186</f>
        <v>2663599.8699999973</v>
      </c>
      <c r="Y185" s="762"/>
      <c r="Z185" s="762"/>
      <c r="AA185" s="794"/>
      <c r="AB185" s="794"/>
      <c r="AC185" s="793">
        <f>AY172-AY186</f>
        <v>2770143.8099999973</v>
      </c>
      <c r="AD185" s="763"/>
      <c r="AE185" s="762"/>
      <c r="AF185" s="794"/>
      <c r="AG185" s="794"/>
      <c r="AH185" s="793">
        <f>AZ172-AZ186</f>
        <v>2814466.1299999994</v>
      </c>
      <c r="AI185" s="762"/>
      <c r="AJ185" s="762"/>
      <c r="AK185" s="794"/>
      <c r="AL185" s="794"/>
      <c r="AM185" s="789">
        <f>U185+X185+AC185+AH185</f>
        <v>10911809.67999999</v>
      </c>
      <c r="AN185" s="760"/>
      <c r="AO185" s="763"/>
      <c r="AP185" s="763"/>
      <c r="AQ185" s="763"/>
      <c r="AR185" s="763"/>
      <c r="AS185" s="765"/>
      <c r="AT185" s="765"/>
      <c r="AU185" s="765"/>
      <c r="AV185" s="765"/>
      <c r="AW185" s="783"/>
      <c r="AX185" s="783"/>
      <c r="AY185" s="783"/>
      <c r="AZ185" s="783"/>
      <c r="BA185" s="828"/>
      <c r="BB185" s="766"/>
      <c r="BC185" s="766"/>
      <c r="BD185" s="766"/>
      <c r="BE185" s="766"/>
      <c r="BF185" s="766"/>
      <c r="BG185" s="766"/>
      <c r="BH185" s="766"/>
    </row>
    <row r="186" spans="1:60" ht="27" customHeight="1" thickBot="1">
      <c r="C186" s="964" t="s">
        <v>965</v>
      </c>
      <c r="D186" s="965"/>
      <c r="E186" s="965"/>
      <c r="F186" s="965"/>
      <c r="G186" s="965"/>
      <c r="H186" s="965"/>
      <c r="I186" s="965"/>
      <c r="J186" s="966"/>
      <c r="K186" s="967"/>
      <c r="L186" s="965"/>
      <c r="M186" s="965"/>
      <c r="N186" s="965"/>
      <c r="O186" s="965"/>
      <c r="P186" s="965"/>
      <c r="Q186" s="965"/>
      <c r="R186" s="968"/>
      <c r="S186" s="662"/>
      <c r="T186" s="662"/>
      <c r="U186" s="795">
        <f>AW186</f>
        <v>258323.15999999997</v>
      </c>
      <c r="V186" s="794"/>
      <c r="W186" s="794"/>
      <c r="X186" s="790">
        <f>AX186</f>
        <v>258323.15999999997</v>
      </c>
      <c r="Y186" s="762"/>
      <c r="Z186" s="762"/>
      <c r="AA186" s="794"/>
      <c r="AB186" s="794"/>
      <c r="AC186" s="790">
        <f>AY186</f>
        <v>268656.05</v>
      </c>
      <c r="AD186" s="763"/>
      <c r="AE186" s="762"/>
      <c r="AF186" s="794"/>
      <c r="AG186" s="794"/>
      <c r="AH186" s="790">
        <f>AZ186</f>
        <v>272954.56</v>
      </c>
      <c r="AI186" s="762"/>
      <c r="AJ186" s="762"/>
      <c r="AK186" s="794"/>
      <c r="AL186" s="794"/>
      <c r="AM186" s="791">
        <f>U186+X186+AC186+AH186</f>
        <v>1058256.93</v>
      </c>
      <c r="AN186" s="763"/>
      <c r="AO186" s="763"/>
      <c r="AP186" s="763"/>
      <c r="AQ186" s="763"/>
      <c r="AR186" s="763"/>
      <c r="AS186" s="765"/>
      <c r="AT186" s="765"/>
      <c r="AU186" s="765"/>
      <c r="AV186" s="765"/>
      <c r="AW186" s="796">
        <f>AW48+AW50+AW114+AW117+AW120+AW121+AW122+AW123+AW124+AW125+AW130+AW131+AW136+AW137+AW138+AW139+AW140+AW141+AW158+AW159+AW160+AW161</f>
        <v>258323.15999999997</v>
      </c>
      <c r="AX186" s="796">
        <f>AX48+AX50+AX114+AX117+AX120+AX121+AX122+AX123+AX124+AX125+AX130+AX131+AX136+AX137+AX138+AX139+AX140+AX141+AX158+AX159+AX160+AX161</f>
        <v>258323.15999999997</v>
      </c>
      <c r="AY186" s="796">
        <f>AY48+AY50+AY114+AY117+AY120+AY121+AY122+AY123+AY124+AY125+AY130+AY131+AY136+AY137+AY138+AY139+AY140+AY141+AY158+AY159+AY160+AY161</f>
        <v>268656.05</v>
      </c>
      <c r="AZ186" s="796">
        <f>AZ48+AZ50+AZ114+AZ117+AZ120+AZ121+AZ122+AZ123+AZ124+AZ125+AZ130+AZ131+AZ136+AZ137+AZ138+AZ139+AZ140+AZ141+AZ158+AZ159+AZ160+AZ161</f>
        <v>272954.56</v>
      </c>
      <c r="BA186" s="800"/>
      <c r="BB186" s="766"/>
      <c r="BC186" s="766"/>
      <c r="BD186" s="766"/>
      <c r="BE186" s="766"/>
      <c r="BF186" s="766"/>
      <c r="BG186" s="766"/>
      <c r="BH186" s="766"/>
    </row>
    <row r="187" spans="1:60">
      <c r="H187" s="797">
        <f>H183+H184</f>
        <v>0</v>
      </c>
      <c r="I187" s="830"/>
      <c r="J187" s="760"/>
      <c r="K187" s="798">
        <f>Q187*K185</f>
        <v>0</v>
      </c>
      <c r="L187" s="758"/>
      <c r="M187" s="760"/>
      <c r="N187" s="758"/>
      <c r="O187" s="760"/>
      <c r="P187" s="758"/>
      <c r="Q187" s="763"/>
      <c r="R187" s="761"/>
      <c r="U187" s="762"/>
      <c r="V187" s="794"/>
      <c r="W187" s="794"/>
      <c r="X187" s="762"/>
      <c r="Y187" s="762"/>
      <c r="Z187" s="762"/>
      <c r="AA187" s="794"/>
      <c r="AB187" s="794"/>
      <c r="AC187" s="762"/>
      <c r="AD187" s="763"/>
      <c r="AE187" s="762"/>
      <c r="AF187" s="794"/>
      <c r="AG187" s="794"/>
      <c r="AH187" s="762"/>
      <c r="AI187" s="762"/>
      <c r="AJ187" s="762"/>
      <c r="AK187" s="794"/>
      <c r="AL187" s="794"/>
      <c r="AM187" s="764"/>
      <c r="AN187" s="760"/>
      <c r="AO187" s="763"/>
      <c r="AP187" s="763"/>
      <c r="AQ187" s="763"/>
      <c r="AR187" s="763"/>
      <c r="AS187" s="765"/>
      <c r="AT187" s="765"/>
      <c r="AU187" s="765"/>
      <c r="AV187" s="765"/>
      <c r="AW187" s="783"/>
      <c r="AX187" s="783"/>
      <c r="AY187" s="783"/>
      <c r="AZ187" s="783"/>
      <c r="BA187" s="828"/>
      <c r="BB187" s="766"/>
      <c r="BC187" s="766"/>
      <c r="BD187" s="766"/>
      <c r="BE187" s="766"/>
      <c r="BF187" s="766"/>
      <c r="BG187" s="766"/>
      <c r="BH187" s="766"/>
    </row>
    <row r="188" spans="1:60">
      <c r="H188" s="799">
        <f>H185+H186</f>
        <v>0</v>
      </c>
      <c r="I188" s="830"/>
      <c r="J188" s="760"/>
      <c r="L188" s="758"/>
      <c r="M188" s="760"/>
      <c r="N188" s="758"/>
      <c r="O188" s="760"/>
      <c r="P188" s="758"/>
      <c r="Q188" s="760"/>
      <c r="R188" s="761"/>
      <c r="U188" s="762"/>
      <c r="V188" s="794"/>
      <c r="W188" s="794"/>
      <c r="X188" s="762"/>
      <c r="Y188" s="762"/>
      <c r="Z188" s="762"/>
      <c r="AA188" s="794"/>
      <c r="AB188" s="794"/>
      <c r="AC188" s="762"/>
      <c r="AD188" s="762"/>
      <c r="AE188" s="762"/>
      <c r="AF188" s="794"/>
      <c r="AG188" s="794"/>
      <c r="AH188" s="762"/>
      <c r="AI188" s="762"/>
      <c r="AJ188" s="762"/>
      <c r="AK188" s="794"/>
      <c r="AL188" s="794"/>
      <c r="AM188" s="763"/>
      <c r="AN188" s="763"/>
      <c r="AO188" s="763"/>
      <c r="AP188" s="763"/>
      <c r="AQ188" s="763"/>
      <c r="AR188" s="763"/>
      <c r="AS188" s="765"/>
      <c r="AT188" s="765"/>
      <c r="AU188" s="765"/>
      <c r="AV188" s="765"/>
      <c r="AW188" s="800"/>
      <c r="AX188" s="800"/>
      <c r="AY188" s="800"/>
      <c r="AZ188" s="800"/>
      <c r="BA188" s="800"/>
      <c r="BB188" s="801"/>
      <c r="BC188" s="801"/>
      <c r="BD188" s="801"/>
      <c r="BE188" s="766"/>
      <c r="BF188" s="766"/>
      <c r="BG188" s="766"/>
      <c r="BH188" s="766"/>
    </row>
    <row r="189" spans="1:60" hidden="1">
      <c r="B189" s="663">
        <v>200</v>
      </c>
      <c r="C189" s="663">
        <f>B189*15200/1000</f>
        <v>3040</v>
      </c>
      <c r="H189" s="802" t="e">
        <f>H188/H187</f>
        <v>#DIV/0!</v>
      </c>
      <c r="I189" s="831"/>
      <c r="J189" s="803"/>
      <c r="K189" s="803"/>
      <c r="R189" s="694"/>
    </row>
    <row r="190" spans="1:60" hidden="1">
      <c r="J190" s="803"/>
      <c r="K190" s="803"/>
      <c r="R190" s="694"/>
    </row>
    <row r="191" spans="1:60" hidden="1">
      <c r="J191" s="803"/>
      <c r="K191" s="803"/>
      <c r="R191" s="694"/>
    </row>
    <row r="192" spans="1:60" hidden="1">
      <c r="J192" s="803"/>
      <c r="K192" s="803"/>
      <c r="R192" s="694"/>
    </row>
    <row r="193" spans="3:60" ht="30" hidden="1">
      <c r="C193" s="736" t="s">
        <v>1018</v>
      </c>
      <c r="D193" s="670">
        <f>D183+D184</f>
        <v>0</v>
      </c>
      <c r="E193" s="670">
        <f>E183+E184</f>
        <v>0</v>
      </c>
      <c r="F193" s="670">
        <f>F183+F184</f>
        <v>0</v>
      </c>
      <c r="G193" s="670">
        <f>G183+G184</f>
        <v>0</v>
      </c>
      <c r="J193" s="803"/>
      <c r="K193" s="803"/>
      <c r="R193" s="694"/>
    </row>
    <row r="194" spans="3:60" ht="30" hidden="1">
      <c r="C194" s="736" t="s">
        <v>1019</v>
      </c>
      <c r="D194" s="735">
        <f>D193*1.5%</f>
        <v>0</v>
      </c>
      <c r="E194" s="735">
        <f>E193*1.5%</f>
        <v>0</v>
      </c>
      <c r="F194" s="735">
        <f>F193*1.5%</f>
        <v>0</v>
      </c>
      <c r="G194" s="735">
        <f>G193*1.5%</f>
        <v>0</v>
      </c>
      <c r="J194" s="803"/>
      <c r="K194" s="803"/>
      <c r="R194" s="694"/>
    </row>
    <row r="195" spans="3:60" hidden="1">
      <c r="C195" s="736" t="s">
        <v>737</v>
      </c>
      <c r="D195" s="735">
        <f>D193*18%</f>
        <v>0</v>
      </c>
      <c r="E195" s="735">
        <f>E193*18%</f>
        <v>0</v>
      </c>
      <c r="F195" s="735">
        <f>F193*18%</f>
        <v>0</v>
      </c>
      <c r="G195" s="735">
        <f>G193*18%</f>
        <v>0</v>
      </c>
      <c r="J195" s="803"/>
      <c r="K195" s="803"/>
      <c r="R195" s="694"/>
    </row>
    <row r="196" spans="3:60" ht="15.75" thickBot="1">
      <c r="J196" s="760"/>
      <c r="L196" s="758"/>
      <c r="M196" s="760"/>
      <c r="N196" s="758"/>
      <c r="O196" s="760"/>
      <c r="P196" s="758"/>
      <c r="Q196" s="760"/>
      <c r="R196" s="761"/>
      <c r="U196" s="762"/>
      <c r="V196" s="794"/>
      <c r="W196" s="794"/>
      <c r="X196" s="762"/>
      <c r="Y196" s="762"/>
      <c r="Z196" s="762"/>
      <c r="AA196" s="794"/>
      <c r="AB196" s="794"/>
      <c r="AC196" s="762"/>
      <c r="AD196" s="763"/>
      <c r="AE196" s="762"/>
      <c r="AF196" s="794"/>
      <c r="AG196" s="794"/>
      <c r="AH196" s="762"/>
      <c r="AI196" s="762"/>
      <c r="AJ196" s="762"/>
      <c r="AK196" s="794"/>
      <c r="AL196" s="794"/>
      <c r="AM196" s="791">
        <f>AM183+AM184</f>
        <v>55787860.240000024</v>
      </c>
      <c r="AN196" s="760"/>
      <c r="AO196" s="763"/>
      <c r="AP196" s="763"/>
      <c r="AQ196" s="763"/>
      <c r="AR196" s="763"/>
      <c r="AS196" s="765"/>
      <c r="AT196" s="765"/>
      <c r="AU196" s="765"/>
      <c r="AV196" s="765"/>
      <c r="AW196" s="783"/>
      <c r="AX196" s="783"/>
      <c r="AY196" s="783"/>
      <c r="AZ196" s="783"/>
      <c r="BA196" s="828"/>
      <c r="BB196" s="766"/>
      <c r="BC196" s="766"/>
      <c r="BD196" s="766"/>
      <c r="BE196" s="766"/>
      <c r="BF196" s="766"/>
      <c r="BG196" s="766"/>
      <c r="BH196" s="766"/>
    </row>
    <row r="197" spans="3:60" ht="15.75" thickBot="1">
      <c r="J197" s="760"/>
      <c r="L197" s="758"/>
      <c r="M197" s="760"/>
      <c r="N197" s="758"/>
      <c r="O197" s="760"/>
      <c r="P197" s="758"/>
      <c r="Q197" s="760"/>
      <c r="R197" s="761"/>
      <c r="U197" s="762"/>
      <c r="V197" s="794"/>
      <c r="W197" s="794"/>
      <c r="X197" s="762"/>
      <c r="Y197" s="762"/>
      <c r="Z197" s="762"/>
      <c r="AA197" s="794"/>
      <c r="AB197" s="794"/>
      <c r="AC197" s="762"/>
      <c r="AD197" s="763"/>
      <c r="AE197" s="762"/>
      <c r="AF197" s="794"/>
      <c r="AG197" s="794"/>
      <c r="AH197" s="762"/>
      <c r="AI197" s="762"/>
      <c r="AJ197" s="762"/>
      <c r="AK197" s="794"/>
      <c r="AL197" s="794"/>
      <c r="AM197" s="791">
        <f>AM185+AM186</f>
        <v>11970066.60999999</v>
      </c>
      <c r="AN197" s="760"/>
      <c r="AO197" s="763"/>
      <c r="AP197" s="763"/>
      <c r="AQ197" s="763"/>
      <c r="AR197" s="763"/>
      <c r="AS197" s="765"/>
      <c r="AT197" s="765"/>
      <c r="AU197" s="765"/>
      <c r="AV197" s="765"/>
      <c r="AW197" s="783"/>
      <c r="AX197" s="783"/>
      <c r="AY197" s="783"/>
      <c r="AZ197" s="783"/>
      <c r="BA197" s="828"/>
      <c r="BB197" s="766"/>
      <c r="BC197" s="766"/>
      <c r="BD197" s="766"/>
      <c r="BE197" s="766"/>
      <c r="BF197" s="766"/>
      <c r="BG197" s="766"/>
      <c r="BH197" s="766"/>
    </row>
    <row r="198" spans="3:60">
      <c r="K198" s="803"/>
      <c r="U198" s="659" t="s">
        <v>631</v>
      </c>
    </row>
    <row r="200" spans="3:60" ht="29.25" customHeight="1">
      <c r="U200" s="681" t="s">
        <v>632</v>
      </c>
      <c r="V200" s="949" t="s">
        <v>1122</v>
      </c>
      <c r="W200" s="949"/>
      <c r="X200" s="949" t="s">
        <v>372</v>
      </c>
      <c r="Y200" s="949"/>
      <c r="Z200" s="949" t="s">
        <v>1124</v>
      </c>
      <c r="AA200" s="949"/>
      <c r="AB200" s="949" t="s">
        <v>87</v>
      </c>
      <c r="AC200" s="949"/>
    </row>
    <row r="201" spans="3:60">
      <c r="U201" s="681"/>
      <c r="V201" s="681" t="s">
        <v>1123</v>
      </c>
      <c r="W201" s="681" t="s">
        <v>1101</v>
      </c>
      <c r="X201" s="681" t="s">
        <v>1123</v>
      </c>
      <c r="Y201" s="681" t="s">
        <v>1101</v>
      </c>
      <c r="Z201" s="681" t="s">
        <v>1123</v>
      </c>
      <c r="AA201" s="681" t="s">
        <v>1101</v>
      </c>
      <c r="AB201" s="681" t="s">
        <v>1123</v>
      </c>
      <c r="AC201" s="681" t="s">
        <v>1101</v>
      </c>
    </row>
    <row r="202" spans="3:60" ht="25.5" customHeight="1">
      <c r="U202" s="807" t="s">
        <v>272</v>
      </c>
      <c r="V202" s="681">
        <f>U114</f>
        <v>106500</v>
      </c>
      <c r="W202" s="681">
        <v>0</v>
      </c>
      <c r="X202" s="681">
        <f>V202+AA114</f>
        <v>213000</v>
      </c>
      <c r="Y202" s="682">
        <v>0</v>
      </c>
      <c r="Z202" s="682">
        <f>X202+AF114</f>
        <v>323760</v>
      </c>
      <c r="AA202" s="681">
        <v>0</v>
      </c>
      <c r="AB202" s="681">
        <f>Z202+AK114</f>
        <v>436292.16000000003</v>
      </c>
      <c r="AC202" s="681">
        <v>0</v>
      </c>
    </row>
    <row r="203" spans="3:60" ht="25.5" customHeight="1">
      <c r="U203" s="807" t="s">
        <v>633</v>
      </c>
      <c r="V203" s="681">
        <f>V184-V202</f>
        <v>1070681.49</v>
      </c>
      <c r="W203" s="681">
        <f>W184-W202</f>
        <v>26763</v>
      </c>
      <c r="X203" s="681">
        <f>V184+AA184-X202</f>
        <v>2141362.98</v>
      </c>
      <c r="Y203" s="681">
        <f>W184+AB184-Y202</f>
        <v>53526</v>
      </c>
      <c r="Z203" s="682">
        <f>AF184+AA184+V184-Z202</f>
        <v>3254871.7199999997</v>
      </c>
      <c r="AA203" s="682">
        <f>W184+AB184+AG184-AA202</f>
        <v>81359.520000000004</v>
      </c>
      <c r="AB203" s="681">
        <f>V184+AA184+AF184+AK184-AB202</f>
        <v>4386196.58</v>
      </c>
      <c r="AC203" s="681">
        <f>W184+AB184+AG184+AL184-AC202</f>
        <v>109638.37</v>
      </c>
    </row>
    <row r="204" spans="3:60" ht="25.5" customHeight="1">
      <c r="U204" s="940" t="s">
        <v>1125</v>
      </c>
      <c r="V204" s="671">
        <f>V202+V203</f>
        <v>1177181.49</v>
      </c>
      <c r="W204" s="671">
        <f t="shared" ref="W204:AC204" si="141">W202+W203</f>
        <v>26763</v>
      </c>
      <c r="X204" s="671">
        <f t="shared" si="141"/>
        <v>2354362.98</v>
      </c>
      <c r="Y204" s="671">
        <f t="shared" si="141"/>
        <v>53526</v>
      </c>
      <c r="Z204" s="671">
        <f t="shared" si="141"/>
        <v>3578631.7199999997</v>
      </c>
      <c r="AA204" s="671">
        <f t="shared" si="141"/>
        <v>81359.520000000004</v>
      </c>
      <c r="AB204" s="671">
        <f t="shared" si="141"/>
        <v>4822488.74</v>
      </c>
      <c r="AC204" s="671">
        <f t="shared" si="141"/>
        <v>109638.37</v>
      </c>
      <c r="AD204" s="809">
        <f>AC204/AB205</f>
        <v>2.2229429119477822E-2</v>
      </c>
    </row>
    <row r="205" spans="3:60" ht="25.5" customHeight="1">
      <c r="U205" s="941"/>
      <c r="V205" s="942">
        <f>V204+W204</f>
        <v>1203944.49</v>
      </c>
      <c r="W205" s="943"/>
      <c r="X205" s="942">
        <f>X204+Y204</f>
        <v>2407888.98</v>
      </c>
      <c r="Y205" s="943"/>
      <c r="Z205" s="942">
        <f>Z204+AA204</f>
        <v>3659991.2399999998</v>
      </c>
      <c r="AA205" s="943"/>
      <c r="AB205" s="942">
        <f>AB204+AC204</f>
        <v>4932127.1100000003</v>
      </c>
      <c r="AC205" s="943"/>
    </row>
    <row r="206" spans="3:60" ht="25.5" customHeight="1">
      <c r="U206" s="940" t="s">
        <v>273</v>
      </c>
      <c r="V206" s="681">
        <f>V183</f>
        <v>8504401.4700000044</v>
      </c>
      <c r="W206" s="681">
        <f>W183</f>
        <v>3909609.3300000015</v>
      </c>
      <c r="X206" s="681">
        <f>V206+AA183</f>
        <v>17008802.940000009</v>
      </c>
      <c r="Y206" s="682">
        <f>W206+AB183</f>
        <v>7819218.6600000029</v>
      </c>
      <c r="Z206" s="682">
        <f>X206+AF183</f>
        <v>25853380.470000006</v>
      </c>
      <c r="AA206" s="681">
        <f>Y206+AG183</f>
        <v>11885212.390000001</v>
      </c>
      <c r="AB206" s="681">
        <f>Z206+AK183</f>
        <v>34839471.200000018</v>
      </c>
      <c r="AC206" s="681">
        <f>AA206+AL183</f>
        <v>16016261.930000002</v>
      </c>
    </row>
    <row r="207" spans="3:60" ht="25.5" customHeight="1">
      <c r="U207" s="941"/>
      <c r="V207" s="938">
        <f>V206+W206</f>
        <v>12414010.800000006</v>
      </c>
      <c r="W207" s="939"/>
      <c r="X207" s="938">
        <f>X206+Y206</f>
        <v>24828021.600000013</v>
      </c>
      <c r="Y207" s="939"/>
      <c r="Z207" s="938">
        <f>Z206+AA206</f>
        <v>37738592.860000007</v>
      </c>
      <c r="AA207" s="939"/>
      <c r="AB207" s="938">
        <f>AB206+AC206</f>
        <v>50855733.130000018</v>
      </c>
      <c r="AC207" s="939"/>
    </row>
    <row r="208" spans="3:60" ht="31.5" customHeight="1">
      <c r="U208" s="940" t="s">
        <v>1126</v>
      </c>
      <c r="V208" s="681">
        <f>V204+V206</f>
        <v>9681582.9600000046</v>
      </c>
      <c r="W208" s="681">
        <f t="shared" ref="W208:AC208" si="142">W204+W206</f>
        <v>3936372.3300000015</v>
      </c>
      <c r="X208" s="681">
        <f t="shared" si="142"/>
        <v>19363165.920000009</v>
      </c>
      <c r="Y208" s="681">
        <f t="shared" si="142"/>
        <v>7872744.6600000029</v>
      </c>
      <c r="Z208" s="681">
        <f t="shared" si="142"/>
        <v>29432012.190000005</v>
      </c>
      <c r="AA208" s="681">
        <f t="shared" si="142"/>
        <v>11966571.91</v>
      </c>
      <c r="AB208" s="681">
        <f t="shared" si="142"/>
        <v>39661959.94000002</v>
      </c>
      <c r="AC208" s="681">
        <f t="shared" si="142"/>
        <v>16125900.300000001</v>
      </c>
      <c r="AD208" s="680">
        <f>AB208+AC208</f>
        <v>55787860.240000024</v>
      </c>
    </row>
    <row r="209" spans="21:31" ht="28.5" customHeight="1">
      <c r="U209" s="941"/>
      <c r="V209" s="942">
        <f>V208+W208</f>
        <v>13617955.290000007</v>
      </c>
      <c r="W209" s="943"/>
      <c r="X209" s="942">
        <f>X208+Y208</f>
        <v>27235910.580000013</v>
      </c>
      <c r="Y209" s="943"/>
      <c r="Z209" s="942">
        <f>Z208+AA208</f>
        <v>41398584.100000009</v>
      </c>
      <c r="AA209" s="943"/>
      <c r="AB209" s="942">
        <f>AB208+AC208</f>
        <v>55787860.240000024</v>
      </c>
      <c r="AC209" s="943"/>
    </row>
    <row r="210" spans="21:31" ht="31.5" customHeight="1">
      <c r="U210" s="946" t="s">
        <v>634</v>
      </c>
      <c r="V210" s="947"/>
      <c r="W210" s="947"/>
      <c r="X210" s="947"/>
      <c r="Y210" s="947"/>
      <c r="Z210" s="947"/>
      <c r="AA210" s="947"/>
      <c r="AB210" s="947"/>
      <c r="AC210" s="948"/>
    </row>
    <row r="211" spans="21:31" ht="15.75">
      <c r="U211" s="807" t="s">
        <v>272</v>
      </c>
      <c r="V211" s="949">
        <f>V202*1.22</f>
        <v>129930</v>
      </c>
      <c r="W211" s="949"/>
      <c r="X211" s="949">
        <f t="shared" ref="X211:AC211" si="143">X202*1.22</f>
        <v>259860</v>
      </c>
      <c r="Y211" s="949">
        <f t="shared" si="143"/>
        <v>0</v>
      </c>
      <c r="Z211" s="949">
        <f t="shared" si="143"/>
        <v>394987.2</v>
      </c>
      <c r="AA211" s="949">
        <f t="shared" si="143"/>
        <v>0</v>
      </c>
      <c r="AB211" s="949">
        <f>AB202*1.22</f>
        <v>532276.43520000007</v>
      </c>
      <c r="AC211" s="949">
        <f t="shared" si="143"/>
        <v>0</v>
      </c>
    </row>
    <row r="212" spans="21:31" ht="15.75">
      <c r="U212" s="807" t="s">
        <v>633</v>
      </c>
      <c r="V212" s="949">
        <f>U184+U186-V211</f>
        <v>1332337.6499999999</v>
      </c>
      <c r="W212" s="949"/>
      <c r="X212" s="949">
        <f>U184+U186+X184+X186-X211</f>
        <v>2664675.2999999998</v>
      </c>
      <c r="Y212" s="949"/>
      <c r="Z212" s="949">
        <f>U184+X184+AC184+U186+X186+AC186-Z211</f>
        <v>4050306.41</v>
      </c>
      <c r="AA212" s="949"/>
      <c r="AB212" s="949">
        <f>U184+X184+AC184+AH184+U186+X186+AC186+AH186-AB211</f>
        <v>5458107.6047999999</v>
      </c>
      <c r="AC212" s="949"/>
      <c r="AD212" s="680">
        <f>AB211+AB212</f>
        <v>5990384.04</v>
      </c>
    </row>
    <row r="213" spans="21:31" ht="15.75">
      <c r="U213" s="807" t="s">
        <v>273</v>
      </c>
      <c r="V213" s="949">
        <f>U183+U185</f>
        <v>15077610.670000007</v>
      </c>
      <c r="W213" s="949"/>
      <c r="X213" s="949">
        <f>V213+X183+X185</f>
        <v>30155221.340000015</v>
      </c>
      <c r="Y213" s="949"/>
      <c r="Z213" s="949">
        <f>X213+AC183+AC185</f>
        <v>45835936.410000011</v>
      </c>
      <c r="AA213" s="949"/>
      <c r="AB213" s="949">
        <f>Z213+AH183+AH185</f>
        <v>61767542.81000001</v>
      </c>
      <c r="AC213" s="949"/>
    </row>
    <row r="214" spans="21:31" ht="15.75">
      <c r="U214" s="807"/>
      <c r="V214" s="681"/>
      <c r="W214" s="681"/>
      <c r="X214" s="681"/>
      <c r="Y214" s="682"/>
      <c r="Z214" s="682"/>
      <c r="AA214" s="681"/>
      <c r="AB214" s="681"/>
      <c r="AC214" s="681"/>
      <c r="AE214" s="660">
        <f>V203*2</f>
        <v>2141362.98</v>
      </c>
    </row>
    <row r="215" spans="21:31" ht="31.5" customHeight="1">
      <c r="U215" s="946" t="s">
        <v>635</v>
      </c>
      <c r="V215" s="947"/>
      <c r="W215" s="947"/>
      <c r="X215" s="947"/>
      <c r="Y215" s="947"/>
      <c r="Z215" s="947"/>
      <c r="AA215" s="947"/>
      <c r="AB215" s="947"/>
      <c r="AC215" s="948"/>
    </row>
    <row r="216" spans="21:31" ht="15.75">
      <c r="U216" s="807" t="s">
        <v>272</v>
      </c>
      <c r="V216" s="938">
        <f>V202/3</f>
        <v>35500</v>
      </c>
      <c r="W216" s="939"/>
      <c r="X216" s="938">
        <f>X202/6</f>
        <v>35500</v>
      </c>
      <c r="Y216" s="939"/>
      <c r="Z216" s="944">
        <f>Z202/9</f>
        <v>35973.333333333336</v>
      </c>
      <c r="AA216" s="945"/>
      <c r="AB216" s="938">
        <f>AB202/12</f>
        <v>36357.68</v>
      </c>
      <c r="AC216" s="939"/>
    </row>
    <row r="217" spans="21:31" ht="15.75">
      <c r="U217" s="807" t="s">
        <v>633</v>
      </c>
      <c r="V217" s="938">
        <f>V203/22/3</f>
        <v>16222.446818181817</v>
      </c>
      <c r="W217" s="939"/>
      <c r="X217" s="938">
        <f>X203/22/6</f>
        <v>16222.446818181817</v>
      </c>
      <c r="Y217" s="939"/>
      <c r="Z217" s="944">
        <f>Z203/22/9</f>
        <v>16438.746060606059</v>
      </c>
      <c r="AA217" s="945"/>
      <c r="AB217" s="938">
        <f>AB203/22/12</f>
        <v>16614.380984848485</v>
      </c>
      <c r="AC217" s="939"/>
    </row>
    <row r="218" spans="21:31" ht="15.75">
      <c r="U218" s="807" t="s">
        <v>273</v>
      </c>
      <c r="V218" s="938">
        <f>V206/401/3</f>
        <v>7069.3279052369116</v>
      </c>
      <c r="W218" s="939"/>
      <c r="X218" s="938">
        <f>X206/401/6</f>
        <v>7069.3279052369116</v>
      </c>
      <c r="Y218" s="939"/>
      <c r="Z218" s="944">
        <f>Z206/401/9</f>
        <v>7163.5856109725701</v>
      </c>
      <c r="AA218" s="945"/>
      <c r="AB218" s="938">
        <f>AB206/401/12</f>
        <v>7240.1228595178754</v>
      </c>
      <c r="AC218" s="939"/>
    </row>
    <row r="219" spans="21:31" ht="15.75">
      <c r="U219" s="807"/>
      <c r="V219" s="681"/>
      <c r="W219" s="681"/>
      <c r="X219" s="681"/>
      <c r="Y219" s="682"/>
      <c r="Z219" s="682"/>
      <c r="AA219" s="681"/>
      <c r="AB219" s="681"/>
      <c r="AC219" s="681"/>
    </row>
    <row r="220" spans="21:31" ht="31.5" customHeight="1">
      <c r="U220" s="946" t="s">
        <v>636</v>
      </c>
      <c r="V220" s="947"/>
      <c r="W220" s="947"/>
      <c r="X220" s="947"/>
      <c r="Y220" s="947"/>
      <c r="Z220" s="947"/>
      <c r="AA220" s="947"/>
      <c r="AB220" s="947"/>
      <c r="AC220" s="948"/>
    </row>
    <row r="221" spans="21:31" ht="15.75">
      <c r="U221" s="807" t="s">
        <v>272</v>
      </c>
      <c r="V221" s="938">
        <f>V216</f>
        <v>35500</v>
      </c>
      <c r="W221" s="939"/>
      <c r="X221" s="938">
        <f>X216</f>
        <v>35500</v>
      </c>
      <c r="Y221" s="939"/>
      <c r="Z221" s="938">
        <f>Z216</f>
        <v>35973.333333333336</v>
      </c>
      <c r="AA221" s="939"/>
      <c r="AB221" s="938">
        <f>AB216</f>
        <v>36357.68</v>
      </c>
      <c r="AC221" s="939"/>
    </row>
    <row r="222" spans="21:31" ht="15.75">
      <c r="U222" s="807" t="s">
        <v>633</v>
      </c>
      <c r="V222" s="938">
        <f>(V203+W203)/22/3</f>
        <v>16627.946818181819</v>
      </c>
      <c r="W222" s="939"/>
      <c r="X222" s="938">
        <f>(X203+Y203)/22/6</f>
        <v>16627.946818181819</v>
      </c>
      <c r="Y222" s="939"/>
      <c r="Z222" s="938">
        <f>(Z203+AA203)/9/22</f>
        <v>16849.652727272725</v>
      </c>
      <c r="AA222" s="939"/>
      <c r="AB222" s="938">
        <f>(AB203+AC203)/22/12</f>
        <v>17029.677840909091</v>
      </c>
      <c r="AC222" s="939"/>
    </row>
    <row r="223" spans="21:31" ht="15.75">
      <c r="U223" s="807" t="s">
        <v>273</v>
      </c>
      <c r="V223" s="938">
        <f>(V206+W206)/401/3</f>
        <v>10319.210972568584</v>
      </c>
      <c r="W223" s="939"/>
      <c r="X223" s="938">
        <f>(X206+Y206)/401/6</f>
        <v>10319.210972568584</v>
      </c>
      <c r="Y223" s="939"/>
      <c r="Z223" s="938">
        <f>(Z206+AA206)/9/401</f>
        <v>10456.800459961209</v>
      </c>
      <c r="AA223" s="939"/>
      <c r="AB223" s="938">
        <f>(AB206+AC206)/401/12</f>
        <v>10568.523094347469</v>
      </c>
      <c r="AC223" s="939"/>
    </row>
    <row r="227" spans="16:24">
      <c r="P227" s="803" t="s">
        <v>625</v>
      </c>
      <c r="U227" s="659">
        <f>U183</f>
        <v>12414010.80000001</v>
      </c>
      <c r="V227" s="659">
        <f>U183+X183</f>
        <v>24828021.60000002</v>
      </c>
      <c r="W227" s="659">
        <f>U183+X183+AC183</f>
        <v>37738592.860000022</v>
      </c>
      <c r="X227" s="659">
        <f>U183+X183+AC183+AH183</f>
        <v>50855733.130000025</v>
      </c>
    </row>
    <row r="228" spans="16:24">
      <c r="P228" s="803" t="s">
        <v>626</v>
      </c>
      <c r="U228" s="659">
        <f>U185</f>
        <v>2663599.8699999973</v>
      </c>
      <c r="V228" s="659">
        <f>U185+X185</f>
        <v>5327199.7399999946</v>
      </c>
      <c r="W228" s="659">
        <f>U185+X185+AC185</f>
        <v>8097343.5499999914</v>
      </c>
      <c r="X228" s="659">
        <f>U185+X185+AC185+AH185</f>
        <v>10911809.67999999</v>
      </c>
    </row>
    <row r="230" spans="16:24">
      <c r="P230" s="803" t="s">
        <v>633</v>
      </c>
      <c r="U230" s="659">
        <f>U184</f>
        <v>1203944.49</v>
      </c>
      <c r="V230" s="659">
        <f>U184+X184</f>
        <v>2407888.98</v>
      </c>
      <c r="W230" s="659">
        <f>U184+X184+AC184</f>
        <v>3659991.24</v>
      </c>
      <c r="X230" s="659">
        <f>U184+X184+AC184+AH184</f>
        <v>4932127.1100000003</v>
      </c>
    </row>
    <row r="231" spans="16:24">
      <c r="P231" s="803" t="s">
        <v>626</v>
      </c>
      <c r="U231" s="659">
        <f>U186</f>
        <v>258323.15999999997</v>
      </c>
      <c r="V231" s="659">
        <f>U186+X186</f>
        <v>516646.31999999995</v>
      </c>
      <c r="W231" s="659">
        <f>U186+X186+AC186</f>
        <v>785302.36999999988</v>
      </c>
      <c r="X231" s="659">
        <f>U186+X186+AC186+AH186</f>
        <v>1058256.93</v>
      </c>
    </row>
    <row r="233" spans="16:24">
      <c r="P233" s="803" t="s">
        <v>1136</v>
      </c>
    </row>
    <row r="235" spans="16:24">
      <c r="P235" s="803" t="s">
        <v>1137</v>
      </c>
      <c r="U235" s="659">
        <f t="shared" ref="U235:X236" si="144">U227+U230</f>
        <v>13617955.29000001</v>
      </c>
      <c r="V235" s="659">
        <f t="shared" si="144"/>
        <v>27235910.580000021</v>
      </c>
      <c r="W235" s="659">
        <f t="shared" si="144"/>
        <v>41398584.100000024</v>
      </c>
      <c r="X235" s="659">
        <f t="shared" si="144"/>
        <v>55787860.240000024</v>
      </c>
    </row>
    <row r="236" spans="16:24">
      <c r="P236" s="803" t="s">
        <v>626</v>
      </c>
      <c r="U236" s="659">
        <f t="shared" si="144"/>
        <v>2921923.0299999975</v>
      </c>
      <c r="V236" s="659">
        <f t="shared" si="144"/>
        <v>5843846.0599999949</v>
      </c>
      <c r="W236" s="659">
        <f t="shared" si="144"/>
        <v>8882645.9199999906</v>
      </c>
      <c r="X236" s="659">
        <f t="shared" si="144"/>
        <v>11970066.60999999</v>
      </c>
    </row>
  </sheetData>
  <autoFilter ref="A3:AM178">
    <filterColumn colId="8">
      <customFilters>
        <customFilter operator="notEqual" val=" "/>
      </customFilters>
    </filterColumn>
  </autoFilter>
  <mergeCells count="67">
    <mergeCell ref="U215:AC215"/>
    <mergeCell ref="U220:AC220"/>
    <mergeCell ref="AO1:AR1"/>
    <mergeCell ref="AS1:AV1"/>
    <mergeCell ref="AW1:AZ1"/>
    <mergeCell ref="V200:W200"/>
    <mergeCell ref="X200:Y200"/>
    <mergeCell ref="Z200:AA200"/>
    <mergeCell ref="AB200:AC200"/>
    <mergeCell ref="V211:W211"/>
    <mergeCell ref="V212:W212"/>
    <mergeCell ref="X212:Y212"/>
    <mergeCell ref="Z212:AA212"/>
    <mergeCell ref="AB212:AC212"/>
    <mergeCell ref="X207:Y207"/>
    <mergeCell ref="Z207:AA207"/>
    <mergeCell ref="C183:R183"/>
    <mergeCell ref="M1:P1"/>
    <mergeCell ref="C184:R184"/>
    <mergeCell ref="C185:R185"/>
    <mergeCell ref="C186:R186"/>
    <mergeCell ref="I1:I2"/>
    <mergeCell ref="AB207:AC207"/>
    <mergeCell ref="U210:AC210"/>
    <mergeCell ref="V213:W213"/>
    <mergeCell ref="X213:Y213"/>
    <mergeCell ref="Z213:AA213"/>
    <mergeCell ref="AB213:AC213"/>
    <mergeCell ref="X211:Y211"/>
    <mergeCell ref="Z211:AA211"/>
    <mergeCell ref="AB211:AC211"/>
    <mergeCell ref="V216:W216"/>
    <mergeCell ref="X216:Y216"/>
    <mergeCell ref="Z216:AA216"/>
    <mergeCell ref="AB216:AC216"/>
    <mergeCell ref="V217:W217"/>
    <mergeCell ref="X217:Y217"/>
    <mergeCell ref="Z217:AA217"/>
    <mergeCell ref="AB217:AC217"/>
    <mergeCell ref="V218:W218"/>
    <mergeCell ref="X218:Y218"/>
    <mergeCell ref="Z218:AA218"/>
    <mergeCell ref="AB218:AC218"/>
    <mergeCell ref="V222:W222"/>
    <mergeCell ref="V221:W221"/>
    <mergeCell ref="X221:Y221"/>
    <mergeCell ref="Z221:AA221"/>
    <mergeCell ref="AB221:AC221"/>
    <mergeCell ref="X222:Y222"/>
    <mergeCell ref="Z222:AA222"/>
    <mergeCell ref="AB222:AC222"/>
    <mergeCell ref="X223:Y223"/>
    <mergeCell ref="Z223:AA223"/>
    <mergeCell ref="AB223:AC223"/>
    <mergeCell ref="V223:W223"/>
    <mergeCell ref="U204:U205"/>
    <mergeCell ref="V205:W205"/>
    <mergeCell ref="X205:Y205"/>
    <mergeCell ref="Z205:AA205"/>
    <mergeCell ref="AB205:AC205"/>
    <mergeCell ref="U208:U209"/>
    <mergeCell ref="V209:W209"/>
    <mergeCell ref="X209:Y209"/>
    <mergeCell ref="Z209:AA209"/>
    <mergeCell ref="AB209:AC209"/>
    <mergeCell ref="U206:U207"/>
    <mergeCell ref="V207:W20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</sheetPr>
  <dimension ref="A1:AE71"/>
  <sheetViews>
    <sheetView windowProtection="1" zoomScale="60" zoomScaleNormal="60" zoomScaleSheetLayoutView="50" workbookViewId="0">
      <selection activeCell="C10" sqref="C10:F10"/>
    </sheetView>
  </sheetViews>
  <sheetFormatPr defaultRowHeight="18.75"/>
  <cols>
    <col min="1" max="1" width="4.42578125" style="1" customWidth="1"/>
    <col min="2" max="2" width="28.7109375" style="1" customWidth="1"/>
    <col min="3" max="6" width="11.28515625" style="1" customWidth="1"/>
    <col min="7" max="31" width="11" style="1" customWidth="1"/>
    <col min="32" max="16384" width="9.140625" style="1"/>
  </cols>
  <sheetData>
    <row r="1" spans="1:3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Q1" s="27"/>
      <c r="R1" s="27"/>
      <c r="S1" s="27"/>
      <c r="T1" s="27"/>
      <c r="U1" s="27"/>
      <c r="AB1" s="1025"/>
      <c r="AC1" s="1026"/>
      <c r="AD1" s="1026"/>
      <c r="AE1" s="1026"/>
    </row>
    <row r="2" spans="1:31" ht="18.75" customHeight="1">
      <c r="B2" s="37" t="s">
        <v>253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</row>
    <row r="3" spans="1:31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</row>
    <row r="4" spans="1:31" ht="18.75" customHeight="1">
      <c r="A4" s="1053" t="s">
        <v>56</v>
      </c>
      <c r="B4" s="1053" t="s">
        <v>209</v>
      </c>
      <c r="C4" s="1055" t="s">
        <v>210</v>
      </c>
      <c r="D4" s="1056"/>
      <c r="E4" s="1056"/>
      <c r="F4" s="1057"/>
      <c r="G4" s="1055" t="s">
        <v>349</v>
      </c>
      <c r="H4" s="1056"/>
      <c r="I4" s="1056"/>
      <c r="J4" s="1056"/>
      <c r="K4" s="1056"/>
      <c r="L4" s="1057"/>
      <c r="M4" s="1055" t="s">
        <v>211</v>
      </c>
      <c r="N4" s="1056"/>
      <c r="O4" s="1056"/>
      <c r="P4" s="1057"/>
      <c r="Q4" s="900" t="s">
        <v>303</v>
      </c>
      <c r="R4" s="901"/>
      <c r="S4" s="901"/>
      <c r="T4" s="901"/>
      <c r="U4" s="901"/>
      <c r="V4" s="901"/>
      <c r="W4" s="901"/>
      <c r="X4" s="901"/>
      <c r="Y4" s="901"/>
      <c r="Z4" s="901"/>
      <c r="AA4" s="901"/>
      <c r="AB4" s="901"/>
      <c r="AC4" s="901"/>
      <c r="AD4" s="901"/>
      <c r="AE4" s="920"/>
    </row>
    <row r="5" spans="1:31" ht="48.75" customHeight="1">
      <c r="A5" s="1054"/>
      <c r="B5" s="1054"/>
      <c r="C5" s="1058"/>
      <c r="D5" s="1059"/>
      <c r="E5" s="1059"/>
      <c r="F5" s="1060"/>
      <c r="G5" s="1058"/>
      <c r="H5" s="1059"/>
      <c r="I5" s="1059"/>
      <c r="J5" s="1059"/>
      <c r="K5" s="1059"/>
      <c r="L5" s="1060"/>
      <c r="M5" s="1058"/>
      <c r="N5" s="1059"/>
      <c r="O5" s="1059"/>
      <c r="P5" s="1060"/>
      <c r="Q5" s="907" t="s">
        <v>212</v>
      </c>
      <c r="R5" s="913"/>
      <c r="S5" s="908"/>
      <c r="T5" s="907" t="s">
        <v>213</v>
      </c>
      <c r="U5" s="913"/>
      <c r="V5" s="908"/>
      <c r="W5" s="907" t="s">
        <v>44</v>
      </c>
      <c r="X5" s="913"/>
      <c r="Y5" s="908"/>
      <c r="Z5" s="900" t="s">
        <v>214</v>
      </c>
      <c r="AA5" s="901"/>
      <c r="AB5" s="920"/>
      <c r="AC5" s="900" t="s">
        <v>215</v>
      </c>
      <c r="AD5" s="901"/>
      <c r="AE5" s="920"/>
    </row>
    <row r="6" spans="1:31" ht="18" customHeight="1">
      <c r="A6" s="59">
        <v>1</v>
      </c>
      <c r="B6" s="60">
        <v>2</v>
      </c>
      <c r="C6" s="1050">
        <v>3</v>
      </c>
      <c r="D6" s="1051"/>
      <c r="E6" s="1051"/>
      <c r="F6" s="1052"/>
      <c r="G6" s="1050">
        <v>4</v>
      </c>
      <c r="H6" s="1051"/>
      <c r="I6" s="1051"/>
      <c r="J6" s="1051"/>
      <c r="K6" s="1051"/>
      <c r="L6" s="1052"/>
      <c r="M6" s="1050">
        <v>5</v>
      </c>
      <c r="N6" s="1051"/>
      <c r="O6" s="1051"/>
      <c r="P6" s="1052"/>
      <c r="Q6" s="1050">
        <v>6</v>
      </c>
      <c r="R6" s="1051"/>
      <c r="S6" s="1052"/>
      <c r="T6" s="1050">
        <v>7</v>
      </c>
      <c r="U6" s="1051"/>
      <c r="V6" s="1052"/>
      <c r="W6" s="1061">
        <v>8</v>
      </c>
      <c r="X6" s="1062"/>
      <c r="Y6" s="1063"/>
      <c r="Z6" s="1061">
        <v>9</v>
      </c>
      <c r="AA6" s="1062"/>
      <c r="AB6" s="1063"/>
      <c r="AC6" s="1061">
        <v>10</v>
      </c>
      <c r="AD6" s="1062"/>
      <c r="AE6" s="1063"/>
    </row>
    <row r="7" spans="1:31" ht="20.100000000000001" customHeight="1">
      <c r="A7" s="59"/>
      <c r="B7" s="210" t="s">
        <v>1154</v>
      </c>
      <c r="C7" s="1044">
        <v>2016</v>
      </c>
      <c r="D7" s="1045"/>
      <c r="E7" s="1045"/>
      <c r="F7" s="1046"/>
      <c r="G7" s="1035" t="s">
        <v>437</v>
      </c>
      <c r="H7" s="1036"/>
      <c r="I7" s="1036"/>
      <c r="J7" s="1036"/>
      <c r="K7" s="1036"/>
      <c r="L7" s="1037"/>
      <c r="M7" s="1038">
        <f>SUM(Q7,T7,W7,Z7,AC7)</f>
        <v>329.07242099999996</v>
      </c>
      <c r="N7" s="1039"/>
      <c r="O7" s="1039"/>
      <c r="P7" s="1040"/>
      <c r="Q7" s="1041">
        <f>(36/1.2*(400*12)+6100)/1000</f>
        <v>150.1</v>
      </c>
      <c r="R7" s="1042"/>
      <c r="S7" s="1043"/>
      <c r="T7" s="1041">
        <f>ФОП!U48/2/1000+ФОП!X48/2/1000+ФОП!AC48/1000/2+ФОП!AH48/1000/2</f>
        <v>105.00605000000002</v>
      </c>
      <c r="U7" s="1042"/>
      <c r="V7" s="1043"/>
      <c r="W7" s="1041">
        <f>T7*0.22</f>
        <v>23.101331000000005</v>
      </c>
      <c r="X7" s="1042"/>
      <c r="Y7" s="1043"/>
      <c r="Z7" s="1041">
        <f>2340.42*12/1000</f>
        <v>28.085039999999999</v>
      </c>
      <c r="AA7" s="1042"/>
      <c r="AB7" s="1043"/>
      <c r="AC7" s="1041">
        <f>(14000/10*12+5000+980)/1000</f>
        <v>22.78</v>
      </c>
      <c r="AD7" s="1042"/>
      <c r="AE7" s="1043"/>
    </row>
    <row r="8" spans="1:31" ht="20.100000000000001" customHeight="1">
      <c r="A8" s="59"/>
      <c r="B8" s="210" t="s">
        <v>1154</v>
      </c>
      <c r="C8" s="1044">
        <v>2016</v>
      </c>
      <c r="D8" s="1045"/>
      <c r="E8" s="1045"/>
      <c r="F8" s="1046"/>
      <c r="G8" s="1035" t="s">
        <v>437</v>
      </c>
      <c r="H8" s="1036"/>
      <c r="I8" s="1036"/>
      <c r="J8" s="1036"/>
      <c r="K8" s="1036"/>
      <c r="L8" s="1037"/>
      <c r="M8" s="1038">
        <f>SUM(Q8,T8,W8,Z8,AC8)</f>
        <v>332.48102099999994</v>
      </c>
      <c r="N8" s="1039"/>
      <c r="O8" s="1039"/>
      <c r="P8" s="1040"/>
      <c r="Q8" s="1041">
        <f>(36/1.2*(400*12)+6100)/1000</f>
        <v>150.1</v>
      </c>
      <c r="R8" s="1042"/>
      <c r="S8" s="1043"/>
      <c r="T8" s="1041">
        <f>T7</f>
        <v>105.00605000000002</v>
      </c>
      <c r="U8" s="1042"/>
      <c r="V8" s="1043"/>
      <c r="W8" s="1041">
        <f>T8*0.22</f>
        <v>23.101331000000005</v>
      </c>
      <c r="X8" s="1042"/>
      <c r="Y8" s="1043"/>
      <c r="Z8" s="1041">
        <f>2624.47*12/1000</f>
        <v>31.493639999999999</v>
      </c>
      <c r="AA8" s="1042"/>
      <c r="AB8" s="1043"/>
      <c r="AC8" s="1041">
        <f>(14000/10*12+5000+980)/1000</f>
        <v>22.78</v>
      </c>
      <c r="AD8" s="1042"/>
      <c r="AE8" s="1043"/>
    </row>
    <row r="9" spans="1:31" ht="20.100000000000001" customHeight="1">
      <c r="A9" s="59"/>
      <c r="B9" s="210" t="s">
        <v>1026</v>
      </c>
      <c r="C9" s="1044">
        <v>2017</v>
      </c>
      <c r="D9" s="1045"/>
      <c r="E9" s="1045"/>
      <c r="F9" s="1046"/>
      <c r="G9" s="1035" t="s">
        <v>437</v>
      </c>
      <c r="H9" s="1036"/>
      <c r="I9" s="1036"/>
      <c r="J9" s="1036"/>
      <c r="K9" s="1036"/>
      <c r="L9" s="1037"/>
      <c r="M9" s="1038">
        <f>SUM(Q9,T9,W9,Z9,AC9)</f>
        <v>566.52554416363637</v>
      </c>
      <c r="N9" s="1039"/>
      <c r="O9" s="1039"/>
      <c r="P9" s="1040"/>
      <c r="Q9" s="1041">
        <f>(36/1.2*(500+400+420+440)/4*12+6100)/1000</f>
        <v>164.5</v>
      </c>
      <c r="R9" s="1042"/>
      <c r="S9" s="1043"/>
      <c r="T9" s="1041">
        <f>ФОП!U50/1000+ФОП!X50/1000+ФОП!AC50/1000+ФОП!AH50/1000</f>
        <v>105.35399</v>
      </c>
      <c r="U9" s="1042"/>
      <c r="V9" s="1043"/>
      <c r="W9" s="1041">
        <f>T9*0.22</f>
        <v>23.177877800000001</v>
      </c>
      <c r="X9" s="1042"/>
      <c r="Y9" s="1043"/>
      <c r="Z9" s="1041">
        <f>18929.17*12/1000</f>
        <v>227.15003999999999</v>
      </c>
      <c r="AA9" s="1042"/>
      <c r="AB9" s="1043"/>
      <c r="AC9" s="1041">
        <f>(37000/11*12+5000+980)/1000</f>
        <v>46.343636363636364</v>
      </c>
      <c r="AD9" s="1042"/>
      <c r="AE9" s="1043"/>
    </row>
    <row r="10" spans="1:31" ht="20.100000000000001" customHeight="1">
      <c r="A10" s="59"/>
      <c r="B10" s="210"/>
      <c r="C10" s="1044"/>
      <c r="D10" s="1045"/>
      <c r="E10" s="1045"/>
      <c r="F10" s="1046"/>
      <c r="G10" s="1035"/>
      <c r="H10" s="1036"/>
      <c r="I10" s="1036"/>
      <c r="J10" s="1036"/>
      <c r="K10" s="1036"/>
      <c r="L10" s="1037"/>
      <c r="M10" s="1038">
        <f>SUM(Q10,T10,W10,Z10,AC10)</f>
        <v>0</v>
      </c>
      <c r="N10" s="1039"/>
      <c r="O10" s="1039"/>
      <c r="P10" s="1040"/>
      <c r="Q10" s="1041"/>
      <c r="R10" s="1042"/>
      <c r="S10" s="1043"/>
      <c r="T10" s="1041"/>
      <c r="U10" s="1042"/>
      <c r="V10" s="1043"/>
      <c r="W10" s="1041"/>
      <c r="X10" s="1042"/>
      <c r="Y10" s="1043"/>
      <c r="Z10" s="1041"/>
      <c r="AA10" s="1042"/>
      <c r="AB10" s="1043"/>
      <c r="AC10" s="1041"/>
      <c r="AD10" s="1042"/>
      <c r="AE10" s="1043"/>
    </row>
    <row r="11" spans="1:31" ht="20.100000000000001" customHeight="1">
      <c r="A11" s="1047" t="s">
        <v>61</v>
      </c>
      <c r="B11" s="1048"/>
      <c r="C11" s="1048"/>
      <c r="D11" s="1048"/>
      <c r="E11" s="1048"/>
      <c r="F11" s="1048"/>
      <c r="G11" s="1048"/>
      <c r="H11" s="1048"/>
      <c r="I11" s="1048"/>
      <c r="J11" s="1048"/>
      <c r="K11" s="1048"/>
      <c r="L11" s="1049"/>
      <c r="M11" s="1064">
        <f>SUM(M7:P10)</f>
        <v>1228.0789861636363</v>
      </c>
      <c r="N11" s="1065"/>
      <c r="O11" s="1065"/>
      <c r="P11" s="1066"/>
      <c r="Q11" s="1064">
        <f>SUM(Q7:S10)</f>
        <v>464.7</v>
      </c>
      <c r="R11" s="1065"/>
      <c r="S11" s="1066"/>
      <c r="T11" s="1064">
        <f>SUM(T7:V10)</f>
        <v>315.36609000000004</v>
      </c>
      <c r="U11" s="1065"/>
      <c r="V11" s="1066"/>
      <c r="W11" s="1064">
        <f>SUM(W7:Y10)</f>
        <v>69.380539800000008</v>
      </c>
      <c r="X11" s="1065"/>
      <c r="Y11" s="1066"/>
      <c r="Z11" s="1064">
        <f>SUM(Z7:AB10)</f>
        <v>286.72872000000001</v>
      </c>
      <c r="AA11" s="1065"/>
      <c r="AB11" s="1066"/>
      <c r="AC11" s="1064">
        <f>SUM(AC7:AE10)</f>
        <v>91.903636363636366</v>
      </c>
      <c r="AD11" s="1065"/>
      <c r="AE11" s="1066"/>
    </row>
    <row r="12" spans="1:31" ht="18.75" customHeight="1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648"/>
      <c r="N12" s="648"/>
      <c r="O12" s="648"/>
      <c r="P12" s="648"/>
      <c r="Q12" s="648"/>
      <c r="R12" s="648"/>
      <c r="S12" s="648"/>
      <c r="T12" s="648"/>
      <c r="U12" s="648"/>
      <c r="V12" s="648"/>
      <c r="W12" s="649"/>
      <c r="X12" s="649"/>
      <c r="Y12" s="649"/>
      <c r="Z12" s="649"/>
      <c r="AA12" s="649"/>
      <c r="AB12" s="649"/>
      <c r="AC12" s="649"/>
      <c r="AD12" s="649"/>
      <c r="AE12" s="649"/>
    </row>
    <row r="13" spans="1:31" s="37" customFormat="1" ht="18.75" customHeight="1">
      <c r="B13" s="37" t="s">
        <v>254</v>
      </c>
    </row>
    <row r="14" spans="1:31" s="37" customFormat="1" ht="18.75" customHeight="1"/>
    <row r="15" spans="1:31" ht="18.75" customHeight="1">
      <c r="A15" s="1034" t="s">
        <v>56</v>
      </c>
      <c r="B15" s="1034" t="s">
        <v>216</v>
      </c>
      <c r="C15" s="906" t="s">
        <v>209</v>
      </c>
      <c r="D15" s="906"/>
      <c r="E15" s="906"/>
      <c r="F15" s="906"/>
      <c r="G15" s="906" t="s">
        <v>349</v>
      </c>
      <c r="H15" s="906"/>
      <c r="I15" s="906"/>
      <c r="J15" s="906"/>
      <c r="K15" s="906"/>
      <c r="L15" s="906"/>
      <c r="M15" s="906"/>
      <c r="N15" s="906"/>
      <c r="O15" s="906"/>
      <c r="P15" s="906"/>
      <c r="Q15" s="906" t="s">
        <v>217</v>
      </c>
      <c r="R15" s="906"/>
      <c r="S15" s="906"/>
      <c r="T15" s="906"/>
      <c r="U15" s="906"/>
      <c r="V15" s="899" t="s">
        <v>218</v>
      </c>
      <c r="W15" s="899"/>
      <c r="X15" s="899"/>
      <c r="Y15" s="899"/>
      <c r="Z15" s="899"/>
      <c r="AA15" s="899"/>
      <c r="AB15" s="899"/>
      <c r="AC15" s="899"/>
      <c r="AD15" s="899"/>
      <c r="AE15" s="899"/>
    </row>
    <row r="16" spans="1:31" ht="18.75" customHeight="1">
      <c r="A16" s="1034"/>
      <c r="B16" s="1034"/>
      <c r="C16" s="906"/>
      <c r="D16" s="906"/>
      <c r="E16" s="906"/>
      <c r="F16" s="906"/>
      <c r="G16" s="906"/>
      <c r="H16" s="906"/>
      <c r="I16" s="906"/>
      <c r="J16" s="906"/>
      <c r="K16" s="906"/>
      <c r="L16" s="906"/>
      <c r="M16" s="906"/>
      <c r="N16" s="906"/>
      <c r="O16" s="906"/>
      <c r="P16" s="906"/>
      <c r="Q16" s="906"/>
      <c r="R16" s="906"/>
      <c r="S16" s="906"/>
      <c r="T16" s="906"/>
      <c r="U16" s="906"/>
      <c r="V16" s="899" t="s">
        <v>219</v>
      </c>
      <c r="W16" s="899"/>
      <c r="X16" s="899" t="s">
        <v>106</v>
      </c>
      <c r="Y16" s="899"/>
      <c r="Z16" s="899"/>
      <c r="AA16" s="899"/>
      <c r="AB16" s="899"/>
      <c r="AC16" s="899"/>
      <c r="AD16" s="899"/>
      <c r="AE16" s="899"/>
    </row>
    <row r="17" spans="1:31" ht="18.75" customHeight="1">
      <c r="A17" s="1034"/>
      <c r="B17" s="1034"/>
      <c r="C17" s="906"/>
      <c r="D17" s="906"/>
      <c r="E17" s="906"/>
      <c r="F17" s="906"/>
      <c r="G17" s="906"/>
      <c r="H17" s="906"/>
      <c r="I17" s="906"/>
      <c r="J17" s="906"/>
      <c r="K17" s="906"/>
      <c r="L17" s="906"/>
      <c r="M17" s="906"/>
      <c r="N17" s="906"/>
      <c r="O17" s="906"/>
      <c r="P17" s="906"/>
      <c r="Q17" s="906"/>
      <c r="R17" s="906"/>
      <c r="S17" s="906"/>
      <c r="T17" s="906"/>
      <c r="U17" s="906"/>
      <c r="V17" s="899"/>
      <c r="W17" s="899"/>
      <c r="X17" s="899" t="s">
        <v>380</v>
      </c>
      <c r="Y17" s="899"/>
      <c r="Z17" s="899" t="s">
        <v>372</v>
      </c>
      <c r="AA17" s="899"/>
      <c r="AB17" s="899" t="s">
        <v>373</v>
      </c>
      <c r="AC17" s="899"/>
      <c r="AD17" s="899" t="s">
        <v>87</v>
      </c>
      <c r="AE17" s="899"/>
    </row>
    <row r="18" spans="1:31" ht="18" customHeight="1">
      <c r="A18" s="59">
        <v>1</v>
      </c>
      <c r="B18" s="59">
        <v>2</v>
      </c>
      <c r="C18" s="1029">
        <v>3</v>
      </c>
      <c r="D18" s="1029"/>
      <c r="E18" s="1029"/>
      <c r="F18" s="1029"/>
      <c r="G18" s="1029">
        <v>4</v>
      </c>
      <c r="H18" s="1029"/>
      <c r="I18" s="1029"/>
      <c r="J18" s="1029"/>
      <c r="K18" s="1029"/>
      <c r="L18" s="1029"/>
      <c r="M18" s="1029"/>
      <c r="N18" s="1029"/>
      <c r="O18" s="1029"/>
      <c r="P18" s="1029"/>
      <c r="Q18" s="1029">
        <v>5</v>
      </c>
      <c r="R18" s="1029"/>
      <c r="S18" s="1029"/>
      <c r="T18" s="1029"/>
      <c r="U18" s="1029"/>
      <c r="V18" s="1029">
        <v>6</v>
      </c>
      <c r="W18" s="1029"/>
      <c r="X18" s="1028">
        <v>7</v>
      </c>
      <c r="Y18" s="1028"/>
      <c r="Z18" s="1028">
        <v>8</v>
      </c>
      <c r="AA18" s="1028"/>
      <c r="AB18" s="1028">
        <v>9</v>
      </c>
      <c r="AC18" s="1028"/>
      <c r="AD18" s="1028">
        <v>10</v>
      </c>
      <c r="AE18" s="1028"/>
    </row>
    <row r="19" spans="1:31" ht="20.100000000000001" customHeight="1">
      <c r="A19" s="83"/>
      <c r="B19" s="78"/>
      <c r="C19" s="1030"/>
      <c r="D19" s="1030"/>
      <c r="E19" s="1030"/>
      <c r="F19" s="1030"/>
      <c r="G19" s="1031"/>
      <c r="H19" s="1031"/>
      <c r="I19" s="1031"/>
      <c r="J19" s="1031"/>
      <c r="K19" s="1031"/>
      <c r="L19" s="1031"/>
      <c r="M19" s="1031"/>
      <c r="N19" s="1031"/>
      <c r="O19" s="1031"/>
      <c r="P19" s="1031"/>
      <c r="Q19" s="1032"/>
      <c r="R19" s="1032"/>
      <c r="S19" s="1032"/>
      <c r="T19" s="1032"/>
      <c r="U19" s="1032"/>
      <c r="V19" s="1033">
        <f>AD19</f>
        <v>0</v>
      </c>
      <c r="W19" s="1033"/>
      <c r="X19" s="1027"/>
      <c r="Y19" s="1027"/>
      <c r="Z19" s="1027"/>
      <c r="AA19" s="1027"/>
      <c r="AB19" s="1027"/>
      <c r="AC19" s="1027"/>
      <c r="AD19" s="1027"/>
      <c r="AE19" s="1027"/>
    </row>
    <row r="20" spans="1:31" ht="20.100000000000001" customHeight="1">
      <c r="A20" s="83"/>
      <c r="B20" s="78"/>
      <c r="C20" s="1030"/>
      <c r="D20" s="1030"/>
      <c r="E20" s="1030"/>
      <c r="F20" s="1030"/>
      <c r="G20" s="1031"/>
      <c r="H20" s="1031"/>
      <c r="I20" s="1031"/>
      <c r="J20" s="1031"/>
      <c r="K20" s="1031"/>
      <c r="L20" s="1031"/>
      <c r="M20" s="1031"/>
      <c r="N20" s="1031"/>
      <c r="O20" s="1031"/>
      <c r="P20" s="1031"/>
      <c r="Q20" s="1032"/>
      <c r="R20" s="1032"/>
      <c r="S20" s="1032"/>
      <c r="T20" s="1032"/>
      <c r="U20" s="1032"/>
      <c r="V20" s="1033">
        <f>AD20</f>
        <v>0</v>
      </c>
      <c r="W20" s="1033"/>
      <c r="X20" s="1027"/>
      <c r="Y20" s="1027"/>
      <c r="Z20" s="1027"/>
      <c r="AA20" s="1027"/>
      <c r="AB20" s="1027"/>
      <c r="AC20" s="1027"/>
      <c r="AD20" s="1027"/>
      <c r="AE20" s="1027"/>
    </row>
    <row r="21" spans="1:31" ht="20.100000000000001" customHeight="1">
      <c r="A21" s="83"/>
      <c r="B21" s="78"/>
      <c r="C21" s="1030"/>
      <c r="D21" s="1030"/>
      <c r="E21" s="1030"/>
      <c r="F21" s="1030"/>
      <c r="G21" s="1031"/>
      <c r="H21" s="1031"/>
      <c r="I21" s="1031"/>
      <c r="J21" s="1031"/>
      <c r="K21" s="1031"/>
      <c r="L21" s="1031"/>
      <c r="M21" s="1031"/>
      <c r="N21" s="1031"/>
      <c r="O21" s="1031"/>
      <c r="P21" s="1031"/>
      <c r="Q21" s="1032"/>
      <c r="R21" s="1032"/>
      <c r="S21" s="1032"/>
      <c r="T21" s="1032"/>
      <c r="U21" s="1032"/>
      <c r="V21" s="1033">
        <f>AD21</f>
        <v>0</v>
      </c>
      <c r="W21" s="1033"/>
      <c r="X21" s="1027"/>
      <c r="Y21" s="1027"/>
      <c r="Z21" s="1027"/>
      <c r="AA21" s="1027"/>
      <c r="AB21" s="1027"/>
      <c r="AC21" s="1027"/>
      <c r="AD21" s="1027"/>
      <c r="AE21" s="1027"/>
    </row>
    <row r="22" spans="1:31" ht="20.100000000000001" customHeight="1">
      <c r="A22" s="83"/>
      <c r="B22" s="78"/>
      <c r="C22" s="1030"/>
      <c r="D22" s="1030"/>
      <c r="E22" s="1030"/>
      <c r="F22" s="1030"/>
      <c r="G22" s="1031"/>
      <c r="H22" s="1031"/>
      <c r="I22" s="1031"/>
      <c r="J22" s="1031"/>
      <c r="K22" s="1031"/>
      <c r="L22" s="1031"/>
      <c r="M22" s="1031"/>
      <c r="N22" s="1031"/>
      <c r="O22" s="1031"/>
      <c r="P22" s="1031"/>
      <c r="Q22" s="1032"/>
      <c r="R22" s="1032"/>
      <c r="S22" s="1032"/>
      <c r="T22" s="1032"/>
      <c r="U22" s="1032"/>
      <c r="V22" s="1033">
        <f>AD22</f>
        <v>0</v>
      </c>
      <c r="W22" s="1033"/>
      <c r="X22" s="1027"/>
      <c r="Y22" s="1027"/>
      <c r="Z22" s="1027"/>
      <c r="AA22" s="1027"/>
      <c r="AB22" s="1027"/>
      <c r="AC22" s="1027"/>
      <c r="AD22" s="1027"/>
      <c r="AE22" s="1027"/>
    </row>
    <row r="23" spans="1:31" ht="20.100000000000001" customHeight="1">
      <c r="A23" s="1034" t="s">
        <v>61</v>
      </c>
      <c r="B23" s="1034"/>
      <c r="C23" s="1034"/>
      <c r="D23" s="1034"/>
      <c r="E23" s="1034"/>
      <c r="F23" s="1034"/>
      <c r="G23" s="1034"/>
      <c r="H23" s="1034"/>
      <c r="I23" s="1034"/>
      <c r="J23" s="1034"/>
      <c r="K23" s="1034"/>
      <c r="L23" s="1034"/>
      <c r="M23" s="1034"/>
      <c r="N23" s="1034"/>
      <c r="O23" s="1034"/>
      <c r="P23" s="1034"/>
      <c r="Q23" s="1034"/>
      <c r="R23" s="1034"/>
      <c r="S23" s="1034"/>
      <c r="T23" s="1034"/>
      <c r="U23" s="1034"/>
      <c r="V23" s="1033">
        <f>AD23</f>
        <v>0</v>
      </c>
      <c r="W23" s="1033"/>
      <c r="X23" s="1010">
        <f>SUM(X19:Y22)</f>
        <v>0</v>
      </c>
      <c r="Y23" s="1010"/>
      <c r="Z23" s="1010">
        <f>SUM(Z19:AA22)</f>
        <v>0</v>
      </c>
      <c r="AA23" s="1010"/>
      <c r="AB23" s="1010">
        <f>SUM(AB19:AC22)</f>
        <v>0</v>
      </c>
      <c r="AC23" s="1010"/>
      <c r="AD23" s="1010">
        <f>SUM(AD19:AE22)</f>
        <v>0</v>
      </c>
      <c r="AE23" s="1010"/>
    </row>
    <row r="24" spans="1:3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Q24" s="27"/>
      <c r="R24" s="27"/>
      <c r="S24" s="27"/>
      <c r="T24" s="27"/>
      <c r="U24" s="27"/>
      <c r="AE24" s="27"/>
    </row>
    <row r="25" spans="1:3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Q25" s="27"/>
      <c r="R25" s="27"/>
      <c r="S25" s="27"/>
      <c r="T25" s="27"/>
      <c r="U25" s="27"/>
      <c r="AE25" s="27"/>
    </row>
    <row r="26" spans="1:31" s="37" customFormat="1" ht="18.75" customHeight="1">
      <c r="B26" s="37" t="s">
        <v>232</v>
      </c>
    </row>
    <row r="27" spans="1:31">
      <c r="A27" s="23"/>
      <c r="B27" s="23"/>
      <c r="C27" s="23"/>
      <c r="D27" s="23"/>
      <c r="E27" s="23"/>
      <c r="F27" s="23"/>
      <c r="G27" s="23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23"/>
      <c r="AD27" s="64" t="s">
        <v>251</v>
      </c>
    </row>
    <row r="28" spans="1:31" ht="30" customHeight="1">
      <c r="A28" s="906" t="s">
        <v>56</v>
      </c>
      <c r="B28" s="906" t="s">
        <v>255</v>
      </c>
      <c r="C28" s="906"/>
      <c r="D28" s="906"/>
      <c r="E28" s="906"/>
      <c r="F28" s="906"/>
      <c r="G28" s="907" t="s">
        <v>60</v>
      </c>
      <c r="H28" s="913"/>
      <c r="I28" s="913"/>
      <c r="J28" s="908"/>
      <c r="K28" s="907" t="s">
        <v>97</v>
      </c>
      <c r="L28" s="913"/>
      <c r="M28" s="913"/>
      <c r="N28" s="908"/>
      <c r="O28" s="907" t="s">
        <v>307</v>
      </c>
      <c r="P28" s="913"/>
      <c r="Q28" s="913"/>
      <c r="R28" s="908"/>
      <c r="S28" s="907" t="s">
        <v>140</v>
      </c>
      <c r="T28" s="913"/>
      <c r="U28" s="913"/>
      <c r="V28" s="908"/>
      <c r="W28" s="907" t="s">
        <v>61</v>
      </c>
      <c r="X28" s="913"/>
      <c r="Y28" s="913"/>
      <c r="Z28" s="908"/>
    </row>
    <row r="29" spans="1:31" ht="30" customHeight="1">
      <c r="A29" s="906"/>
      <c r="B29" s="906"/>
      <c r="C29" s="906"/>
      <c r="D29" s="906"/>
      <c r="E29" s="906"/>
      <c r="F29" s="906"/>
      <c r="G29" s="907" t="s">
        <v>106</v>
      </c>
      <c r="H29" s="913"/>
      <c r="I29" s="913"/>
      <c r="J29" s="908"/>
      <c r="K29" s="907" t="s">
        <v>106</v>
      </c>
      <c r="L29" s="913"/>
      <c r="M29" s="913"/>
      <c r="N29" s="908"/>
      <c r="O29" s="907" t="s">
        <v>106</v>
      </c>
      <c r="P29" s="913"/>
      <c r="Q29" s="913"/>
      <c r="R29" s="908"/>
      <c r="S29" s="907" t="s">
        <v>106</v>
      </c>
      <c r="T29" s="913"/>
      <c r="U29" s="913"/>
      <c r="V29" s="908"/>
      <c r="W29" s="907" t="s">
        <v>106</v>
      </c>
      <c r="X29" s="913"/>
      <c r="Y29" s="913"/>
      <c r="Z29" s="908"/>
    </row>
    <row r="30" spans="1:31" ht="39.950000000000003" customHeight="1">
      <c r="A30" s="906"/>
      <c r="B30" s="906"/>
      <c r="C30" s="906"/>
      <c r="D30" s="906"/>
      <c r="E30" s="906"/>
      <c r="F30" s="906"/>
      <c r="G30" s="7" t="s">
        <v>381</v>
      </c>
      <c r="H30" s="7" t="s">
        <v>372</v>
      </c>
      <c r="I30" s="7" t="s">
        <v>373</v>
      </c>
      <c r="J30" s="7" t="s">
        <v>87</v>
      </c>
      <c r="K30" s="7" t="s">
        <v>381</v>
      </c>
      <c r="L30" s="7" t="s">
        <v>372</v>
      </c>
      <c r="M30" s="7" t="s">
        <v>373</v>
      </c>
      <c r="N30" s="7" t="s">
        <v>87</v>
      </c>
      <c r="O30" s="7" t="s">
        <v>381</v>
      </c>
      <c r="P30" s="7" t="s">
        <v>372</v>
      </c>
      <c r="Q30" s="7" t="s">
        <v>373</v>
      </c>
      <c r="R30" s="7" t="s">
        <v>87</v>
      </c>
      <c r="S30" s="7" t="s">
        <v>381</v>
      </c>
      <c r="T30" s="7" t="s">
        <v>372</v>
      </c>
      <c r="U30" s="7" t="s">
        <v>373</v>
      </c>
      <c r="V30" s="7" t="s">
        <v>87</v>
      </c>
      <c r="W30" s="7" t="s">
        <v>381</v>
      </c>
      <c r="X30" s="7" t="s">
        <v>372</v>
      </c>
      <c r="Y30" s="7" t="s">
        <v>373</v>
      </c>
      <c r="Z30" s="7" t="s">
        <v>87</v>
      </c>
    </row>
    <row r="31" spans="1:31" ht="18" customHeight="1">
      <c r="A31" s="7">
        <v>1</v>
      </c>
      <c r="B31" s="906">
        <v>2</v>
      </c>
      <c r="C31" s="906"/>
      <c r="D31" s="906"/>
      <c r="E31" s="906"/>
      <c r="F31" s="906"/>
      <c r="G31" s="7">
        <v>3</v>
      </c>
      <c r="H31" s="91">
        <v>4</v>
      </c>
      <c r="I31" s="91">
        <v>5</v>
      </c>
      <c r="J31" s="92">
        <v>6</v>
      </c>
      <c r="K31" s="92">
        <v>7</v>
      </c>
      <c r="L31" s="92">
        <v>8</v>
      </c>
      <c r="M31" s="93">
        <v>9</v>
      </c>
      <c r="N31" s="7">
        <v>10</v>
      </c>
      <c r="O31" s="91">
        <v>11</v>
      </c>
      <c r="P31" s="92">
        <v>12</v>
      </c>
      <c r="Q31" s="92">
        <v>13</v>
      </c>
      <c r="R31" s="93">
        <v>14</v>
      </c>
      <c r="S31" s="7">
        <v>15</v>
      </c>
      <c r="T31" s="91">
        <v>16</v>
      </c>
      <c r="U31" s="92">
        <v>17</v>
      </c>
      <c r="V31" s="92">
        <v>18</v>
      </c>
      <c r="W31" s="92">
        <v>19</v>
      </c>
      <c r="X31" s="93">
        <v>20</v>
      </c>
      <c r="Y31" s="7">
        <v>21</v>
      </c>
      <c r="Z31" s="6">
        <v>22</v>
      </c>
    </row>
    <row r="32" spans="1:31" ht="20.100000000000001" customHeight="1">
      <c r="A32" s="82"/>
      <c r="B32" s="1024" t="s">
        <v>440</v>
      </c>
      <c r="C32" s="1024"/>
      <c r="D32" s="1024"/>
      <c r="E32" s="1024"/>
      <c r="F32" s="1024"/>
      <c r="G32" s="640"/>
      <c r="H32" s="640"/>
      <c r="I32" s="640"/>
      <c r="J32" s="640"/>
      <c r="K32" s="505">
        <f>'IV. Кап. інвестиції'!F8</f>
        <v>0</v>
      </c>
      <c r="L32" s="505">
        <f>'IV. Кап. інвестиції'!G8</f>
        <v>0</v>
      </c>
      <c r="M32" s="505">
        <f>'IV. Кап. інвестиції'!H8</f>
        <v>0</v>
      </c>
      <c r="N32" s="505">
        <f>'IV. Кап. інвестиції'!I8</f>
        <v>0</v>
      </c>
      <c r="O32" s="106"/>
      <c r="P32" s="106"/>
      <c r="Q32" s="106"/>
      <c r="R32" s="106"/>
      <c r="S32" s="106"/>
      <c r="T32" s="106"/>
      <c r="U32" s="106"/>
      <c r="V32" s="106"/>
      <c r="W32" s="90">
        <f t="shared" ref="W32:Z35" si="0">SUM(G32,K32,O32,S32)</f>
        <v>0</v>
      </c>
      <c r="X32" s="90">
        <f t="shared" si="0"/>
        <v>0</v>
      </c>
      <c r="Y32" s="90">
        <f t="shared" si="0"/>
        <v>0</v>
      </c>
      <c r="Z32" s="90">
        <f t="shared" si="0"/>
        <v>0</v>
      </c>
    </row>
    <row r="33" spans="1:31" ht="20.100000000000001" customHeight="1">
      <c r="A33" s="82"/>
      <c r="B33" s="1011"/>
      <c r="C33" s="1011"/>
      <c r="D33" s="1011"/>
      <c r="E33" s="1011"/>
      <c r="F33" s="1011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90">
        <f t="shared" si="0"/>
        <v>0</v>
      </c>
      <c r="X33" s="90">
        <f t="shared" si="0"/>
        <v>0</v>
      </c>
      <c r="Y33" s="90">
        <f t="shared" si="0"/>
        <v>0</v>
      </c>
      <c r="Z33" s="90">
        <f t="shared" si="0"/>
        <v>0</v>
      </c>
    </row>
    <row r="34" spans="1:31" ht="20.100000000000001" customHeight="1">
      <c r="A34" s="82"/>
      <c r="B34" s="1011"/>
      <c r="C34" s="1011"/>
      <c r="D34" s="1011"/>
      <c r="E34" s="1011"/>
      <c r="F34" s="1011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90">
        <f t="shared" si="0"/>
        <v>0</v>
      </c>
      <c r="X34" s="90">
        <f t="shared" si="0"/>
        <v>0</v>
      </c>
      <c r="Y34" s="90">
        <f t="shared" si="0"/>
        <v>0</v>
      </c>
      <c r="Z34" s="90">
        <f t="shared" si="0"/>
        <v>0</v>
      </c>
    </row>
    <row r="35" spans="1:31" ht="20.100000000000001" customHeight="1">
      <c r="A35" s="82"/>
      <c r="B35" s="1011"/>
      <c r="C35" s="1011"/>
      <c r="D35" s="1011"/>
      <c r="E35" s="1011"/>
      <c r="F35" s="1011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90">
        <f t="shared" si="0"/>
        <v>0</v>
      </c>
      <c r="X35" s="90">
        <f t="shared" si="0"/>
        <v>0</v>
      </c>
      <c r="Y35" s="90">
        <f t="shared" si="0"/>
        <v>0</v>
      </c>
      <c r="Z35" s="90">
        <f t="shared" si="0"/>
        <v>0</v>
      </c>
    </row>
    <row r="36" spans="1:31" ht="20.100000000000001" customHeight="1">
      <c r="A36" s="1021" t="s">
        <v>61</v>
      </c>
      <c r="B36" s="1022"/>
      <c r="C36" s="1022"/>
      <c r="D36" s="1022"/>
      <c r="E36" s="1022"/>
      <c r="F36" s="1023"/>
      <c r="G36" s="90">
        <f t="shared" ref="G36:Z36" si="1">SUM(G32:G35)</f>
        <v>0</v>
      </c>
      <c r="H36" s="90">
        <f t="shared" si="1"/>
        <v>0</v>
      </c>
      <c r="I36" s="90">
        <f t="shared" si="1"/>
        <v>0</v>
      </c>
      <c r="J36" s="90">
        <f t="shared" si="1"/>
        <v>0</v>
      </c>
      <c r="K36" s="90">
        <f t="shared" si="1"/>
        <v>0</v>
      </c>
      <c r="L36" s="90">
        <f t="shared" si="1"/>
        <v>0</v>
      </c>
      <c r="M36" s="90">
        <f t="shared" si="1"/>
        <v>0</v>
      </c>
      <c r="N36" s="90">
        <f t="shared" si="1"/>
        <v>0</v>
      </c>
      <c r="O36" s="90">
        <f t="shared" si="1"/>
        <v>0</v>
      </c>
      <c r="P36" s="90">
        <f t="shared" si="1"/>
        <v>0</v>
      </c>
      <c r="Q36" s="90">
        <f t="shared" si="1"/>
        <v>0</v>
      </c>
      <c r="R36" s="90">
        <f t="shared" si="1"/>
        <v>0</v>
      </c>
      <c r="S36" s="90">
        <f t="shared" si="1"/>
        <v>0</v>
      </c>
      <c r="T36" s="90">
        <f t="shared" si="1"/>
        <v>0</v>
      </c>
      <c r="U36" s="90">
        <f t="shared" si="1"/>
        <v>0</v>
      </c>
      <c r="V36" s="90">
        <f t="shared" si="1"/>
        <v>0</v>
      </c>
      <c r="W36" s="90">
        <f t="shared" si="1"/>
        <v>0</v>
      </c>
      <c r="X36" s="90">
        <f t="shared" si="1"/>
        <v>0</v>
      </c>
      <c r="Y36" s="90">
        <f t="shared" si="1"/>
        <v>0</v>
      </c>
      <c r="Z36" s="90">
        <f t="shared" si="1"/>
        <v>0</v>
      </c>
    </row>
    <row r="37" spans="1:31" ht="20.100000000000001" customHeight="1">
      <c r="A37" s="1017" t="s">
        <v>62</v>
      </c>
      <c r="B37" s="1018"/>
      <c r="C37" s="1018"/>
      <c r="D37" s="1018"/>
      <c r="E37" s="1018"/>
      <c r="F37" s="1019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</row>
    <row r="38" spans="1:31" ht="20.100000000000001" customHeight="1">
      <c r="A38" s="50"/>
      <c r="B38" s="50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50"/>
      <c r="T38" s="50"/>
      <c r="U38" s="50"/>
      <c r="V38" s="50"/>
      <c r="W38" s="81"/>
      <c r="X38" s="50"/>
      <c r="Y38" s="50"/>
      <c r="Z38" s="50"/>
      <c r="AA38" s="50"/>
    </row>
    <row r="39" spans="1:31" ht="20.100000000000001" customHeight="1">
      <c r="A39" s="13"/>
      <c r="B39" s="13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</row>
    <row r="40" spans="1:31" s="37" customFormat="1" ht="20.100000000000001" customHeight="1">
      <c r="B40" s="37" t="s">
        <v>256</v>
      </c>
    </row>
    <row r="41" spans="1:31" s="65" customFormat="1" ht="20.100000000000001" customHeight="1">
      <c r="A41" s="1"/>
      <c r="B41" s="1"/>
      <c r="C41" s="1"/>
      <c r="D41" s="1"/>
      <c r="E41" s="1"/>
      <c r="F41" s="1"/>
      <c r="G41" s="1"/>
      <c r="H41" s="1"/>
      <c r="I41" s="1"/>
      <c r="K41" s="1"/>
      <c r="AD41" s="64" t="s">
        <v>251</v>
      </c>
    </row>
    <row r="42" spans="1:31" s="66" customFormat="1" ht="34.5" customHeight="1">
      <c r="A42" s="899" t="s">
        <v>224</v>
      </c>
      <c r="B42" s="906" t="s">
        <v>306</v>
      </c>
      <c r="C42" s="906" t="s">
        <v>337</v>
      </c>
      <c r="D42" s="906"/>
      <c r="E42" s="906" t="s">
        <v>225</v>
      </c>
      <c r="F42" s="906"/>
      <c r="G42" s="906" t="s">
        <v>226</v>
      </c>
      <c r="H42" s="906"/>
      <c r="I42" s="906" t="s">
        <v>298</v>
      </c>
      <c r="J42" s="906"/>
      <c r="K42" s="906" t="s">
        <v>148</v>
      </c>
      <c r="L42" s="906"/>
      <c r="M42" s="906"/>
      <c r="N42" s="906"/>
      <c r="O42" s="906"/>
      <c r="P42" s="906"/>
      <c r="Q42" s="906"/>
      <c r="R42" s="906"/>
      <c r="S42" s="906"/>
      <c r="T42" s="906"/>
      <c r="U42" s="906" t="s">
        <v>338</v>
      </c>
      <c r="V42" s="906"/>
      <c r="W42" s="906"/>
      <c r="X42" s="906"/>
      <c r="Y42" s="906"/>
      <c r="Z42" s="906" t="s">
        <v>302</v>
      </c>
      <c r="AA42" s="906"/>
      <c r="AB42" s="906"/>
      <c r="AC42" s="906"/>
      <c r="AD42" s="906"/>
      <c r="AE42" s="906"/>
    </row>
    <row r="43" spans="1:31" s="66" customFormat="1" ht="52.5" customHeight="1">
      <c r="A43" s="899"/>
      <c r="B43" s="906"/>
      <c r="C43" s="906"/>
      <c r="D43" s="906"/>
      <c r="E43" s="906"/>
      <c r="F43" s="906"/>
      <c r="G43" s="906"/>
      <c r="H43" s="906"/>
      <c r="I43" s="906"/>
      <c r="J43" s="906"/>
      <c r="K43" s="906" t="s">
        <v>350</v>
      </c>
      <c r="L43" s="906"/>
      <c r="M43" s="906" t="s">
        <v>351</v>
      </c>
      <c r="N43" s="906"/>
      <c r="O43" s="906" t="s">
        <v>336</v>
      </c>
      <c r="P43" s="906"/>
      <c r="Q43" s="906"/>
      <c r="R43" s="906"/>
      <c r="S43" s="906"/>
      <c r="T43" s="906"/>
      <c r="U43" s="906"/>
      <c r="V43" s="906"/>
      <c r="W43" s="906"/>
      <c r="X43" s="906"/>
      <c r="Y43" s="906"/>
      <c r="Z43" s="906"/>
      <c r="AA43" s="906"/>
      <c r="AB43" s="906"/>
      <c r="AC43" s="906"/>
      <c r="AD43" s="906"/>
      <c r="AE43" s="906"/>
    </row>
    <row r="44" spans="1:31" s="67" customFormat="1" ht="82.5" customHeight="1">
      <c r="A44" s="899"/>
      <c r="B44" s="906"/>
      <c r="C44" s="906"/>
      <c r="D44" s="906"/>
      <c r="E44" s="906"/>
      <c r="F44" s="906"/>
      <c r="G44" s="906"/>
      <c r="H44" s="906"/>
      <c r="I44" s="906"/>
      <c r="J44" s="906"/>
      <c r="K44" s="906"/>
      <c r="L44" s="906"/>
      <c r="M44" s="906"/>
      <c r="N44" s="906"/>
      <c r="O44" s="906" t="s">
        <v>299</v>
      </c>
      <c r="P44" s="906"/>
      <c r="Q44" s="906" t="s">
        <v>300</v>
      </c>
      <c r="R44" s="906"/>
      <c r="S44" s="906" t="s">
        <v>301</v>
      </c>
      <c r="T44" s="906"/>
      <c r="U44" s="906"/>
      <c r="V44" s="906"/>
      <c r="W44" s="906"/>
      <c r="X44" s="906"/>
      <c r="Y44" s="906"/>
      <c r="Z44" s="906"/>
      <c r="AA44" s="906"/>
      <c r="AB44" s="906"/>
      <c r="AC44" s="906"/>
      <c r="AD44" s="906"/>
      <c r="AE44" s="906"/>
    </row>
    <row r="45" spans="1:31" s="66" customFormat="1" ht="18" customHeight="1">
      <c r="A45" s="6">
        <v>1</v>
      </c>
      <c r="B45" s="7">
        <v>2</v>
      </c>
      <c r="C45" s="906">
        <v>3</v>
      </c>
      <c r="D45" s="906"/>
      <c r="E45" s="906">
        <v>4</v>
      </c>
      <c r="F45" s="906"/>
      <c r="G45" s="906">
        <v>5</v>
      </c>
      <c r="H45" s="906"/>
      <c r="I45" s="906">
        <v>6</v>
      </c>
      <c r="J45" s="906"/>
      <c r="K45" s="907">
        <v>7</v>
      </c>
      <c r="L45" s="908"/>
      <c r="M45" s="907">
        <v>8</v>
      </c>
      <c r="N45" s="908"/>
      <c r="O45" s="906">
        <v>9</v>
      </c>
      <c r="P45" s="906"/>
      <c r="Q45" s="899">
        <v>10</v>
      </c>
      <c r="R45" s="899"/>
      <c r="S45" s="906">
        <v>11</v>
      </c>
      <c r="T45" s="906"/>
      <c r="U45" s="906">
        <v>12</v>
      </c>
      <c r="V45" s="906"/>
      <c r="W45" s="906"/>
      <c r="X45" s="906"/>
      <c r="Y45" s="906"/>
      <c r="Z45" s="906">
        <v>13</v>
      </c>
      <c r="AA45" s="906"/>
      <c r="AB45" s="906"/>
      <c r="AC45" s="906"/>
      <c r="AD45" s="906"/>
      <c r="AE45" s="906"/>
    </row>
    <row r="46" spans="1:31" s="66" customFormat="1" ht="20.100000000000001" customHeight="1">
      <c r="A46" s="211"/>
      <c r="B46" s="212"/>
      <c r="C46" s="1020"/>
      <c r="D46" s="1020"/>
      <c r="E46" s="916"/>
      <c r="F46" s="916"/>
      <c r="G46" s="916"/>
      <c r="H46" s="916"/>
      <c r="I46" s="916"/>
      <c r="J46" s="916"/>
      <c r="K46" s="918"/>
      <c r="L46" s="919"/>
      <c r="M46" s="930">
        <f t="shared" ref="M46:M52" si="2">SUM(O46,Q46,S46)</f>
        <v>0</v>
      </c>
      <c r="N46" s="931"/>
      <c r="O46" s="916"/>
      <c r="P46" s="916"/>
      <c r="Q46" s="916"/>
      <c r="R46" s="916"/>
      <c r="S46" s="916"/>
      <c r="T46" s="916"/>
      <c r="U46" s="903"/>
      <c r="V46" s="903"/>
      <c r="W46" s="903"/>
      <c r="X46" s="903"/>
      <c r="Y46" s="903"/>
      <c r="Z46" s="1011"/>
      <c r="AA46" s="1011"/>
      <c r="AB46" s="1011"/>
      <c r="AC46" s="1011"/>
      <c r="AD46" s="1011"/>
      <c r="AE46" s="1011"/>
    </row>
    <row r="47" spans="1:31" s="66" customFormat="1" ht="20.100000000000001" customHeight="1">
      <c r="A47" s="211"/>
      <c r="B47" s="212"/>
      <c r="C47" s="1020"/>
      <c r="D47" s="1020"/>
      <c r="E47" s="916"/>
      <c r="F47" s="916"/>
      <c r="G47" s="916"/>
      <c r="H47" s="916"/>
      <c r="I47" s="916"/>
      <c r="J47" s="916"/>
      <c r="K47" s="918"/>
      <c r="L47" s="919"/>
      <c r="M47" s="930">
        <f t="shared" si="2"/>
        <v>0</v>
      </c>
      <c r="N47" s="931"/>
      <c r="O47" s="916"/>
      <c r="P47" s="916"/>
      <c r="Q47" s="916"/>
      <c r="R47" s="916"/>
      <c r="S47" s="916"/>
      <c r="T47" s="916"/>
      <c r="U47" s="903"/>
      <c r="V47" s="903"/>
      <c r="W47" s="903"/>
      <c r="X47" s="903"/>
      <c r="Y47" s="903"/>
      <c r="Z47" s="1011"/>
      <c r="AA47" s="1011"/>
      <c r="AB47" s="1011"/>
      <c r="AC47" s="1011"/>
      <c r="AD47" s="1011"/>
      <c r="AE47" s="1011"/>
    </row>
    <row r="48" spans="1:31" s="66" customFormat="1" ht="20.100000000000001" customHeight="1">
      <c r="A48" s="211"/>
      <c r="B48" s="212"/>
      <c r="C48" s="1020"/>
      <c r="D48" s="1020"/>
      <c r="E48" s="916"/>
      <c r="F48" s="916"/>
      <c r="G48" s="916"/>
      <c r="H48" s="916"/>
      <c r="I48" s="916"/>
      <c r="J48" s="916"/>
      <c r="K48" s="918"/>
      <c r="L48" s="919"/>
      <c r="M48" s="930">
        <f t="shared" si="2"/>
        <v>0</v>
      </c>
      <c r="N48" s="931"/>
      <c r="O48" s="916"/>
      <c r="P48" s="916"/>
      <c r="Q48" s="916"/>
      <c r="R48" s="916"/>
      <c r="S48" s="916"/>
      <c r="T48" s="916"/>
      <c r="U48" s="903"/>
      <c r="V48" s="903"/>
      <c r="W48" s="903"/>
      <c r="X48" s="903"/>
      <c r="Y48" s="903"/>
      <c r="Z48" s="1011"/>
      <c r="AA48" s="1011"/>
      <c r="AB48" s="1011"/>
      <c r="AC48" s="1011"/>
      <c r="AD48" s="1011"/>
      <c r="AE48" s="1011"/>
    </row>
    <row r="49" spans="1:31" s="66" customFormat="1" ht="20.100000000000001" customHeight="1">
      <c r="A49" s="211"/>
      <c r="B49" s="212"/>
      <c r="C49" s="1020"/>
      <c r="D49" s="1020"/>
      <c r="E49" s="916"/>
      <c r="F49" s="916"/>
      <c r="G49" s="916"/>
      <c r="H49" s="916"/>
      <c r="I49" s="916"/>
      <c r="J49" s="916"/>
      <c r="K49" s="918"/>
      <c r="L49" s="919"/>
      <c r="M49" s="930">
        <f>SUM(O49,Q49,S49)</f>
        <v>0</v>
      </c>
      <c r="N49" s="931"/>
      <c r="O49" s="916"/>
      <c r="P49" s="916"/>
      <c r="Q49" s="916"/>
      <c r="R49" s="916"/>
      <c r="S49" s="916"/>
      <c r="T49" s="916"/>
      <c r="U49" s="903"/>
      <c r="V49" s="903"/>
      <c r="W49" s="903"/>
      <c r="X49" s="903"/>
      <c r="Y49" s="903"/>
      <c r="Z49" s="1011"/>
      <c r="AA49" s="1011"/>
      <c r="AB49" s="1011"/>
      <c r="AC49" s="1011"/>
      <c r="AD49" s="1011"/>
      <c r="AE49" s="1011"/>
    </row>
    <row r="50" spans="1:31" s="66" customFormat="1" ht="20.100000000000001" customHeight="1">
      <c r="A50" s="211"/>
      <c r="B50" s="212"/>
      <c r="C50" s="1020"/>
      <c r="D50" s="1020"/>
      <c r="E50" s="916"/>
      <c r="F50" s="916"/>
      <c r="G50" s="916"/>
      <c r="H50" s="916"/>
      <c r="I50" s="916"/>
      <c r="J50" s="916"/>
      <c r="K50" s="918"/>
      <c r="L50" s="919"/>
      <c r="M50" s="930">
        <f t="shared" si="2"/>
        <v>0</v>
      </c>
      <c r="N50" s="931"/>
      <c r="O50" s="916"/>
      <c r="P50" s="916"/>
      <c r="Q50" s="916"/>
      <c r="R50" s="916"/>
      <c r="S50" s="916"/>
      <c r="T50" s="916"/>
      <c r="U50" s="903"/>
      <c r="V50" s="903"/>
      <c r="W50" s="903"/>
      <c r="X50" s="903"/>
      <c r="Y50" s="903"/>
      <c r="Z50" s="1011"/>
      <c r="AA50" s="1011"/>
      <c r="AB50" s="1011"/>
      <c r="AC50" s="1011"/>
      <c r="AD50" s="1011"/>
      <c r="AE50" s="1011"/>
    </row>
    <row r="51" spans="1:31" s="66" customFormat="1" ht="20.100000000000001" customHeight="1">
      <c r="A51" s="211"/>
      <c r="B51" s="212"/>
      <c r="C51" s="1020"/>
      <c r="D51" s="1020"/>
      <c r="E51" s="916"/>
      <c r="F51" s="916"/>
      <c r="G51" s="916"/>
      <c r="H51" s="916"/>
      <c r="I51" s="916"/>
      <c r="J51" s="916"/>
      <c r="K51" s="918"/>
      <c r="L51" s="919"/>
      <c r="M51" s="930">
        <f t="shared" si="2"/>
        <v>0</v>
      </c>
      <c r="N51" s="931"/>
      <c r="O51" s="916"/>
      <c r="P51" s="916"/>
      <c r="Q51" s="916"/>
      <c r="R51" s="916"/>
      <c r="S51" s="916"/>
      <c r="T51" s="916"/>
      <c r="U51" s="903"/>
      <c r="V51" s="903"/>
      <c r="W51" s="903"/>
      <c r="X51" s="903"/>
      <c r="Y51" s="903"/>
      <c r="Z51" s="1011"/>
      <c r="AA51" s="1011"/>
      <c r="AB51" s="1011"/>
      <c r="AC51" s="1011"/>
      <c r="AD51" s="1011"/>
      <c r="AE51" s="1011"/>
    </row>
    <row r="52" spans="1:31" s="66" customFormat="1" ht="20.100000000000001" customHeight="1">
      <c r="A52" s="211"/>
      <c r="B52" s="212"/>
      <c r="C52" s="1020"/>
      <c r="D52" s="1020"/>
      <c r="E52" s="916"/>
      <c r="F52" s="916"/>
      <c r="G52" s="916"/>
      <c r="H52" s="916"/>
      <c r="I52" s="916"/>
      <c r="J52" s="916"/>
      <c r="K52" s="918"/>
      <c r="L52" s="919"/>
      <c r="M52" s="930">
        <f t="shared" si="2"/>
        <v>0</v>
      </c>
      <c r="N52" s="931"/>
      <c r="O52" s="916"/>
      <c r="P52" s="916"/>
      <c r="Q52" s="916"/>
      <c r="R52" s="916"/>
      <c r="S52" s="916"/>
      <c r="T52" s="916"/>
      <c r="U52" s="903"/>
      <c r="V52" s="903"/>
      <c r="W52" s="903"/>
      <c r="X52" s="903"/>
      <c r="Y52" s="903"/>
      <c r="Z52" s="1011"/>
      <c r="AA52" s="1011"/>
      <c r="AB52" s="1011"/>
      <c r="AC52" s="1011"/>
      <c r="AD52" s="1011"/>
      <c r="AE52" s="1011"/>
    </row>
    <row r="53" spans="1:31" s="66" customFormat="1" ht="20.100000000000001" customHeight="1">
      <c r="A53" s="1017" t="s">
        <v>61</v>
      </c>
      <c r="B53" s="1018"/>
      <c r="C53" s="1018"/>
      <c r="D53" s="1019"/>
      <c r="E53" s="1010">
        <f>SUM(E46:F52)</f>
        <v>0</v>
      </c>
      <c r="F53" s="1010"/>
      <c r="G53" s="1010">
        <f>SUM(G46:H52)</f>
        <v>0</v>
      </c>
      <c r="H53" s="1010"/>
      <c r="I53" s="1010">
        <f>SUM(I46:J52)</f>
        <v>0</v>
      </c>
      <c r="J53" s="1010"/>
      <c r="K53" s="1010">
        <f>SUM(K46:L52)</f>
        <v>0</v>
      </c>
      <c r="L53" s="1010"/>
      <c r="M53" s="1010">
        <f>SUM(M46:N52)</f>
        <v>0</v>
      </c>
      <c r="N53" s="1010"/>
      <c r="O53" s="1010">
        <f>SUM(O46:P52)</f>
        <v>0</v>
      </c>
      <c r="P53" s="1010"/>
      <c r="Q53" s="1010">
        <f>SUM(Q46:R52)</f>
        <v>0</v>
      </c>
      <c r="R53" s="1010"/>
      <c r="S53" s="1010">
        <f>SUM(S46:T52)</f>
        <v>0</v>
      </c>
      <c r="T53" s="1010"/>
      <c r="U53" s="1009"/>
      <c r="V53" s="1009"/>
      <c r="W53" s="1009"/>
      <c r="X53" s="1009"/>
      <c r="Y53" s="1009"/>
      <c r="Z53" s="1012"/>
      <c r="AA53" s="1012"/>
      <c r="AB53" s="1012"/>
      <c r="AC53" s="1012"/>
      <c r="AD53" s="1012"/>
      <c r="AE53" s="1012"/>
    </row>
    <row r="54" spans="1:31" ht="20.100000000000001" customHeight="1">
      <c r="A54" s="13"/>
      <c r="B54" s="13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</row>
    <row r="55" spans="1:31" ht="20.100000000000001" customHeight="1">
      <c r="A55" s="13"/>
      <c r="B55" s="13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</row>
    <row r="56" spans="1:31" s="4" customFormat="1" ht="20.100000000000001" customHeight="1">
      <c r="C56" s="37"/>
      <c r="D56" s="37"/>
      <c r="E56" s="37"/>
      <c r="F56" s="37"/>
      <c r="G56" s="37"/>
      <c r="H56" s="37"/>
      <c r="I56" s="37"/>
      <c r="J56" s="37"/>
      <c r="K56" s="37"/>
    </row>
    <row r="57" spans="1:31" s="32" customFormat="1" ht="20.100000000000001" customHeight="1">
      <c r="B57" s="915" t="s">
        <v>261</v>
      </c>
      <c r="C57" s="1013"/>
      <c r="D57" s="1013"/>
      <c r="E57" s="1013"/>
      <c r="F57" s="1013"/>
      <c r="G57" s="62"/>
      <c r="H57" s="62"/>
      <c r="I57" s="62"/>
      <c r="J57" s="62"/>
      <c r="K57" s="62"/>
      <c r="L57" s="1014" t="s">
        <v>262</v>
      </c>
      <c r="M57" s="1014"/>
      <c r="N57" s="1014"/>
      <c r="O57" s="1014"/>
      <c r="P57" s="1014"/>
      <c r="Q57" s="63"/>
      <c r="R57" s="63"/>
      <c r="S57" s="63"/>
      <c r="T57" s="63"/>
      <c r="U57" s="63"/>
      <c r="V57" s="1015" t="s">
        <v>1147</v>
      </c>
      <c r="W57" s="1016"/>
      <c r="X57" s="1016"/>
      <c r="Y57" s="1016"/>
      <c r="Z57" s="1016"/>
    </row>
    <row r="58" spans="1:31" s="4" customFormat="1" ht="19.5" customHeight="1">
      <c r="B58" s="3"/>
      <c r="C58" s="4" t="s">
        <v>84</v>
      </c>
      <c r="E58" s="40"/>
      <c r="F58" s="40"/>
      <c r="G58" s="40"/>
      <c r="H58" s="40"/>
      <c r="I58" s="40"/>
      <c r="J58" s="40"/>
      <c r="K58" s="40"/>
      <c r="M58" s="3"/>
      <c r="N58" s="22" t="s">
        <v>85</v>
      </c>
      <c r="O58" s="3"/>
      <c r="Q58" s="40"/>
      <c r="R58" s="40"/>
      <c r="S58" s="40"/>
      <c r="V58" s="1008" t="s">
        <v>141</v>
      </c>
      <c r="W58" s="1008"/>
      <c r="X58" s="1008"/>
      <c r="Y58" s="1008"/>
      <c r="Z58" s="1008"/>
    </row>
    <row r="59" spans="1:31" ht="20.100000000000001" customHeight="1">
      <c r="B59" s="33"/>
      <c r="C59" s="33"/>
      <c r="D59" s="33"/>
      <c r="E59" s="33"/>
      <c r="F59" s="33"/>
      <c r="G59" s="33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33"/>
      <c r="U59" s="33"/>
    </row>
    <row r="60" spans="1:31" ht="20.100000000000001" customHeight="1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</row>
    <row r="61" spans="1:31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</row>
    <row r="62" spans="1:31">
      <c r="B62" s="34"/>
    </row>
    <row r="65" spans="2:2" ht="19.5">
      <c r="B65" s="35"/>
    </row>
    <row r="66" spans="2:2" ht="19.5">
      <c r="B66" s="35"/>
    </row>
    <row r="67" spans="2:2" ht="19.5">
      <c r="B67" s="35"/>
    </row>
    <row r="68" spans="2:2" ht="19.5">
      <c r="B68" s="35"/>
    </row>
    <row r="69" spans="2:2" ht="19.5">
      <c r="B69" s="35"/>
    </row>
    <row r="70" spans="2:2" ht="19.5">
      <c r="B70" s="35"/>
    </row>
    <row r="71" spans="2:2" ht="19.5">
      <c r="B71" s="35"/>
    </row>
  </sheetData>
  <mergeCells count="254">
    <mergeCell ref="C49:D49"/>
    <mergeCell ref="E49:F49"/>
    <mergeCell ref="E47:F47"/>
    <mergeCell ref="C45:D45"/>
    <mergeCell ref="E45:F45"/>
    <mergeCell ref="I49:J49"/>
    <mergeCell ref="G47:H47"/>
    <mergeCell ref="C46:D46"/>
    <mergeCell ref="E46:F46"/>
    <mergeCell ref="C48:D48"/>
    <mergeCell ref="E48:F48"/>
    <mergeCell ref="G52:H52"/>
    <mergeCell ref="K52:L52"/>
    <mergeCell ref="I48:J48"/>
    <mergeCell ref="O53:P53"/>
    <mergeCell ref="I53:J53"/>
    <mergeCell ref="O52:P52"/>
    <mergeCell ref="Q50:R50"/>
    <mergeCell ref="Q53:R53"/>
    <mergeCell ref="Z49:AE49"/>
    <mergeCell ref="U49:Y49"/>
    <mergeCell ref="I51:J51"/>
    <mergeCell ref="K49:L49"/>
    <mergeCell ref="Z51:AE51"/>
    <mergeCell ref="O50:P50"/>
    <mergeCell ref="Q49:R49"/>
    <mergeCell ref="M48:N48"/>
    <mergeCell ref="S49:T49"/>
    <mergeCell ref="Q48:R48"/>
    <mergeCell ref="G49:H49"/>
    <mergeCell ref="G48:H48"/>
    <mergeCell ref="S51:T51"/>
    <mergeCell ref="U51:Y51"/>
    <mergeCell ref="Z50:AE50"/>
    <mergeCell ref="Z48:AE48"/>
    <mergeCell ref="C51:D51"/>
    <mergeCell ref="G51:H51"/>
    <mergeCell ref="K51:L51"/>
    <mergeCell ref="K50:L50"/>
    <mergeCell ref="M51:N51"/>
    <mergeCell ref="O51:P51"/>
    <mergeCell ref="Q51:R51"/>
    <mergeCell ref="C42:D44"/>
    <mergeCell ref="C50:D50"/>
    <mergeCell ref="M50:N50"/>
    <mergeCell ref="E50:F50"/>
    <mergeCell ref="G50:H50"/>
    <mergeCell ref="I50:J50"/>
    <mergeCell ref="Q44:R44"/>
    <mergeCell ref="E42:F44"/>
    <mergeCell ref="K45:L45"/>
    <mergeCell ref="M49:N49"/>
    <mergeCell ref="O49:P49"/>
    <mergeCell ref="G46:H46"/>
    <mergeCell ref="I46:J46"/>
    <mergeCell ref="I45:J45"/>
    <mergeCell ref="K48:L48"/>
    <mergeCell ref="Q46:R46"/>
    <mergeCell ref="O46:P46"/>
    <mergeCell ref="C18:F18"/>
    <mergeCell ref="C20:F20"/>
    <mergeCell ref="G18:P18"/>
    <mergeCell ref="G19:P19"/>
    <mergeCell ref="V19:W19"/>
    <mergeCell ref="Q8:S8"/>
    <mergeCell ref="T10:V10"/>
    <mergeCell ref="M11:P11"/>
    <mergeCell ref="Q11:S11"/>
    <mergeCell ref="V16:W17"/>
    <mergeCell ref="C9:F9"/>
    <mergeCell ref="C8:F8"/>
    <mergeCell ref="G8:L8"/>
    <mergeCell ref="T11:V11"/>
    <mergeCell ref="AC6:AE6"/>
    <mergeCell ref="W6:Y6"/>
    <mergeCell ref="AD17:AE17"/>
    <mergeCell ref="W11:Y11"/>
    <mergeCell ref="M8:P8"/>
    <mergeCell ref="AC10:AE10"/>
    <mergeCell ref="W8:Y8"/>
    <mergeCell ref="T8:V8"/>
    <mergeCell ref="AC9:AE9"/>
    <mergeCell ref="Q15:U17"/>
    <mergeCell ref="X16:AE16"/>
    <mergeCell ref="X17:Y17"/>
    <mergeCell ref="M10:P10"/>
    <mergeCell ref="Q10:S10"/>
    <mergeCell ref="AC8:AE8"/>
    <mergeCell ref="Z8:AB8"/>
    <mergeCell ref="W10:Y10"/>
    <mergeCell ref="AC11:AE11"/>
    <mergeCell ref="V15:AE15"/>
    <mergeCell ref="T9:V9"/>
    <mergeCell ref="W9:Y9"/>
    <mergeCell ref="Z11:AB11"/>
    <mergeCell ref="Z10:AB10"/>
    <mergeCell ref="Z9:AB9"/>
    <mergeCell ref="G6:L6"/>
    <mergeCell ref="M7:P7"/>
    <mergeCell ref="M6:P6"/>
    <mergeCell ref="T6:V6"/>
    <mergeCell ref="A4:A5"/>
    <mergeCell ref="B4:B5"/>
    <mergeCell ref="C4:F5"/>
    <mergeCell ref="G4:L5"/>
    <mergeCell ref="M4:P5"/>
    <mergeCell ref="C7:F7"/>
    <mergeCell ref="C6:F6"/>
    <mergeCell ref="T7:V7"/>
    <mergeCell ref="Q4:AE4"/>
    <mergeCell ref="T5:V5"/>
    <mergeCell ref="W5:Y5"/>
    <mergeCell ref="Z5:AB5"/>
    <mergeCell ref="Q5:S5"/>
    <mergeCell ref="AC5:AE5"/>
    <mergeCell ref="Q6:S6"/>
    <mergeCell ref="Z6:AB6"/>
    <mergeCell ref="Q7:S7"/>
    <mergeCell ref="W7:Y7"/>
    <mergeCell ref="AC7:AE7"/>
    <mergeCell ref="Z7:AB7"/>
    <mergeCell ref="X23:Y23"/>
    <mergeCell ref="V23:W23"/>
    <mergeCell ref="AD20:AE20"/>
    <mergeCell ref="AB20:AC20"/>
    <mergeCell ref="Q20:U20"/>
    <mergeCell ref="V20:W20"/>
    <mergeCell ref="G20:P20"/>
    <mergeCell ref="A23:U23"/>
    <mergeCell ref="G7:L7"/>
    <mergeCell ref="Z17:AA17"/>
    <mergeCell ref="G9:L9"/>
    <mergeCell ref="AB17:AC17"/>
    <mergeCell ref="M9:P9"/>
    <mergeCell ref="Q9:S9"/>
    <mergeCell ref="C10:F10"/>
    <mergeCell ref="A11:L11"/>
    <mergeCell ref="A15:A17"/>
    <mergeCell ref="B15:B17"/>
    <mergeCell ref="C15:F17"/>
    <mergeCell ref="G15:P17"/>
    <mergeCell ref="C19:F19"/>
    <mergeCell ref="Q19:U19"/>
    <mergeCell ref="C21:F21"/>
    <mergeCell ref="G10:L10"/>
    <mergeCell ref="C22:F22"/>
    <mergeCell ref="G22:P22"/>
    <mergeCell ref="Q22:U22"/>
    <mergeCell ref="AB21:AC21"/>
    <mergeCell ref="AD21:AE21"/>
    <mergeCell ref="Z21:AA21"/>
    <mergeCell ref="AB22:AC22"/>
    <mergeCell ref="AD22:AE22"/>
    <mergeCell ref="Z22:AA22"/>
    <mergeCell ref="G21:P21"/>
    <mergeCell ref="Q21:U21"/>
    <mergeCell ref="V21:W21"/>
    <mergeCell ref="X21:Y21"/>
    <mergeCell ref="V22:W22"/>
    <mergeCell ref="AB1:AE1"/>
    <mergeCell ref="Q52:R52"/>
    <mergeCell ref="S48:T48"/>
    <mergeCell ref="U48:Y48"/>
    <mergeCell ref="S50:T50"/>
    <mergeCell ref="U50:Y50"/>
    <mergeCell ref="S46:T46"/>
    <mergeCell ref="S44:T44"/>
    <mergeCell ref="Z23:AA23"/>
    <mergeCell ref="X19:Y19"/>
    <mergeCell ref="X20:Y20"/>
    <mergeCell ref="X22:Y22"/>
    <mergeCell ref="Z20:AA20"/>
    <mergeCell ref="Z19:AA19"/>
    <mergeCell ref="AB23:AC23"/>
    <mergeCell ref="AD23:AE23"/>
    <mergeCell ref="AD19:AE19"/>
    <mergeCell ref="AB19:AC19"/>
    <mergeCell ref="X18:Y18"/>
    <mergeCell ref="V18:W18"/>
    <mergeCell ref="Q18:U18"/>
    <mergeCell ref="AB18:AC18"/>
    <mergeCell ref="AD18:AE18"/>
    <mergeCell ref="Z18:AA18"/>
    <mergeCell ref="A28:A30"/>
    <mergeCell ref="B31:F31"/>
    <mergeCell ref="G28:J28"/>
    <mergeCell ref="K46:L46"/>
    <mergeCell ref="Q47:R47"/>
    <mergeCell ref="G45:H45"/>
    <mergeCell ref="I47:J47"/>
    <mergeCell ref="K47:L47"/>
    <mergeCell ref="U45:Y45"/>
    <mergeCell ref="U46:Y46"/>
    <mergeCell ref="U47:Y47"/>
    <mergeCell ref="Q45:R45"/>
    <mergeCell ref="S47:T47"/>
    <mergeCell ref="G29:J29"/>
    <mergeCell ref="A36:F36"/>
    <mergeCell ref="I42:J44"/>
    <mergeCell ref="K43:L44"/>
    <mergeCell ref="G42:H44"/>
    <mergeCell ref="B32:F32"/>
    <mergeCell ref="B33:F33"/>
    <mergeCell ref="A37:F37"/>
    <mergeCell ref="B34:F34"/>
    <mergeCell ref="B35:F35"/>
    <mergeCell ref="B42:B44"/>
    <mergeCell ref="B57:F57"/>
    <mergeCell ref="L57:P57"/>
    <mergeCell ref="V57:Z57"/>
    <mergeCell ref="K29:N29"/>
    <mergeCell ref="A53:D53"/>
    <mergeCell ref="C52:D52"/>
    <mergeCell ref="E52:F52"/>
    <mergeCell ref="Z52:AE52"/>
    <mergeCell ref="O29:R29"/>
    <mergeCell ref="S52:T52"/>
    <mergeCell ref="E53:F53"/>
    <mergeCell ref="G53:H53"/>
    <mergeCell ref="I52:J52"/>
    <mergeCell ref="E51:F51"/>
    <mergeCell ref="O48:P48"/>
    <mergeCell ref="M53:N53"/>
    <mergeCell ref="K53:L53"/>
    <mergeCell ref="B28:F30"/>
    <mergeCell ref="O43:T43"/>
    <mergeCell ref="C47:D47"/>
    <mergeCell ref="A42:A44"/>
    <mergeCell ref="O28:R28"/>
    <mergeCell ref="S28:V28"/>
    <mergeCell ref="M47:N47"/>
    <mergeCell ref="V58:Z58"/>
    <mergeCell ref="U53:Y53"/>
    <mergeCell ref="S29:V29"/>
    <mergeCell ref="W28:Z28"/>
    <mergeCell ref="S53:T53"/>
    <mergeCell ref="U52:Y52"/>
    <mergeCell ref="Z42:AE44"/>
    <mergeCell ref="Z45:AE45"/>
    <mergeCell ref="Z46:AE46"/>
    <mergeCell ref="Z47:AE47"/>
    <mergeCell ref="Z53:AE53"/>
    <mergeCell ref="U42:Y44"/>
    <mergeCell ref="K42:T42"/>
    <mergeCell ref="M52:N52"/>
    <mergeCell ref="W29:Z29"/>
    <mergeCell ref="M45:N45"/>
    <mergeCell ref="O47:P47"/>
    <mergeCell ref="O45:P45"/>
    <mergeCell ref="S45:T45"/>
    <mergeCell ref="O44:P44"/>
    <mergeCell ref="K28:N28"/>
    <mergeCell ref="M46:N46"/>
    <mergeCell ref="M43:N44"/>
  </mergeCells>
  <phoneticPr fontId="6" type="noConversion"/>
  <pageMargins left="1.1811023622047245" right="0.39370078740157483" top="0.78740157480314965" bottom="0.78740157480314965" header="0.27559055118110237" footer="0.31496062992125984"/>
  <pageSetup paperSize="9" scale="35" orientation="landscape" horizontalDpi="300" verticalDpi="3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3"/>
  <sheetViews>
    <sheetView windowProtection="1" view="pageBreakPreview" zoomScale="60" zoomScaleNormal="60" workbookViewId="0">
      <selection activeCell="K6" sqref="K6"/>
    </sheetView>
  </sheetViews>
  <sheetFormatPr defaultColWidth="29.28515625" defaultRowHeight="15"/>
  <cols>
    <col min="1" max="3" width="29.28515625" style="326"/>
    <col min="4" max="4" width="29.28515625" style="376"/>
    <col min="5" max="5" width="29.28515625" style="326"/>
    <col min="6" max="6" width="29.28515625" style="376"/>
    <col min="7" max="7" width="29.28515625" style="326"/>
    <col min="8" max="9" width="29.28515625" style="376"/>
    <col min="10" max="16384" width="29.28515625" style="326"/>
  </cols>
  <sheetData>
    <row r="1" spans="1:58" ht="66" customHeight="1">
      <c r="A1" s="1097" t="s">
        <v>847</v>
      </c>
      <c r="B1" s="1097"/>
      <c r="C1" s="1097"/>
      <c r="D1" s="1097"/>
      <c r="E1" s="1097"/>
      <c r="F1" s="1097"/>
      <c r="G1" s="1097"/>
      <c r="H1" s="1097"/>
      <c r="I1" s="1097"/>
      <c r="J1" s="1097"/>
      <c r="K1" s="1097"/>
      <c r="L1" s="1097"/>
      <c r="M1" s="1097"/>
      <c r="N1" s="1097"/>
      <c r="O1" s="1097"/>
      <c r="P1" s="1097"/>
      <c r="Q1" s="1097"/>
      <c r="R1" s="1097"/>
      <c r="S1" s="1097"/>
      <c r="T1" s="1097"/>
      <c r="U1" s="1097"/>
      <c r="V1" s="1097"/>
      <c r="W1" s="1097"/>
      <c r="X1" s="1097"/>
      <c r="Y1" s="1097"/>
      <c r="Z1" s="1097"/>
      <c r="AA1" s="1097"/>
      <c r="AB1" s="1097"/>
      <c r="AC1" s="1097"/>
      <c r="AD1" s="1097"/>
      <c r="AE1" s="1097"/>
      <c r="AF1" s="1097"/>
      <c r="AG1" s="1097"/>
      <c r="AH1" s="1097"/>
      <c r="AI1" s="1097"/>
      <c r="AJ1" s="1097"/>
      <c r="AK1" s="1098" t="s">
        <v>848</v>
      </c>
      <c r="AL1" s="1098"/>
      <c r="AM1" s="1098"/>
      <c r="AN1" s="1098"/>
      <c r="AO1" s="1098"/>
      <c r="AP1" s="1098"/>
      <c r="AQ1" s="1098"/>
      <c r="AR1" s="1098"/>
      <c r="AS1" s="1098"/>
      <c r="AT1" s="1098"/>
      <c r="AU1" s="1098"/>
      <c r="AV1" s="1098"/>
      <c r="AW1" s="1098"/>
      <c r="AX1" s="1098"/>
      <c r="AY1" s="1098"/>
      <c r="AZ1" s="1098"/>
      <c r="BA1" s="1098"/>
      <c r="BB1" s="1098"/>
      <c r="BC1" s="1098"/>
      <c r="BD1" s="1098"/>
      <c r="BE1" s="1098"/>
      <c r="BF1" s="1098"/>
    </row>
    <row r="2" spans="1:58" ht="60" customHeight="1">
      <c r="A2" s="1099" t="s">
        <v>849</v>
      </c>
      <c r="B2" s="327"/>
      <c r="C2" s="1099" t="s">
        <v>850</v>
      </c>
      <c r="D2" s="328"/>
      <c r="E2" s="1099" t="s">
        <v>851</v>
      </c>
      <c r="F2" s="1099"/>
      <c r="G2" s="1099" t="s">
        <v>852</v>
      </c>
      <c r="H2" s="328"/>
      <c r="I2" s="328"/>
      <c r="J2" s="329"/>
      <c r="K2" s="1100" t="s">
        <v>853</v>
      </c>
      <c r="L2" s="1100" t="s">
        <v>854</v>
      </c>
      <c r="M2" s="1100" t="s">
        <v>855</v>
      </c>
      <c r="N2" s="1101" t="s">
        <v>683</v>
      </c>
      <c r="O2" s="1096"/>
      <c r="P2" s="1096"/>
      <c r="Q2" s="1096"/>
      <c r="R2" s="1096"/>
      <c r="S2" s="1096" t="s">
        <v>683</v>
      </c>
      <c r="T2" s="1096"/>
      <c r="U2" s="1096"/>
      <c r="V2" s="1096"/>
      <c r="W2" s="1096"/>
      <c r="X2" s="1096" t="s">
        <v>683</v>
      </c>
      <c r="Y2" s="1096"/>
      <c r="Z2" s="1096"/>
      <c r="AA2" s="1096"/>
      <c r="AB2" s="1096"/>
      <c r="AC2" s="1096"/>
      <c r="AD2" s="1096" t="s">
        <v>683</v>
      </c>
      <c r="AE2" s="1096"/>
      <c r="AF2" s="1096"/>
      <c r="AG2" s="1096"/>
      <c r="AH2" s="1096"/>
      <c r="AI2" s="1096" t="s">
        <v>856</v>
      </c>
      <c r="AJ2" s="1096"/>
      <c r="AK2" s="1096" t="s">
        <v>857</v>
      </c>
      <c r="AL2" s="1096"/>
      <c r="AM2" s="1096"/>
      <c r="AN2" s="1096"/>
      <c r="AO2" s="1096"/>
      <c r="AP2" s="1096"/>
      <c r="AQ2" s="1096" t="s">
        <v>858</v>
      </c>
      <c r="AR2" s="1096" t="s">
        <v>859</v>
      </c>
      <c r="AS2" s="1096"/>
      <c r="AT2" s="1096"/>
      <c r="AU2" s="1096"/>
      <c r="AV2" s="1096"/>
      <c r="AW2" s="1096" t="s">
        <v>860</v>
      </c>
      <c r="AX2" s="1094" t="s">
        <v>861</v>
      </c>
      <c r="AY2" s="1092" t="s">
        <v>845</v>
      </c>
      <c r="AZ2" s="1092"/>
      <c r="BA2" s="1092"/>
      <c r="BB2" s="1092"/>
      <c r="BC2" s="1092"/>
      <c r="BD2" s="1092"/>
      <c r="BE2" s="1092"/>
      <c r="BF2" s="1092"/>
    </row>
    <row r="3" spans="1:58" ht="42" customHeight="1">
      <c r="A3" s="1099"/>
      <c r="B3" s="327"/>
      <c r="C3" s="1099"/>
      <c r="D3" s="328"/>
      <c r="E3" s="1099"/>
      <c r="F3" s="1099"/>
      <c r="G3" s="1099"/>
      <c r="H3" s="328"/>
      <c r="I3" s="328"/>
      <c r="J3" s="329"/>
      <c r="K3" s="1100"/>
      <c r="L3" s="1100"/>
      <c r="M3" s="1100"/>
      <c r="N3" s="1095" t="s">
        <v>862</v>
      </c>
      <c r="O3" s="1093"/>
      <c r="P3" s="1093"/>
      <c r="Q3" s="1093"/>
      <c r="R3" s="1093"/>
      <c r="S3" s="1093" t="s">
        <v>863</v>
      </c>
      <c r="T3" s="1093"/>
      <c r="U3" s="1093"/>
      <c r="V3" s="1093"/>
      <c r="W3" s="1093"/>
      <c r="X3" s="1093" t="s">
        <v>864</v>
      </c>
      <c r="Y3" s="1093"/>
      <c r="Z3" s="1093"/>
      <c r="AA3" s="1093"/>
      <c r="AB3" s="1093"/>
      <c r="AC3" s="1093"/>
      <c r="AD3" s="1093" t="s">
        <v>865</v>
      </c>
      <c r="AE3" s="1093"/>
      <c r="AF3" s="1093"/>
      <c r="AG3" s="1093"/>
      <c r="AH3" s="1093"/>
      <c r="AI3" s="1096"/>
      <c r="AJ3" s="1096"/>
      <c r="AK3" s="1093" t="s">
        <v>866</v>
      </c>
      <c r="AL3" s="1093" t="s">
        <v>862</v>
      </c>
      <c r="AM3" s="1093" t="s">
        <v>863</v>
      </c>
      <c r="AN3" s="1093" t="s">
        <v>864</v>
      </c>
      <c r="AO3" s="1093" t="s">
        <v>865</v>
      </c>
      <c r="AP3" s="1093" t="s">
        <v>867</v>
      </c>
      <c r="AQ3" s="1096"/>
      <c r="AR3" s="1093" t="s">
        <v>862</v>
      </c>
      <c r="AS3" s="1093" t="s">
        <v>863</v>
      </c>
      <c r="AT3" s="1093" t="s">
        <v>864</v>
      </c>
      <c r="AU3" s="1093" t="s">
        <v>865</v>
      </c>
      <c r="AV3" s="1093" t="s">
        <v>868</v>
      </c>
      <c r="AW3" s="1096"/>
      <c r="AX3" s="1094"/>
      <c r="AY3" s="1092" t="s">
        <v>869</v>
      </c>
      <c r="AZ3" s="1102" t="s">
        <v>870</v>
      </c>
      <c r="BA3" s="1092" t="s">
        <v>871</v>
      </c>
      <c r="BB3" s="1092" t="s">
        <v>683</v>
      </c>
      <c r="BC3" s="1092"/>
      <c r="BD3" s="1092"/>
      <c r="BE3" s="1092"/>
      <c r="BF3" s="1092" t="s">
        <v>872</v>
      </c>
    </row>
    <row r="4" spans="1:58" ht="45" customHeight="1">
      <c r="A4" s="1099"/>
      <c r="B4" s="327"/>
      <c r="C4" s="1099"/>
      <c r="D4" s="328"/>
      <c r="E4" s="1099"/>
      <c r="F4" s="1099"/>
      <c r="G4" s="1099"/>
      <c r="H4" s="328"/>
      <c r="I4" s="328"/>
      <c r="J4" s="329"/>
      <c r="K4" s="1100"/>
      <c r="L4" s="1100"/>
      <c r="M4" s="1100"/>
      <c r="N4" s="330" t="s">
        <v>873</v>
      </c>
      <c r="O4" s="331" t="s">
        <v>871</v>
      </c>
      <c r="P4" s="331" t="s">
        <v>874</v>
      </c>
      <c r="Q4" s="331" t="s">
        <v>61</v>
      </c>
      <c r="R4" s="331" t="s">
        <v>875</v>
      </c>
      <c r="S4" s="332" t="s">
        <v>873</v>
      </c>
      <c r="T4" s="331" t="s">
        <v>871</v>
      </c>
      <c r="U4" s="331" t="s">
        <v>874</v>
      </c>
      <c r="V4" s="331" t="s">
        <v>61</v>
      </c>
      <c r="W4" s="331" t="s">
        <v>875</v>
      </c>
      <c r="X4" s="332" t="s">
        <v>873</v>
      </c>
      <c r="Y4" s="331" t="s">
        <v>871</v>
      </c>
      <c r="Z4" s="331" t="s">
        <v>874</v>
      </c>
      <c r="AA4" s="331" t="s">
        <v>61</v>
      </c>
      <c r="AB4" s="331" t="s">
        <v>875</v>
      </c>
      <c r="AC4" s="331" t="s">
        <v>876</v>
      </c>
      <c r="AD4" s="332" t="s">
        <v>873</v>
      </c>
      <c r="AE4" s="331" t="s">
        <v>871</v>
      </c>
      <c r="AF4" s="331" t="s">
        <v>874</v>
      </c>
      <c r="AG4" s="331" t="s">
        <v>61</v>
      </c>
      <c r="AH4" s="331" t="s">
        <v>875</v>
      </c>
      <c r="AI4" s="332" t="s">
        <v>877</v>
      </c>
      <c r="AJ4" s="331" t="s">
        <v>871</v>
      </c>
      <c r="AK4" s="1093"/>
      <c r="AL4" s="1093"/>
      <c r="AM4" s="1093"/>
      <c r="AN4" s="1093"/>
      <c r="AO4" s="1093"/>
      <c r="AP4" s="1093"/>
      <c r="AQ4" s="1096"/>
      <c r="AR4" s="1093"/>
      <c r="AS4" s="1093"/>
      <c r="AT4" s="1093">
        <f>115.75+47.25</f>
        <v>163</v>
      </c>
      <c r="AU4" s="1093"/>
      <c r="AV4" s="1093"/>
      <c r="AW4" s="1096"/>
      <c r="AX4" s="1094"/>
      <c r="AY4" s="1092"/>
      <c r="AZ4" s="1103"/>
      <c r="BA4" s="1092"/>
      <c r="BB4" s="333" t="s">
        <v>862</v>
      </c>
      <c r="BC4" s="333" t="s">
        <v>863</v>
      </c>
      <c r="BD4" s="333" t="s">
        <v>864</v>
      </c>
      <c r="BE4" s="333" t="s">
        <v>865</v>
      </c>
      <c r="BF4" s="1092"/>
    </row>
    <row r="5" spans="1:58" s="342" customFormat="1" ht="29.25" hidden="1" customHeight="1">
      <c r="A5" s="1099"/>
      <c r="B5" s="327"/>
      <c r="C5" s="334" t="s">
        <v>878</v>
      </c>
      <c r="D5" s="334"/>
      <c r="E5" s="334">
        <v>898.42</v>
      </c>
      <c r="F5" s="334"/>
      <c r="G5" s="334">
        <v>9010.4639999999999</v>
      </c>
      <c r="H5" s="334"/>
      <c r="I5" s="334"/>
      <c r="J5" s="334">
        <v>842.16800000000001</v>
      </c>
      <c r="K5" s="334"/>
      <c r="L5" s="334"/>
      <c r="M5" s="334"/>
      <c r="N5" s="335">
        <v>0</v>
      </c>
      <c r="O5" s="336"/>
      <c r="P5" s="336"/>
      <c r="Q5" s="336"/>
      <c r="R5" s="336"/>
      <c r="S5" s="336">
        <v>0</v>
      </c>
      <c r="T5" s="336"/>
      <c r="U5" s="336"/>
      <c r="V5" s="336"/>
      <c r="W5" s="336"/>
      <c r="X5" s="336">
        <f>74.918+447.2+157.05</f>
        <v>679.16799999999989</v>
      </c>
      <c r="Y5" s="336"/>
      <c r="Z5" s="336"/>
      <c r="AA5" s="336"/>
      <c r="AB5" s="336"/>
      <c r="AC5" s="336"/>
      <c r="AD5" s="336"/>
      <c r="AE5" s="336"/>
      <c r="AF5" s="336"/>
      <c r="AG5" s="336"/>
      <c r="AH5" s="336"/>
      <c r="AI5" s="336"/>
      <c r="AJ5" s="336"/>
      <c r="AK5" s="336"/>
      <c r="AL5" s="336"/>
      <c r="AM5" s="337"/>
      <c r="AN5" s="337"/>
      <c r="AO5" s="337"/>
      <c r="AP5" s="337"/>
      <c r="AQ5" s="338"/>
      <c r="AR5" s="339"/>
      <c r="AS5" s="339"/>
      <c r="AT5" s="339">
        <f>115.75+47.25</f>
        <v>163</v>
      </c>
      <c r="AU5" s="339"/>
      <c r="AV5" s="339"/>
      <c r="AW5" s="339"/>
      <c r="AX5" s="340"/>
      <c r="AY5" s="1092"/>
      <c r="AZ5" s="1103"/>
      <c r="BA5" s="341"/>
      <c r="BB5" s="341"/>
      <c r="BC5" s="341"/>
      <c r="BD5" s="341"/>
      <c r="BE5" s="341"/>
      <c r="BF5" s="341"/>
    </row>
    <row r="6" spans="1:58" s="342" customFormat="1" ht="86.25" customHeight="1">
      <c r="A6" s="343" t="s">
        <v>879</v>
      </c>
      <c r="B6" s="344"/>
      <c r="C6" s="344" t="s">
        <v>880</v>
      </c>
      <c r="D6" s="344" t="s">
        <v>881</v>
      </c>
      <c r="E6" s="345">
        <f>O6+T6+Y6+AE6</f>
        <v>5338.7</v>
      </c>
      <c r="F6" s="345"/>
      <c r="G6" s="345">
        <f>P6+U6</f>
        <v>11602</v>
      </c>
      <c r="H6" s="345"/>
      <c r="I6" s="345"/>
      <c r="J6" s="345">
        <v>0</v>
      </c>
      <c r="K6" s="345">
        <f>O6+T6+Y6+AE6+AI6</f>
        <v>11364.96128</v>
      </c>
      <c r="L6" s="345">
        <f>P6+U6+Z6+AF6</f>
        <v>13068.3</v>
      </c>
      <c r="M6" s="345"/>
      <c r="N6" s="346">
        <v>10600</v>
      </c>
      <c r="O6" s="347">
        <f>N6*0.33</f>
        <v>3498</v>
      </c>
      <c r="P6" s="347">
        <f>N6-O6</f>
        <v>7102</v>
      </c>
      <c r="Q6" s="336"/>
      <c r="R6" s="348">
        <f>O12/Q12</f>
        <v>0.36256790891129526</v>
      </c>
      <c r="S6" s="347">
        <v>6000</v>
      </c>
      <c r="T6" s="347">
        <f>S6*0.25</f>
        <v>1500</v>
      </c>
      <c r="U6" s="347">
        <f>S6-T6</f>
        <v>4500</v>
      </c>
      <c r="V6" s="336"/>
      <c r="W6" s="348">
        <f>T12/V12</f>
        <v>0.29467084639498431</v>
      </c>
      <c r="X6" s="347">
        <v>1600</v>
      </c>
      <c r="Y6" s="347">
        <f>X6/5</f>
        <v>320</v>
      </c>
      <c r="Z6" s="347">
        <f>X6-Y6</f>
        <v>1280</v>
      </c>
      <c r="AA6" s="336"/>
      <c r="AB6" s="348"/>
      <c r="AC6" s="336"/>
      <c r="AD6" s="347">
        <v>207</v>
      </c>
      <c r="AE6" s="347">
        <f>AD6*0.1</f>
        <v>20.700000000000003</v>
      </c>
      <c r="AF6" s="347">
        <f>AD6-AE6</f>
        <v>186.3</v>
      </c>
      <c r="AG6" s="336"/>
      <c r="AH6" s="336"/>
      <c r="AI6" s="336">
        <f>AJ6</f>
        <v>6026.2612799999997</v>
      </c>
      <c r="AJ6" s="336">
        <f>AK6+AQ6</f>
        <v>6026.2612799999997</v>
      </c>
      <c r="AK6" s="336">
        <v>5454.1112800000001</v>
      </c>
      <c r="AL6" s="336">
        <v>10105.001499999998</v>
      </c>
      <c r="AM6" s="336">
        <v>5510</v>
      </c>
      <c r="AN6" s="336">
        <v>1291.1699999999998</v>
      </c>
      <c r="AO6" s="336">
        <v>24.000500000000002</v>
      </c>
      <c r="AP6" s="336"/>
      <c r="AQ6" s="336">
        <v>572.15</v>
      </c>
      <c r="AR6" s="336">
        <v>443</v>
      </c>
      <c r="AS6" s="336">
        <v>10</v>
      </c>
      <c r="AT6" s="336">
        <v>163</v>
      </c>
      <c r="AU6" s="336">
        <v>0</v>
      </c>
      <c r="AV6" s="336">
        <v>616</v>
      </c>
      <c r="AW6" s="336">
        <v>160</v>
      </c>
      <c r="AX6" s="349" t="s">
        <v>882</v>
      </c>
      <c r="AY6" s="1092"/>
      <c r="AZ6" s="1104"/>
      <c r="BA6" s="350">
        <f>AK6+AQ6</f>
        <v>6026.2612799999997</v>
      </c>
      <c r="BB6" s="350">
        <f>AL6+AR6</f>
        <v>10548.001499999998</v>
      </c>
      <c r="BC6" s="350">
        <f>AM6+AS6</f>
        <v>5520</v>
      </c>
      <c r="BD6" s="350">
        <f>AN6+AT6</f>
        <v>1454.1699999999998</v>
      </c>
      <c r="BE6" s="350">
        <f>AO6+AU6</f>
        <v>24.000500000000002</v>
      </c>
      <c r="BF6" s="350">
        <f>AW6</f>
        <v>160</v>
      </c>
    </row>
    <row r="7" spans="1:58" s="342" customFormat="1" ht="69" customHeight="1">
      <c r="A7" s="351" t="s">
        <v>883</v>
      </c>
      <c r="B7" s="352"/>
      <c r="C7" s="352" t="s">
        <v>884</v>
      </c>
      <c r="D7" s="352"/>
      <c r="E7" s="353">
        <f>O7+T7+Y7+AE7</f>
        <v>921.57899999999995</v>
      </c>
      <c r="F7" s="354"/>
      <c r="G7" s="354">
        <v>0</v>
      </c>
      <c r="H7" s="353" t="s">
        <v>885</v>
      </c>
      <c r="I7" s="354"/>
      <c r="J7" s="354"/>
      <c r="K7" s="354">
        <v>1653</v>
      </c>
      <c r="L7" s="354">
        <f>1.04*250</f>
        <v>260</v>
      </c>
      <c r="M7" s="354">
        <v>320</v>
      </c>
      <c r="N7" s="355"/>
      <c r="O7" s="356">
        <f>541.579</f>
        <v>541.57899999999995</v>
      </c>
      <c r="P7" s="356"/>
      <c r="Q7" s="356"/>
      <c r="R7" s="355"/>
      <c r="S7" s="355"/>
      <c r="T7" s="356">
        <v>380</v>
      </c>
      <c r="U7" s="356">
        <v>0</v>
      </c>
      <c r="V7" s="356"/>
      <c r="W7" s="355"/>
      <c r="X7" s="356"/>
      <c r="Y7" s="356">
        <v>0</v>
      </c>
      <c r="Z7" s="356">
        <v>0</v>
      </c>
      <c r="AA7" s="356"/>
      <c r="AB7" s="355"/>
      <c r="AC7" s="356"/>
      <c r="AD7" s="356"/>
      <c r="AE7" s="356">
        <v>0</v>
      </c>
      <c r="AF7" s="356">
        <v>0</v>
      </c>
      <c r="AG7" s="356"/>
      <c r="AH7" s="356"/>
      <c r="AI7" s="356"/>
      <c r="AJ7" s="356"/>
      <c r="AK7" s="356"/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356"/>
      <c r="AY7" s="347" t="s">
        <v>871</v>
      </c>
      <c r="AZ7" s="347">
        <f>BA7+BB7+BC7+BD7+BE7+BF7</f>
        <v>11253.044324999999</v>
      </c>
      <c r="BA7" s="357">
        <f>BA6</f>
        <v>6026.2612799999997</v>
      </c>
      <c r="BB7" s="358">
        <f>BB6*0.33</f>
        <v>3480.8404949999995</v>
      </c>
      <c r="BC7" s="358">
        <f>BC6*0.25</f>
        <v>1380</v>
      </c>
      <c r="BD7" s="358">
        <f>BD6*0.25</f>
        <v>363.54249999999996</v>
      </c>
      <c r="BE7" s="358">
        <f>BE6*0.1</f>
        <v>2.4000500000000002</v>
      </c>
      <c r="BF7" s="358"/>
    </row>
    <row r="8" spans="1:58" s="342" customFormat="1" ht="69" customHeight="1">
      <c r="A8" s="359" t="s">
        <v>886</v>
      </c>
      <c r="B8" s="360"/>
      <c r="C8" s="360"/>
      <c r="D8" s="360"/>
      <c r="E8" s="361"/>
      <c r="F8" s="362"/>
      <c r="G8" s="362"/>
      <c r="H8" s="361"/>
      <c r="I8" s="362"/>
      <c r="J8" s="362"/>
      <c r="K8" s="363">
        <v>1</v>
      </c>
      <c r="L8" s="363">
        <v>1.0990255296976765</v>
      </c>
      <c r="M8" s="363"/>
      <c r="N8" s="355"/>
      <c r="O8" s="356"/>
      <c r="P8" s="356"/>
      <c r="Q8" s="356"/>
      <c r="R8" s="355"/>
      <c r="S8" s="355"/>
      <c r="T8" s="356"/>
      <c r="U8" s="356"/>
      <c r="V8" s="356"/>
      <c r="W8" s="355"/>
      <c r="X8" s="356"/>
      <c r="Y8" s="356"/>
      <c r="Z8" s="356"/>
      <c r="AA8" s="356"/>
      <c r="AB8" s="355"/>
      <c r="AC8" s="356"/>
      <c r="AD8" s="356"/>
      <c r="AE8" s="356"/>
      <c r="AF8" s="356"/>
      <c r="AG8" s="356"/>
      <c r="AH8" s="356"/>
      <c r="AI8" s="356"/>
      <c r="AJ8" s="356"/>
      <c r="AK8" s="356"/>
      <c r="AL8" s="356"/>
      <c r="AM8" s="356"/>
      <c r="AN8" s="356"/>
      <c r="AO8" s="356"/>
      <c r="AP8" s="356"/>
      <c r="AQ8" s="356"/>
      <c r="AR8" s="356"/>
      <c r="AS8" s="356"/>
      <c r="AT8" s="356"/>
      <c r="AU8" s="356"/>
      <c r="AV8" s="356"/>
      <c r="AW8" s="356"/>
      <c r="AY8" s="347" t="str">
        <f>AY12</f>
        <v>ПІСОК</v>
      </c>
      <c r="AZ8" s="347">
        <f t="shared" ref="AZ8:BF8" si="0">AZ12</f>
        <v>12479.388954999999</v>
      </c>
      <c r="BA8" s="347">
        <f t="shared" si="0"/>
        <v>0</v>
      </c>
      <c r="BB8" s="347">
        <f t="shared" si="0"/>
        <v>7067.161004999999</v>
      </c>
      <c r="BC8" s="347">
        <f t="shared" si="0"/>
        <v>4140</v>
      </c>
      <c r="BD8" s="347">
        <f t="shared" si="0"/>
        <v>1090.6274999999998</v>
      </c>
      <c r="BE8" s="347">
        <f t="shared" si="0"/>
        <v>21.600450000000002</v>
      </c>
      <c r="BF8" s="347">
        <f t="shared" si="0"/>
        <v>160</v>
      </c>
    </row>
    <row r="9" spans="1:58" s="342" customFormat="1" ht="69" customHeight="1">
      <c r="A9" s="359" t="s">
        <v>887</v>
      </c>
      <c r="B9" s="360"/>
      <c r="C9" s="360"/>
      <c r="D9" s="360"/>
      <c r="E9" s="361"/>
      <c r="F9" s="362"/>
      <c r="G9" s="362"/>
      <c r="H9" s="361"/>
      <c r="I9" s="362"/>
      <c r="J9" s="362"/>
      <c r="K9" s="364">
        <f>K7*K8</f>
        <v>1653</v>
      </c>
      <c r="L9" s="365">
        <f>L7*L8</f>
        <v>285.74663772139587</v>
      </c>
      <c r="M9" s="365">
        <v>330</v>
      </c>
      <c r="N9" s="366">
        <v>1405.2</v>
      </c>
      <c r="O9" s="342">
        <f>K9*0.5</f>
        <v>826.5</v>
      </c>
      <c r="P9" s="356"/>
      <c r="Q9" s="356"/>
      <c r="R9" s="355"/>
      <c r="S9" s="355"/>
      <c r="T9" s="356"/>
      <c r="U9" s="356"/>
      <c r="V9" s="356"/>
      <c r="W9" s="355"/>
      <c r="X9" s="356"/>
      <c r="Y9" s="443">
        <f>1864/29243*1000*0.02*400*12</f>
        <v>6119.2080155934764</v>
      </c>
      <c r="Z9" s="356"/>
      <c r="AA9" s="356"/>
      <c r="AB9" s="355"/>
      <c r="AC9" s="356"/>
      <c r="AD9" s="356"/>
      <c r="AE9" s="356"/>
      <c r="AF9" s="356"/>
      <c r="AG9" s="356"/>
      <c r="AH9" s="356"/>
      <c r="AI9" s="356"/>
      <c r="AJ9" s="356"/>
      <c r="AK9" s="356"/>
      <c r="AL9" s="356"/>
      <c r="AM9" s="356"/>
      <c r="AN9" s="356"/>
      <c r="AO9" s="356"/>
      <c r="AP9" s="356"/>
      <c r="AQ9" s="356"/>
      <c r="AR9" s="356"/>
      <c r="AS9" s="356"/>
      <c r="AT9" s="356"/>
      <c r="AU9" s="356"/>
      <c r="AV9" s="356"/>
      <c r="AW9" s="356"/>
      <c r="AY9" s="336"/>
      <c r="AZ9" s="336"/>
      <c r="BA9" s="350"/>
      <c r="BB9" s="341"/>
      <c r="BC9" s="341"/>
      <c r="BD9" s="341"/>
      <c r="BE9" s="341"/>
      <c r="BF9" s="341"/>
    </row>
    <row r="10" spans="1:58" s="342" customFormat="1" ht="69" hidden="1" customHeight="1">
      <c r="A10" s="367" t="s">
        <v>888</v>
      </c>
      <c r="B10" s="352"/>
      <c r="C10" s="352"/>
      <c r="D10" s="352"/>
      <c r="E10" s="353"/>
      <c r="F10" s="354"/>
      <c r="G10" s="354"/>
      <c r="H10" s="353"/>
      <c r="I10" s="354"/>
      <c r="J10" s="354"/>
      <c r="K10" s="368">
        <f>K9*K6</f>
        <v>18786280.995839998</v>
      </c>
      <c r="L10" s="368">
        <f>L9*L6</f>
        <v>3734222.7857345175</v>
      </c>
      <c r="M10" s="368"/>
      <c r="N10" s="355"/>
      <c r="O10" s="356"/>
      <c r="P10" s="356"/>
      <c r="Q10" s="356"/>
      <c r="R10" s="355"/>
      <c r="S10" s="355"/>
      <c r="T10" s="356"/>
      <c r="U10" s="356"/>
      <c r="V10" s="356"/>
      <c r="W10" s="355"/>
      <c r="X10" s="356"/>
      <c r="Y10" s="356"/>
      <c r="Z10" s="356"/>
      <c r="AA10" s="356"/>
      <c r="AB10" s="355"/>
      <c r="AC10" s="356"/>
      <c r="AD10" s="356"/>
      <c r="AE10" s="356"/>
      <c r="AF10" s="356"/>
      <c r="AG10" s="356"/>
      <c r="AH10" s="356"/>
      <c r="AI10" s="356"/>
      <c r="AJ10" s="356"/>
      <c r="AK10" s="356"/>
      <c r="AL10" s="356"/>
      <c r="AM10" s="356"/>
      <c r="AN10" s="356"/>
      <c r="AO10" s="356"/>
      <c r="AP10" s="356"/>
      <c r="AQ10" s="356"/>
      <c r="AR10" s="356"/>
      <c r="AS10" s="356"/>
      <c r="AT10" s="356"/>
      <c r="AU10" s="356"/>
      <c r="AV10" s="356"/>
      <c r="AW10" s="356"/>
      <c r="AY10" s="336"/>
      <c r="AZ10" s="336"/>
      <c r="BA10" s="350"/>
      <c r="BB10" s="341"/>
      <c r="BC10" s="341"/>
      <c r="BD10" s="341"/>
      <c r="BE10" s="341"/>
      <c r="BF10" s="341"/>
    </row>
    <row r="11" spans="1:58" s="342" customFormat="1" ht="69" customHeight="1">
      <c r="A11" s="367" t="s">
        <v>889</v>
      </c>
      <c r="B11" s="352"/>
      <c r="C11" s="352"/>
      <c r="D11" s="352"/>
      <c r="E11" s="353"/>
      <c r="F11" s="354"/>
      <c r="G11" s="354"/>
      <c r="H11" s="353"/>
      <c r="I11" s="354"/>
      <c r="J11" s="354"/>
      <c r="K11" s="368">
        <v>15000</v>
      </c>
      <c r="L11" s="368">
        <v>15000</v>
      </c>
      <c r="M11" s="368">
        <v>10000</v>
      </c>
      <c r="N11" s="355"/>
      <c r="O11" s="356"/>
      <c r="P11" s="356"/>
      <c r="Q11" s="356"/>
      <c r="R11" s="355"/>
      <c r="S11" s="355"/>
      <c r="T11" s="356"/>
      <c r="U11" s="356"/>
      <c r="V11" s="356"/>
      <c r="W11" s="355"/>
      <c r="X11" s="356"/>
      <c r="Y11" s="356"/>
      <c r="Z11" s="356"/>
      <c r="AA11" s="356"/>
      <c r="AB11" s="355"/>
      <c r="AC11" s="356"/>
      <c r="AD11" s="356"/>
      <c r="AE11" s="356"/>
      <c r="AF11" s="356"/>
      <c r="AG11" s="356"/>
      <c r="AH11" s="356"/>
      <c r="AI11" s="356"/>
      <c r="AJ11" s="356"/>
      <c r="AK11" s="356"/>
      <c r="AL11" s="356"/>
      <c r="AM11" s="356"/>
      <c r="AN11" s="356"/>
      <c r="AO11" s="356"/>
      <c r="AP11" s="356"/>
      <c r="AQ11" s="356"/>
      <c r="AR11" s="356"/>
      <c r="AS11" s="356"/>
      <c r="AT11" s="356"/>
      <c r="AU11" s="356"/>
      <c r="AV11" s="356"/>
      <c r="AW11" s="356"/>
      <c r="AY11" s="336"/>
      <c r="AZ11" s="336"/>
      <c r="BA11" s="350"/>
      <c r="BB11" s="341"/>
      <c r="BC11" s="341"/>
      <c r="BD11" s="341"/>
      <c r="BE11" s="341"/>
      <c r="BF11" s="341"/>
    </row>
    <row r="12" spans="1:58" s="371" customFormat="1" ht="99.75" customHeight="1">
      <c r="A12" s="359" t="s">
        <v>890</v>
      </c>
      <c r="B12" s="360"/>
      <c r="C12" s="352" t="s">
        <v>61</v>
      </c>
      <c r="D12" s="352"/>
      <c r="E12" s="353">
        <f>E6+E7</f>
        <v>6260.2789999999995</v>
      </c>
      <c r="F12" s="353">
        <f>F6+F7</f>
        <v>0</v>
      </c>
      <c r="G12" s="353">
        <f>G6+G7</f>
        <v>11602</v>
      </c>
      <c r="H12" s="361"/>
      <c r="I12" s="354"/>
      <c r="J12" s="354">
        <f>E12+G12</f>
        <v>17862.278999999999</v>
      </c>
      <c r="K12" s="368">
        <f>K9*K11</f>
        <v>24795000</v>
      </c>
      <c r="L12" s="368">
        <f>L9*L11</f>
        <v>4286199.565820938</v>
      </c>
      <c r="M12" s="368">
        <f>M9*M11</f>
        <v>3300000</v>
      </c>
      <c r="N12" s="369">
        <f>SUM(K12:M12)</f>
        <v>32381199.56582094</v>
      </c>
      <c r="O12" s="370">
        <f>O6+O7</f>
        <v>4039.5789999999997</v>
      </c>
      <c r="P12" s="370">
        <f>P6+P7</f>
        <v>7102</v>
      </c>
      <c r="Q12" s="370">
        <f>O12+P12</f>
        <v>11141.579</v>
      </c>
      <c r="R12" s="355"/>
      <c r="S12" s="369">
        <f>4286250/15000</f>
        <v>285.75</v>
      </c>
      <c r="T12" s="370">
        <f>SUM(T6:T7)</f>
        <v>1880</v>
      </c>
      <c r="U12" s="370">
        <f>SUM(U6:U7)</f>
        <v>4500</v>
      </c>
      <c r="V12" s="370">
        <f>SUM(T12:U12)</f>
        <v>6380</v>
      </c>
      <c r="W12" s="355"/>
      <c r="X12" s="370"/>
      <c r="Y12" s="370">
        <v>0</v>
      </c>
      <c r="Z12" s="370">
        <v>0</v>
      </c>
      <c r="AA12" s="370">
        <v>0</v>
      </c>
      <c r="AB12" s="355"/>
      <c r="AC12" s="370"/>
      <c r="AD12" s="370"/>
      <c r="AE12" s="370">
        <v>0</v>
      </c>
      <c r="AF12" s="370">
        <v>0</v>
      </c>
      <c r="AG12" s="370">
        <v>0</v>
      </c>
      <c r="AH12" s="370"/>
      <c r="AI12" s="370"/>
      <c r="AJ12" s="370"/>
      <c r="AK12" s="370"/>
      <c r="AL12" s="370"/>
      <c r="AM12" s="370"/>
      <c r="AN12" s="370"/>
      <c r="AO12" s="370"/>
      <c r="AP12" s="370"/>
      <c r="AQ12" s="370"/>
      <c r="AR12" s="370"/>
      <c r="AS12" s="370"/>
      <c r="AT12" s="370"/>
      <c r="AU12" s="370"/>
      <c r="AV12" s="370"/>
      <c r="AW12" s="370"/>
      <c r="AY12" s="372" t="s">
        <v>891</v>
      </c>
      <c r="AZ12" s="372">
        <f>BA12+BB12+BC12+BD12+BE12+BF12</f>
        <v>12479.388954999999</v>
      </c>
      <c r="BA12" s="373"/>
      <c r="BB12" s="374">
        <f>BB6-BB7</f>
        <v>7067.161004999999</v>
      </c>
      <c r="BC12" s="374">
        <f>BC6-BC7</f>
        <v>4140</v>
      </c>
      <c r="BD12" s="374">
        <f>BD6-BD7</f>
        <v>1090.6274999999998</v>
      </c>
      <c r="BE12" s="374">
        <f>BE6-BE7</f>
        <v>21.600450000000002</v>
      </c>
      <c r="BF12" s="374">
        <f>BF6-BF7</f>
        <v>160</v>
      </c>
    </row>
    <row r="13" spans="1:58" ht="52.5" customHeight="1">
      <c r="A13" s="329" t="s">
        <v>892</v>
      </c>
      <c r="B13" s="329"/>
      <c r="C13" s="329"/>
      <c r="D13" s="375"/>
      <c r="E13" s="329"/>
      <c r="F13" s="375"/>
      <c r="G13" s="329"/>
      <c r="H13" s="375"/>
      <c r="I13" s="375"/>
      <c r="J13" s="329"/>
      <c r="K13" s="329">
        <f>2025.22+207</f>
        <v>2232.2200000000003</v>
      </c>
      <c r="L13" s="329">
        <v>3694.08</v>
      </c>
      <c r="M13" s="329"/>
      <c r="N13" s="326">
        <v>3000</v>
      </c>
      <c r="O13" s="326">
        <v>800</v>
      </c>
    </row>
    <row r="14" spans="1:58">
      <c r="J14" s="377" t="e">
        <f>J5+#REF!</f>
        <v>#REF!</v>
      </c>
      <c r="K14" s="377"/>
      <c r="L14" s="377"/>
      <c r="M14" s="377"/>
    </row>
    <row r="15" spans="1:58">
      <c r="J15" s="377" t="e">
        <f>J14-#REF!-#REF!-#REF!-#REF!-#REF!</f>
        <v>#REF!</v>
      </c>
      <c r="K15" s="377"/>
      <c r="L15" s="377"/>
      <c r="M15" s="377"/>
    </row>
    <row r="16" spans="1:58">
      <c r="X16" s="377" t="e">
        <f>#REF!*0.2</f>
        <v>#REF!</v>
      </c>
    </row>
    <row r="18" spans="5:30">
      <c r="AD18" s="377"/>
    </row>
    <row r="19" spans="5:30">
      <c r="J19" s="377"/>
      <c r="K19" s="377"/>
      <c r="L19" s="377"/>
      <c r="M19" s="377"/>
      <c r="AD19" s="377"/>
    </row>
    <row r="21" spans="5:30">
      <c r="E21" s="326">
        <f>E5+G5</f>
        <v>9908.884</v>
      </c>
      <c r="J21" s="377"/>
      <c r="K21" s="377"/>
      <c r="L21" s="377"/>
      <c r="M21" s="377"/>
    </row>
    <row r="23" spans="5:30">
      <c r="J23" s="377"/>
      <c r="K23" s="377"/>
      <c r="L23" s="377"/>
      <c r="M23" s="377"/>
    </row>
  </sheetData>
  <mergeCells count="40">
    <mergeCell ref="A1:AJ1"/>
    <mergeCell ref="AK1:BF1"/>
    <mergeCell ref="A2:A5"/>
    <mergeCell ref="C2:C4"/>
    <mergeCell ref="E2:F4"/>
    <mergeCell ref="G2:G4"/>
    <mergeCell ref="K2:K4"/>
    <mergeCell ref="L2:L4"/>
    <mergeCell ref="M2:M4"/>
    <mergeCell ref="N2:R2"/>
    <mergeCell ref="AR2:AV2"/>
    <mergeCell ref="AW2:AW4"/>
    <mergeCell ref="AQ2:AQ4"/>
    <mergeCell ref="AZ3:AZ6"/>
    <mergeCell ref="BA3:BA4"/>
    <mergeCell ref="AM3:AM4"/>
    <mergeCell ref="AN3:AN4"/>
    <mergeCell ref="AO3:AO4"/>
    <mergeCell ref="AP3:AP4"/>
    <mergeCell ref="AL3:AL4"/>
    <mergeCell ref="S2:W2"/>
    <mergeCell ref="X2:AC2"/>
    <mergeCell ref="AD2:AH2"/>
    <mergeCell ref="AI2:AJ3"/>
    <mergeCell ref="AK2:AP2"/>
    <mergeCell ref="N3:R3"/>
    <mergeCell ref="S3:W3"/>
    <mergeCell ref="X3:AC3"/>
    <mergeCell ref="AD3:AH3"/>
    <mergeCell ref="AK3:AK4"/>
    <mergeCell ref="BB3:BE3"/>
    <mergeCell ref="BF3:BF4"/>
    <mergeCell ref="AR3:AR4"/>
    <mergeCell ref="AS3:AS4"/>
    <mergeCell ref="AT3:AT4"/>
    <mergeCell ref="AU3:AU4"/>
    <mergeCell ref="AV3:AV4"/>
    <mergeCell ref="AY3:AY6"/>
    <mergeCell ref="AX2:AX4"/>
    <mergeCell ref="AY2:BF2"/>
  </mergeCells>
  <pageMargins left="0.19685039370078741" right="0.19685039370078741" top="0" bottom="0" header="0.31496062992125984" footer="0.31496062992125984"/>
  <pageSetup paperSize="9" scale="65" pageOrder="overThenDown" orientation="portrait" horizontalDpi="300" verticalDpi="300" r:id="rId1"/>
  <colBreaks count="1" manualBreakCount="1">
    <brk id="36" max="1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3:U233"/>
  <sheetViews>
    <sheetView windowProtection="1" topLeftCell="X1" zoomScale="120" zoomScaleNormal="120" workbookViewId="0">
      <selection activeCell="AJ18" sqref="AJ18"/>
    </sheetView>
  </sheetViews>
  <sheetFormatPr defaultRowHeight="12.75"/>
  <cols>
    <col min="1" max="1" width="0" hidden="1" customWidth="1"/>
    <col min="2" max="2" width="34.5703125" hidden="1" customWidth="1"/>
    <col min="3" max="3" width="7.5703125" hidden="1" customWidth="1"/>
    <col min="4" max="4" width="14" hidden="1" customWidth="1"/>
    <col min="5" max="9" width="0" hidden="1" customWidth="1"/>
    <col min="10" max="10" width="7.28515625" hidden="1" customWidth="1"/>
    <col min="11" max="11" width="0" hidden="1" customWidth="1"/>
    <col min="12" max="12" width="13" hidden="1" customWidth="1"/>
    <col min="13" max="13" width="13.42578125" hidden="1" customWidth="1"/>
    <col min="14" max="14" width="13.5703125" hidden="1" customWidth="1"/>
    <col min="15" max="15" width="13.7109375" hidden="1" customWidth="1"/>
    <col min="16" max="16" width="14.5703125" hidden="1" customWidth="1"/>
    <col min="17" max="17" width="13.140625" hidden="1" customWidth="1"/>
    <col min="18" max="20" width="13.28515625" hidden="1" customWidth="1"/>
    <col min="21" max="21" width="13.42578125" hidden="1" customWidth="1"/>
    <col min="22" max="23" width="0" hidden="1" customWidth="1"/>
  </cols>
  <sheetData>
    <row r="3" spans="2:21" ht="15.75">
      <c r="B3" s="222"/>
    </row>
    <row r="4" spans="2:21" ht="16.5" thickBot="1">
      <c r="B4" s="223"/>
      <c r="I4" t="s">
        <v>652</v>
      </c>
      <c r="K4">
        <v>27280.799999999999</v>
      </c>
      <c r="L4" t="s">
        <v>653</v>
      </c>
      <c r="M4">
        <v>36631.980000000003</v>
      </c>
    </row>
    <row r="5" spans="2:21" ht="61.5" customHeight="1">
      <c r="B5" s="1108" t="s">
        <v>455</v>
      </c>
      <c r="C5" s="1108" t="s">
        <v>456</v>
      </c>
      <c r="D5" s="1108" t="s">
        <v>457</v>
      </c>
      <c r="E5" s="1111" t="s">
        <v>458</v>
      </c>
      <c r="F5" s="1112"/>
      <c r="G5" s="1108" t="s">
        <v>460</v>
      </c>
    </row>
    <row r="6" spans="2:21" ht="16.5" thickBot="1">
      <c r="B6" s="1109"/>
      <c r="C6" s="1109"/>
      <c r="D6" s="1109"/>
      <c r="E6" s="1113" t="s">
        <v>459</v>
      </c>
      <c r="F6" s="1114"/>
      <c r="G6" s="1109"/>
    </row>
    <row r="7" spans="2:21" ht="32.25" thickBot="1">
      <c r="B7" s="1110"/>
      <c r="C7" s="1110"/>
      <c r="D7" s="1110"/>
      <c r="E7" s="224" t="s">
        <v>461</v>
      </c>
      <c r="F7" s="224" t="s">
        <v>462</v>
      </c>
      <c r="G7" s="1110"/>
      <c r="M7" t="s">
        <v>380</v>
      </c>
      <c r="N7" t="s">
        <v>623</v>
      </c>
      <c r="O7" t="s">
        <v>372</v>
      </c>
      <c r="P7" t="s">
        <v>623</v>
      </c>
      <c r="Q7" t="s">
        <v>373</v>
      </c>
      <c r="R7" t="s">
        <v>623</v>
      </c>
      <c r="S7" t="s">
        <v>87</v>
      </c>
      <c r="T7" t="s">
        <v>623</v>
      </c>
      <c r="U7" s="237" t="s">
        <v>624</v>
      </c>
    </row>
    <row r="8" spans="2:21" ht="16.5" thickBot="1">
      <c r="B8" s="225" t="s">
        <v>463</v>
      </c>
      <c r="C8" s="224">
        <v>1</v>
      </c>
      <c r="D8" s="224">
        <v>27280.799999999999</v>
      </c>
      <c r="E8" s="224"/>
      <c r="F8" s="224"/>
      <c r="G8" s="224">
        <f>D8</f>
        <v>27280.799999999999</v>
      </c>
      <c r="M8">
        <f>D8*C8*2+M4</f>
        <v>91193.58</v>
      </c>
      <c r="N8">
        <f>F8*C8*3</f>
        <v>0</v>
      </c>
      <c r="O8">
        <f>M8+M4*3</f>
        <v>201089.52000000002</v>
      </c>
      <c r="P8">
        <f>F8*6*C8</f>
        <v>0</v>
      </c>
      <c r="Q8">
        <f>O8+M4*3</f>
        <v>310985.46000000002</v>
      </c>
      <c r="R8">
        <f>F8*C8*9</f>
        <v>0</v>
      </c>
      <c r="S8">
        <f>Q8+M4*3</f>
        <v>420881.4</v>
      </c>
      <c r="T8">
        <f>F8*12*C8</f>
        <v>0</v>
      </c>
      <c r="U8" s="237">
        <f>S8+T8</f>
        <v>420881.4</v>
      </c>
    </row>
    <row r="9" spans="2:21" ht="48" thickBot="1">
      <c r="B9" s="226" t="s">
        <v>464</v>
      </c>
      <c r="C9" s="224">
        <v>1</v>
      </c>
      <c r="D9" s="224">
        <v>19188</v>
      </c>
      <c r="E9" s="224"/>
      <c r="F9" s="224"/>
      <c r="G9" s="227">
        <v>19188</v>
      </c>
      <c r="M9">
        <f t="shared" ref="M9:M72" si="0">D9*C9*3</f>
        <v>57564</v>
      </c>
      <c r="N9">
        <f t="shared" ref="N9:N72" si="1">F9*C9*3</f>
        <v>0</v>
      </c>
      <c r="O9">
        <f t="shared" ref="O9:O72" si="2">D9*6*C9</f>
        <v>115128</v>
      </c>
      <c r="P9">
        <f t="shared" ref="P9:P72" si="3">F9*6*C9</f>
        <v>0</v>
      </c>
      <c r="Q9">
        <f t="shared" ref="Q9:Q72" si="4">D9*C9*9</f>
        <v>172692</v>
      </c>
      <c r="R9">
        <f t="shared" ref="R9:R72" si="5">F9*C9*9</f>
        <v>0</v>
      </c>
      <c r="S9">
        <f t="shared" ref="S9:S72" si="6">D9*12*C9</f>
        <v>230256</v>
      </c>
      <c r="T9">
        <f t="shared" ref="T9:T72" si="7">F9*12*C9</f>
        <v>0</v>
      </c>
      <c r="U9" s="237">
        <f t="shared" ref="U9:U72" si="8">S9+T9</f>
        <v>230256</v>
      </c>
    </row>
    <row r="10" spans="2:21" ht="32.25" thickBot="1">
      <c r="B10" s="226" t="s">
        <v>465</v>
      </c>
      <c r="C10" s="224">
        <v>1</v>
      </c>
      <c r="D10" s="224">
        <v>19188</v>
      </c>
      <c r="E10" s="224"/>
      <c r="F10" s="224"/>
      <c r="G10" s="227">
        <v>19188</v>
      </c>
      <c r="M10">
        <f t="shared" si="0"/>
        <v>57564</v>
      </c>
      <c r="N10">
        <f t="shared" si="1"/>
        <v>0</v>
      </c>
      <c r="O10">
        <f t="shared" si="2"/>
        <v>115128</v>
      </c>
      <c r="P10">
        <f t="shared" si="3"/>
        <v>0</v>
      </c>
      <c r="Q10">
        <f t="shared" si="4"/>
        <v>172692</v>
      </c>
      <c r="R10">
        <f t="shared" si="5"/>
        <v>0</v>
      </c>
      <c r="S10">
        <f t="shared" si="6"/>
        <v>230256</v>
      </c>
      <c r="T10">
        <f t="shared" si="7"/>
        <v>0</v>
      </c>
      <c r="U10" s="237">
        <f t="shared" si="8"/>
        <v>230256</v>
      </c>
    </row>
    <row r="11" spans="2:21" ht="16.5" thickBot="1">
      <c r="B11" s="225" t="s">
        <v>466</v>
      </c>
      <c r="C11" s="224">
        <v>1</v>
      </c>
      <c r="D11" s="224">
        <v>19188</v>
      </c>
      <c r="E11" s="224"/>
      <c r="F11" s="224"/>
      <c r="G11" s="227">
        <v>19188</v>
      </c>
      <c r="M11">
        <f t="shared" si="0"/>
        <v>57564</v>
      </c>
      <c r="N11">
        <f t="shared" si="1"/>
        <v>0</v>
      </c>
      <c r="O11">
        <f t="shared" si="2"/>
        <v>115128</v>
      </c>
      <c r="P11">
        <f t="shared" si="3"/>
        <v>0</v>
      </c>
      <c r="Q11">
        <f t="shared" si="4"/>
        <v>172692</v>
      </c>
      <c r="R11">
        <f t="shared" si="5"/>
        <v>0</v>
      </c>
      <c r="S11">
        <f t="shared" si="6"/>
        <v>230256</v>
      </c>
      <c r="T11">
        <f t="shared" si="7"/>
        <v>0</v>
      </c>
      <c r="U11" s="237">
        <f t="shared" si="8"/>
        <v>230256</v>
      </c>
    </row>
    <row r="12" spans="2:21" ht="16.5" thickBot="1">
      <c r="B12" s="225" t="s">
        <v>467</v>
      </c>
      <c r="C12" s="224">
        <v>1</v>
      </c>
      <c r="D12" s="224">
        <v>11513</v>
      </c>
      <c r="E12" s="224"/>
      <c r="F12" s="224"/>
      <c r="G12" s="227">
        <v>11513</v>
      </c>
      <c r="M12">
        <f t="shared" si="0"/>
        <v>34539</v>
      </c>
      <c r="N12">
        <f t="shared" si="1"/>
        <v>0</v>
      </c>
      <c r="O12">
        <f t="shared" si="2"/>
        <v>69078</v>
      </c>
      <c r="P12">
        <f t="shared" si="3"/>
        <v>0</v>
      </c>
      <c r="Q12">
        <f t="shared" si="4"/>
        <v>103617</v>
      </c>
      <c r="R12">
        <f t="shared" si="5"/>
        <v>0</v>
      </c>
      <c r="S12">
        <f t="shared" si="6"/>
        <v>138156</v>
      </c>
      <c r="T12">
        <f t="shared" si="7"/>
        <v>0</v>
      </c>
      <c r="U12" s="237">
        <f t="shared" si="8"/>
        <v>138156</v>
      </c>
    </row>
    <row r="13" spans="2:21" ht="32.25" thickBot="1">
      <c r="B13" s="226" t="s">
        <v>468</v>
      </c>
      <c r="C13" s="224">
        <v>1</v>
      </c>
      <c r="D13" s="224">
        <v>8722</v>
      </c>
      <c r="E13" s="224"/>
      <c r="F13" s="224"/>
      <c r="G13" s="227">
        <v>8722</v>
      </c>
      <c r="M13">
        <f t="shared" si="0"/>
        <v>26166</v>
      </c>
      <c r="N13">
        <f t="shared" si="1"/>
        <v>0</v>
      </c>
      <c r="O13">
        <f t="shared" si="2"/>
        <v>52332</v>
      </c>
      <c r="P13">
        <f t="shared" si="3"/>
        <v>0</v>
      </c>
      <c r="Q13">
        <f t="shared" si="4"/>
        <v>78498</v>
      </c>
      <c r="R13">
        <f t="shared" si="5"/>
        <v>0</v>
      </c>
      <c r="S13">
        <f t="shared" si="6"/>
        <v>104664</v>
      </c>
      <c r="T13">
        <f t="shared" si="7"/>
        <v>0</v>
      </c>
      <c r="U13" s="237">
        <f t="shared" si="8"/>
        <v>104664</v>
      </c>
    </row>
    <row r="14" spans="2:21" ht="32.25" thickBot="1">
      <c r="B14" s="226" t="s">
        <v>469</v>
      </c>
      <c r="C14" s="224">
        <v>1</v>
      </c>
      <c r="D14" s="224">
        <v>7326</v>
      </c>
      <c r="E14" s="224"/>
      <c r="F14" s="224"/>
      <c r="G14" s="227">
        <v>7326</v>
      </c>
      <c r="M14">
        <f t="shared" si="0"/>
        <v>21978</v>
      </c>
      <c r="N14">
        <f t="shared" si="1"/>
        <v>0</v>
      </c>
      <c r="O14">
        <f t="shared" si="2"/>
        <v>43956</v>
      </c>
      <c r="P14">
        <f t="shared" si="3"/>
        <v>0</v>
      </c>
      <c r="Q14">
        <f t="shared" si="4"/>
        <v>65934</v>
      </c>
      <c r="R14">
        <f t="shared" si="5"/>
        <v>0</v>
      </c>
      <c r="S14">
        <f t="shared" si="6"/>
        <v>87912</v>
      </c>
      <c r="T14">
        <f t="shared" si="7"/>
        <v>0</v>
      </c>
      <c r="U14" s="237">
        <f t="shared" si="8"/>
        <v>87912</v>
      </c>
    </row>
    <row r="15" spans="2:21" ht="16.5" thickBot="1">
      <c r="B15" s="225" t="s">
        <v>470</v>
      </c>
      <c r="C15" s="224">
        <v>1</v>
      </c>
      <c r="D15" s="224">
        <v>5233</v>
      </c>
      <c r="E15" s="224"/>
      <c r="F15" s="224"/>
      <c r="G15" s="227">
        <v>5233</v>
      </c>
      <c r="M15">
        <f t="shared" si="0"/>
        <v>15699</v>
      </c>
      <c r="N15">
        <f t="shared" si="1"/>
        <v>0</v>
      </c>
      <c r="O15">
        <f t="shared" si="2"/>
        <v>31398</v>
      </c>
      <c r="P15">
        <f t="shared" si="3"/>
        <v>0</v>
      </c>
      <c r="Q15">
        <f t="shared" si="4"/>
        <v>47097</v>
      </c>
      <c r="R15">
        <f t="shared" si="5"/>
        <v>0</v>
      </c>
      <c r="S15">
        <f t="shared" si="6"/>
        <v>62796</v>
      </c>
      <c r="T15">
        <f t="shared" si="7"/>
        <v>0</v>
      </c>
      <c r="U15" s="237">
        <f t="shared" si="8"/>
        <v>62796</v>
      </c>
    </row>
    <row r="16" spans="2:21" ht="32.25" thickBot="1">
      <c r="B16" s="225" t="s">
        <v>471</v>
      </c>
      <c r="C16" s="224">
        <v>1</v>
      </c>
      <c r="D16" s="224">
        <v>3066</v>
      </c>
      <c r="E16" s="224">
        <v>12</v>
      </c>
      <c r="F16" s="224">
        <v>368</v>
      </c>
      <c r="G16" s="227">
        <v>4090</v>
      </c>
      <c r="M16">
        <f t="shared" si="0"/>
        <v>9198</v>
      </c>
      <c r="N16">
        <f>F16*C16*3</f>
        <v>1104</v>
      </c>
      <c r="O16">
        <f t="shared" si="2"/>
        <v>18396</v>
      </c>
      <c r="P16">
        <f t="shared" si="3"/>
        <v>2208</v>
      </c>
      <c r="Q16">
        <f t="shared" si="4"/>
        <v>27594</v>
      </c>
      <c r="R16">
        <f t="shared" si="5"/>
        <v>3312</v>
      </c>
      <c r="S16">
        <f t="shared" si="6"/>
        <v>36792</v>
      </c>
      <c r="T16">
        <f t="shared" si="7"/>
        <v>4416</v>
      </c>
      <c r="U16" s="237">
        <f t="shared" si="8"/>
        <v>41208</v>
      </c>
    </row>
    <row r="17" spans="2:21" ht="16.5" thickBot="1">
      <c r="B17" s="225" t="s">
        <v>472</v>
      </c>
      <c r="C17" s="224">
        <v>9</v>
      </c>
      <c r="D17" s="224"/>
      <c r="E17" s="224"/>
      <c r="F17" s="224"/>
      <c r="G17" s="227">
        <v>94448</v>
      </c>
      <c r="M17">
        <f t="shared" si="0"/>
        <v>0</v>
      </c>
      <c r="N17">
        <f t="shared" si="1"/>
        <v>0</v>
      </c>
      <c r="O17">
        <f t="shared" si="2"/>
        <v>0</v>
      </c>
      <c r="P17">
        <f t="shared" si="3"/>
        <v>0</v>
      </c>
      <c r="Q17">
        <f t="shared" si="4"/>
        <v>0</v>
      </c>
      <c r="R17">
        <f t="shared" si="5"/>
        <v>0</v>
      </c>
      <c r="S17">
        <f t="shared" si="6"/>
        <v>0</v>
      </c>
      <c r="T17">
        <f t="shared" si="7"/>
        <v>0</v>
      </c>
      <c r="U17" s="237">
        <f t="shared" si="8"/>
        <v>0</v>
      </c>
    </row>
    <row r="18" spans="2:21" ht="16.5" thickBot="1">
      <c r="B18" s="228" t="s">
        <v>473</v>
      </c>
      <c r="M18">
        <f t="shared" si="0"/>
        <v>0</v>
      </c>
      <c r="N18">
        <f t="shared" si="1"/>
        <v>0</v>
      </c>
      <c r="O18">
        <f t="shared" si="2"/>
        <v>0</v>
      </c>
      <c r="P18">
        <f t="shared" si="3"/>
        <v>0</v>
      </c>
      <c r="Q18">
        <f t="shared" si="4"/>
        <v>0</v>
      </c>
      <c r="R18">
        <f t="shared" si="5"/>
        <v>0</v>
      </c>
      <c r="S18">
        <f t="shared" si="6"/>
        <v>0</v>
      </c>
      <c r="T18">
        <f t="shared" si="7"/>
        <v>0</v>
      </c>
      <c r="U18" s="237">
        <f t="shared" si="8"/>
        <v>0</v>
      </c>
    </row>
    <row r="19" spans="2:21" ht="16.5" thickBot="1">
      <c r="B19" s="229" t="s">
        <v>474</v>
      </c>
      <c r="C19" s="230">
        <v>1</v>
      </c>
      <c r="D19" s="230">
        <v>11000</v>
      </c>
      <c r="E19" s="230"/>
      <c r="F19" s="230"/>
      <c r="G19" s="230">
        <v>11000</v>
      </c>
      <c r="M19">
        <f t="shared" si="0"/>
        <v>33000</v>
      </c>
      <c r="N19">
        <f t="shared" si="1"/>
        <v>0</v>
      </c>
      <c r="O19">
        <f t="shared" si="2"/>
        <v>66000</v>
      </c>
      <c r="P19">
        <f t="shared" si="3"/>
        <v>0</v>
      </c>
      <c r="Q19">
        <f t="shared" si="4"/>
        <v>99000</v>
      </c>
      <c r="R19">
        <f t="shared" si="5"/>
        <v>0</v>
      </c>
      <c r="S19">
        <f t="shared" si="6"/>
        <v>132000</v>
      </c>
      <c r="T19">
        <f t="shared" si="7"/>
        <v>0</v>
      </c>
      <c r="U19" s="237">
        <f t="shared" si="8"/>
        <v>132000</v>
      </c>
    </row>
    <row r="20" spans="2:21" ht="16.5" thickBot="1">
      <c r="B20" s="225" t="s">
        <v>475</v>
      </c>
      <c r="C20" s="224">
        <v>1</v>
      </c>
      <c r="D20" s="224">
        <v>7000</v>
      </c>
      <c r="E20" s="224"/>
      <c r="F20" s="224"/>
      <c r="G20" s="224">
        <v>7000</v>
      </c>
      <c r="M20">
        <f t="shared" si="0"/>
        <v>21000</v>
      </c>
      <c r="N20">
        <f t="shared" si="1"/>
        <v>0</v>
      </c>
      <c r="O20">
        <f t="shared" si="2"/>
        <v>42000</v>
      </c>
      <c r="P20">
        <f t="shared" si="3"/>
        <v>0</v>
      </c>
      <c r="Q20">
        <f t="shared" si="4"/>
        <v>63000</v>
      </c>
      <c r="R20">
        <f t="shared" si="5"/>
        <v>0</v>
      </c>
      <c r="S20">
        <f t="shared" si="6"/>
        <v>84000</v>
      </c>
      <c r="T20">
        <f t="shared" si="7"/>
        <v>0</v>
      </c>
      <c r="U20" s="237">
        <f t="shared" si="8"/>
        <v>84000</v>
      </c>
    </row>
    <row r="21" spans="2:21" ht="16.5" thickBot="1">
      <c r="B21" s="225" t="s">
        <v>472</v>
      </c>
      <c r="C21" s="224">
        <v>2</v>
      </c>
      <c r="D21" s="224"/>
      <c r="E21" s="224"/>
      <c r="F21" s="224"/>
      <c r="G21" s="224">
        <v>18000</v>
      </c>
      <c r="M21">
        <f t="shared" si="0"/>
        <v>0</v>
      </c>
      <c r="N21">
        <f t="shared" si="1"/>
        <v>0</v>
      </c>
      <c r="O21">
        <f t="shared" si="2"/>
        <v>0</v>
      </c>
      <c r="P21">
        <f t="shared" si="3"/>
        <v>0</v>
      </c>
      <c r="Q21">
        <f t="shared" si="4"/>
        <v>0</v>
      </c>
      <c r="R21">
        <f t="shared" si="5"/>
        <v>0</v>
      </c>
      <c r="S21">
        <f t="shared" si="6"/>
        <v>0</v>
      </c>
      <c r="T21">
        <f t="shared" si="7"/>
        <v>0</v>
      </c>
      <c r="U21" s="237">
        <f t="shared" si="8"/>
        <v>0</v>
      </c>
    </row>
    <row r="22" spans="2:21" ht="32.25" thickBot="1">
      <c r="B22" s="228" t="s">
        <v>476</v>
      </c>
      <c r="M22">
        <f t="shared" si="0"/>
        <v>0</v>
      </c>
      <c r="N22">
        <f t="shared" si="1"/>
        <v>0</v>
      </c>
      <c r="O22">
        <f t="shared" si="2"/>
        <v>0</v>
      </c>
      <c r="P22">
        <f t="shared" si="3"/>
        <v>0</v>
      </c>
      <c r="Q22">
        <f t="shared" si="4"/>
        <v>0</v>
      </c>
      <c r="R22">
        <f t="shared" si="5"/>
        <v>0</v>
      </c>
      <c r="S22">
        <f t="shared" si="6"/>
        <v>0</v>
      </c>
      <c r="T22">
        <f t="shared" si="7"/>
        <v>0</v>
      </c>
      <c r="U22" s="237">
        <f t="shared" si="8"/>
        <v>0</v>
      </c>
    </row>
    <row r="23" spans="2:21" ht="16.5" thickBot="1">
      <c r="B23" s="229" t="s">
        <v>477</v>
      </c>
      <c r="C23" s="230">
        <v>1</v>
      </c>
      <c r="D23" s="230">
        <v>11000</v>
      </c>
      <c r="E23" s="231"/>
      <c r="F23" s="231"/>
      <c r="G23" s="230">
        <v>11000</v>
      </c>
      <c r="M23">
        <f t="shared" si="0"/>
        <v>33000</v>
      </c>
      <c r="N23">
        <f t="shared" si="1"/>
        <v>0</v>
      </c>
      <c r="O23">
        <f t="shared" si="2"/>
        <v>66000</v>
      </c>
      <c r="P23">
        <f t="shared" si="3"/>
        <v>0</v>
      </c>
      <c r="Q23">
        <f t="shared" si="4"/>
        <v>99000</v>
      </c>
      <c r="R23">
        <f t="shared" si="5"/>
        <v>0</v>
      </c>
      <c r="S23">
        <f t="shared" si="6"/>
        <v>132000</v>
      </c>
      <c r="T23">
        <f t="shared" si="7"/>
        <v>0</v>
      </c>
      <c r="U23" s="237">
        <f t="shared" si="8"/>
        <v>132000</v>
      </c>
    </row>
    <row r="24" spans="2:21" ht="16.5" thickBot="1">
      <c r="B24" s="225" t="s">
        <v>478</v>
      </c>
      <c r="C24" s="224">
        <v>1</v>
      </c>
      <c r="D24" s="224">
        <v>7675</v>
      </c>
      <c r="E24" s="224"/>
      <c r="F24" s="224"/>
      <c r="G24" s="224">
        <v>7675</v>
      </c>
      <c r="M24">
        <f t="shared" si="0"/>
        <v>23025</v>
      </c>
      <c r="N24">
        <f t="shared" si="1"/>
        <v>0</v>
      </c>
      <c r="O24">
        <f t="shared" si="2"/>
        <v>46050</v>
      </c>
      <c r="P24">
        <f t="shared" si="3"/>
        <v>0</v>
      </c>
      <c r="Q24">
        <f t="shared" si="4"/>
        <v>69075</v>
      </c>
      <c r="R24">
        <f t="shared" si="5"/>
        <v>0</v>
      </c>
      <c r="S24">
        <f t="shared" si="6"/>
        <v>92100</v>
      </c>
      <c r="T24">
        <f t="shared" si="7"/>
        <v>0</v>
      </c>
      <c r="U24" s="237">
        <f t="shared" si="8"/>
        <v>92100</v>
      </c>
    </row>
    <row r="25" spans="2:21" ht="48" thickBot="1">
      <c r="B25" s="225" t="s">
        <v>479</v>
      </c>
      <c r="C25" s="224">
        <v>1</v>
      </c>
      <c r="D25" s="224">
        <v>5233</v>
      </c>
      <c r="E25" s="224"/>
      <c r="F25" s="224"/>
      <c r="G25" s="224">
        <v>5233</v>
      </c>
      <c r="M25">
        <f t="shared" si="0"/>
        <v>15699</v>
      </c>
      <c r="N25">
        <f t="shared" si="1"/>
        <v>0</v>
      </c>
      <c r="O25">
        <f t="shared" si="2"/>
        <v>31398</v>
      </c>
      <c r="P25">
        <f t="shared" si="3"/>
        <v>0</v>
      </c>
      <c r="Q25">
        <f t="shared" si="4"/>
        <v>47097</v>
      </c>
      <c r="R25">
        <f t="shared" si="5"/>
        <v>0</v>
      </c>
      <c r="S25">
        <f t="shared" si="6"/>
        <v>62796</v>
      </c>
      <c r="T25">
        <f t="shared" si="7"/>
        <v>0</v>
      </c>
      <c r="U25" s="237">
        <f t="shared" si="8"/>
        <v>62796</v>
      </c>
    </row>
    <row r="26" spans="2:21" ht="16.5" thickBot="1">
      <c r="B26" s="225" t="s">
        <v>480</v>
      </c>
      <c r="C26" s="224">
        <v>1</v>
      </c>
      <c r="D26" s="224">
        <v>8500</v>
      </c>
      <c r="E26" s="224"/>
      <c r="F26" s="224"/>
      <c r="G26" s="224">
        <v>8500</v>
      </c>
      <c r="M26">
        <f t="shared" si="0"/>
        <v>25500</v>
      </c>
      <c r="N26">
        <f t="shared" si="1"/>
        <v>0</v>
      </c>
      <c r="O26">
        <f t="shared" si="2"/>
        <v>51000</v>
      </c>
      <c r="P26">
        <f t="shared" si="3"/>
        <v>0</v>
      </c>
      <c r="Q26">
        <f t="shared" si="4"/>
        <v>76500</v>
      </c>
      <c r="R26">
        <f t="shared" si="5"/>
        <v>0</v>
      </c>
      <c r="S26">
        <f t="shared" si="6"/>
        <v>102000</v>
      </c>
      <c r="T26">
        <f t="shared" si="7"/>
        <v>0</v>
      </c>
      <c r="U26" s="237">
        <f t="shared" si="8"/>
        <v>102000</v>
      </c>
    </row>
    <row r="27" spans="2:21" ht="16.5" thickBot="1">
      <c r="B27" s="225" t="s">
        <v>472</v>
      </c>
      <c r="C27" s="224">
        <v>4</v>
      </c>
      <c r="D27" s="224"/>
      <c r="E27" s="224"/>
      <c r="F27" s="224"/>
      <c r="G27" s="224">
        <v>32408</v>
      </c>
      <c r="M27">
        <f t="shared" si="0"/>
        <v>0</v>
      </c>
      <c r="N27">
        <f t="shared" si="1"/>
        <v>0</v>
      </c>
      <c r="O27">
        <f t="shared" si="2"/>
        <v>0</v>
      </c>
      <c r="P27">
        <f t="shared" si="3"/>
        <v>0</v>
      </c>
      <c r="Q27">
        <f t="shared" si="4"/>
        <v>0</v>
      </c>
      <c r="R27">
        <f t="shared" si="5"/>
        <v>0</v>
      </c>
      <c r="S27">
        <f t="shared" si="6"/>
        <v>0</v>
      </c>
      <c r="T27">
        <f t="shared" si="7"/>
        <v>0</v>
      </c>
      <c r="U27" s="237">
        <f t="shared" si="8"/>
        <v>0</v>
      </c>
    </row>
    <row r="28" spans="2:21" ht="32.25" thickBot="1">
      <c r="B28" s="223" t="s">
        <v>481</v>
      </c>
      <c r="M28">
        <f t="shared" si="0"/>
        <v>0</v>
      </c>
      <c r="N28">
        <f t="shared" si="1"/>
        <v>0</v>
      </c>
      <c r="O28">
        <f t="shared" si="2"/>
        <v>0</v>
      </c>
      <c r="P28">
        <f t="shared" si="3"/>
        <v>0</v>
      </c>
      <c r="Q28">
        <f t="shared" si="4"/>
        <v>0</v>
      </c>
      <c r="R28">
        <f t="shared" si="5"/>
        <v>0</v>
      </c>
      <c r="S28">
        <f t="shared" si="6"/>
        <v>0</v>
      </c>
      <c r="T28">
        <f t="shared" si="7"/>
        <v>0</v>
      </c>
      <c r="U28" s="237">
        <f t="shared" si="8"/>
        <v>0</v>
      </c>
    </row>
    <row r="29" spans="2:21" ht="16.5" thickBot="1">
      <c r="B29" s="229" t="s">
        <v>477</v>
      </c>
      <c r="C29" s="230">
        <v>1</v>
      </c>
      <c r="D29" s="230">
        <v>11000</v>
      </c>
      <c r="E29" s="230"/>
      <c r="F29" s="230"/>
      <c r="G29" s="230">
        <v>11000</v>
      </c>
      <c r="M29">
        <f t="shared" si="0"/>
        <v>33000</v>
      </c>
      <c r="N29">
        <f t="shared" si="1"/>
        <v>0</v>
      </c>
      <c r="O29">
        <f t="shared" si="2"/>
        <v>66000</v>
      </c>
      <c r="P29">
        <f t="shared" si="3"/>
        <v>0</v>
      </c>
      <c r="Q29">
        <f t="shared" si="4"/>
        <v>99000</v>
      </c>
      <c r="R29">
        <f t="shared" si="5"/>
        <v>0</v>
      </c>
      <c r="S29">
        <f t="shared" si="6"/>
        <v>132000</v>
      </c>
      <c r="T29">
        <f t="shared" si="7"/>
        <v>0</v>
      </c>
      <c r="U29" s="237">
        <f t="shared" si="8"/>
        <v>132000</v>
      </c>
    </row>
    <row r="30" spans="2:21" ht="32.25" thickBot="1">
      <c r="B30" s="226" t="s">
        <v>482</v>
      </c>
      <c r="C30" s="224">
        <v>1</v>
      </c>
      <c r="D30" s="224">
        <v>9943</v>
      </c>
      <c r="E30" s="224"/>
      <c r="F30" s="224"/>
      <c r="G30" s="224">
        <v>9943</v>
      </c>
      <c r="M30">
        <f t="shared" si="0"/>
        <v>29829</v>
      </c>
      <c r="N30">
        <f t="shared" si="1"/>
        <v>0</v>
      </c>
      <c r="O30">
        <f t="shared" si="2"/>
        <v>59658</v>
      </c>
      <c r="P30">
        <f t="shared" si="3"/>
        <v>0</v>
      </c>
      <c r="Q30">
        <f t="shared" si="4"/>
        <v>89487</v>
      </c>
      <c r="R30">
        <f t="shared" si="5"/>
        <v>0</v>
      </c>
      <c r="S30">
        <f t="shared" si="6"/>
        <v>119316</v>
      </c>
      <c r="T30">
        <f t="shared" si="7"/>
        <v>0</v>
      </c>
      <c r="U30" s="237">
        <f t="shared" si="8"/>
        <v>119316</v>
      </c>
    </row>
    <row r="31" spans="2:21" ht="16.5" thickBot="1">
      <c r="B31" s="225" t="s">
        <v>472</v>
      </c>
      <c r="C31" s="224">
        <v>2</v>
      </c>
      <c r="D31" s="224"/>
      <c r="E31" s="224"/>
      <c r="F31" s="224"/>
      <c r="G31" s="224">
        <v>20943</v>
      </c>
      <c r="M31">
        <f t="shared" si="0"/>
        <v>0</v>
      </c>
      <c r="N31">
        <f t="shared" si="1"/>
        <v>0</v>
      </c>
      <c r="O31">
        <f t="shared" si="2"/>
        <v>0</v>
      </c>
      <c r="P31">
        <f t="shared" si="3"/>
        <v>0</v>
      </c>
      <c r="Q31">
        <f t="shared" si="4"/>
        <v>0</v>
      </c>
      <c r="R31">
        <f t="shared" si="5"/>
        <v>0</v>
      </c>
      <c r="S31">
        <f t="shared" si="6"/>
        <v>0</v>
      </c>
      <c r="T31">
        <f t="shared" si="7"/>
        <v>0</v>
      </c>
      <c r="U31" s="237">
        <f t="shared" si="8"/>
        <v>0</v>
      </c>
    </row>
    <row r="32" spans="2:21" ht="16.5" thickBot="1">
      <c r="B32" s="228" t="s">
        <v>483</v>
      </c>
      <c r="M32">
        <f t="shared" si="0"/>
        <v>0</v>
      </c>
      <c r="N32">
        <f t="shared" si="1"/>
        <v>0</v>
      </c>
      <c r="O32">
        <f t="shared" si="2"/>
        <v>0</v>
      </c>
      <c r="P32">
        <f t="shared" si="3"/>
        <v>0</v>
      </c>
      <c r="Q32">
        <f t="shared" si="4"/>
        <v>0</v>
      </c>
      <c r="R32">
        <f t="shared" si="5"/>
        <v>0</v>
      </c>
      <c r="S32">
        <f t="shared" si="6"/>
        <v>0</v>
      </c>
      <c r="T32">
        <f t="shared" si="7"/>
        <v>0</v>
      </c>
      <c r="U32" s="237">
        <f t="shared" si="8"/>
        <v>0</v>
      </c>
    </row>
    <row r="33" spans="2:21" ht="16.5" thickBot="1">
      <c r="B33" s="229" t="s">
        <v>477</v>
      </c>
      <c r="C33" s="230">
        <v>1</v>
      </c>
      <c r="D33" s="230">
        <v>11000</v>
      </c>
      <c r="E33" s="230"/>
      <c r="F33" s="230"/>
      <c r="G33" s="230">
        <v>11000</v>
      </c>
      <c r="M33">
        <f t="shared" si="0"/>
        <v>33000</v>
      </c>
      <c r="N33">
        <f t="shared" si="1"/>
        <v>0</v>
      </c>
      <c r="O33">
        <f t="shared" si="2"/>
        <v>66000</v>
      </c>
      <c r="P33">
        <f t="shared" si="3"/>
        <v>0</v>
      </c>
      <c r="Q33">
        <f t="shared" si="4"/>
        <v>99000</v>
      </c>
      <c r="R33">
        <f t="shared" si="5"/>
        <v>0</v>
      </c>
      <c r="S33">
        <f t="shared" si="6"/>
        <v>132000</v>
      </c>
      <c r="T33">
        <f t="shared" si="7"/>
        <v>0</v>
      </c>
      <c r="U33" s="237">
        <f t="shared" si="8"/>
        <v>132000</v>
      </c>
    </row>
    <row r="34" spans="2:21" ht="16.5" thickBot="1">
      <c r="B34" s="225" t="s">
        <v>484</v>
      </c>
      <c r="C34" s="224">
        <v>1</v>
      </c>
      <c r="D34" s="224">
        <v>8500</v>
      </c>
      <c r="E34" s="224"/>
      <c r="F34" s="224"/>
      <c r="G34" s="224">
        <v>8500</v>
      </c>
      <c r="M34">
        <f t="shared" si="0"/>
        <v>25500</v>
      </c>
      <c r="N34">
        <f t="shared" si="1"/>
        <v>0</v>
      </c>
      <c r="O34">
        <f t="shared" si="2"/>
        <v>51000</v>
      </c>
      <c r="P34">
        <f t="shared" si="3"/>
        <v>0</v>
      </c>
      <c r="Q34">
        <f t="shared" si="4"/>
        <v>76500</v>
      </c>
      <c r="R34">
        <f t="shared" si="5"/>
        <v>0</v>
      </c>
      <c r="S34">
        <f t="shared" si="6"/>
        <v>102000</v>
      </c>
      <c r="T34">
        <f t="shared" si="7"/>
        <v>0</v>
      </c>
      <c r="U34" s="237">
        <f t="shared" si="8"/>
        <v>102000</v>
      </c>
    </row>
    <row r="35" spans="2:21" ht="16.5" thickBot="1">
      <c r="B35" s="225" t="s">
        <v>485</v>
      </c>
      <c r="C35" s="224">
        <v>3</v>
      </c>
      <c r="D35" s="224">
        <v>7802</v>
      </c>
      <c r="E35" s="224"/>
      <c r="F35" s="224"/>
      <c r="G35" s="224">
        <v>23406</v>
      </c>
      <c r="M35">
        <f t="shared" si="0"/>
        <v>70218</v>
      </c>
      <c r="N35">
        <f t="shared" si="1"/>
        <v>0</v>
      </c>
      <c r="O35">
        <f t="shared" si="2"/>
        <v>140436</v>
      </c>
      <c r="P35">
        <f t="shared" si="3"/>
        <v>0</v>
      </c>
      <c r="Q35">
        <f t="shared" si="4"/>
        <v>210654</v>
      </c>
      <c r="R35">
        <f t="shared" si="5"/>
        <v>0</v>
      </c>
      <c r="S35">
        <f t="shared" si="6"/>
        <v>280872</v>
      </c>
      <c r="T35">
        <f t="shared" si="7"/>
        <v>0</v>
      </c>
      <c r="U35" s="237">
        <f t="shared" si="8"/>
        <v>280872</v>
      </c>
    </row>
    <row r="36" spans="2:21" ht="32.25" thickBot="1">
      <c r="B36" s="226" t="s">
        <v>486</v>
      </c>
      <c r="C36" s="224">
        <v>1</v>
      </c>
      <c r="D36" s="224">
        <v>7802</v>
      </c>
      <c r="E36" s="224"/>
      <c r="F36" s="224"/>
      <c r="G36" s="224">
        <v>7802</v>
      </c>
      <c r="M36">
        <f t="shared" si="0"/>
        <v>23406</v>
      </c>
      <c r="N36">
        <f t="shared" si="1"/>
        <v>0</v>
      </c>
      <c r="O36">
        <f t="shared" si="2"/>
        <v>46812</v>
      </c>
      <c r="P36">
        <f t="shared" si="3"/>
        <v>0</v>
      </c>
      <c r="Q36">
        <f t="shared" si="4"/>
        <v>70218</v>
      </c>
      <c r="R36">
        <f t="shared" si="5"/>
        <v>0</v>
      </c>
      <c r="S36">
        <f t="shared" si="6"/>
        <v>93624</v>
      </c>
      <c r="T36">
        <f t="shared" si="7"/>
        <v>0</v>
      </c>
      <c r="U36" s="237">
        <f t="shared" si="8"/>
        <v>93624</v>
      </c>
    </row>
    <row r="37" spans="2:21" ht="16.5" thickBot="1">
      <c r="B37" s="225" t="s">
        <v>472</v>
      </c>
      <c r="C37" s="224">
        <v>6</v>
      </c>
      <c r="D37" s="224"/>
      <c r="E37" s="224"/>
      <c r="F37" s="224"/>
      <c r="G37" s="224">
        <v>50708</v>
      </c>
      <c r="M37">
        <f t="shared" si="0"/>
        <v>0</v>
      </c>
      <c r="N37">
        <f t="shared" si="1"/>
        <v>0</v>
      </c>
      <c r="O37">
        <f t="shared" si="2"/>
        <v>0</v>
      </c>
      <c r="P37">
        <f t="shared" si="3"/>
        <v>0</v>
      </c>
      <c r="Q37">
        <f t="shared" si="4"/>
        <v>0</v>
      </c>
      <c r="R37">
        <f t="shared" si="5"/>
        <v>0</v>
      </c>
      <c r="S37">
        <f t="shared" si="6"/>
        <v>0</v>
      </c>
      <c r="T37">
        <f t="shared" si="7"/>
        <v>0</v>
      </c>
      <c r="U37" s="237">
        <f t="shared" si="8"/>
        <v>0</v>
      </c>
    </row>
    <row r="38" spans="2:21" ht="16.5" thickBot="1">
      <c r="B38" s="228" t="s">
        <v>487</v>
      </c>
      <c r="M38">
        <f t="shared" si="0"/>
        <v>0</v>
      </c>
      <c r="N38">
        <f t="shared" si="1"/>
        <v>0</v>
      </c>
      <c r="O38">
        <f t="shared" si="2"/>
        <v>0</v>
      </c>
      <c r="P38">
        <f t="shared" si="3"/>
        <v>0</v>
      </c>
      <c r="Q38">
        <f t="shared" si="4"/>
        <v>0</v>
      </c>
      <c r="R38">
        <f t="shared" si="5"/>
        <v>0</v>
      </c>
      <c r="S38">
        <f t="shared" si="6"/>
        <v>0</v>
      </c>
      <c r="T38">
        <f t="shared" si="7"/>
        <v>0</v>
      </c>
      <c r="U38" s="237">
        <f t="shared" si="8"/>
        <v>0</v>
      </c>
    </row>
    <row r="39" spans="2:21" ht="16.5" thickBot="1">
      <c r="B39" s="229" t="s">
        <v>488</v>
      </c>
      <c r="C39" s="230">
        <v>1</v>
      </c>
      <c r="D39" s="230">
        <v>19188</v>
      </c>
      <c r="E39" s="230"/>
      <c r="F39" s="230"/>
      <c r="G39" s="232">
        <v>19188</v>
      </c>
      <c r="M39">
        <f t="shared" si="0"/>
        <v>57564</v>
      </c>
      <c r="N39">
        <f t="shared" si="1"/>
        <v>0</v>
      </c>
      <c r="O39">
        <f t="shared" si="2"/>
        <v>115128</v>
      </c>
      <c r="P39">
        <f t="shared" si="3"/>
        <v>0</v>
      </c>
      <c r="Q39">
        <f t="shared" si="4"/>
        <v>172692</v>
      </c>
      <c r="R39">
        <f t="shared" si="5"/>
        <v>0</v>
      </c>
      <c r="S39">
        <f t="shared" si="6"/>
        <v>230256</v>
      </c>
      <c r="T39">
        <f t="shared" si="7"/>
        <v>0</v>
      </c>
      <c r="U39" s="237">
        <f t="shared" si="8"/>
        <v>230256</v>
      </c>
    </row>
    <row r="40" spans="2:21" ht="16.5" thickBot="1">
      <c r="B40" s="225" t="s">
        <v>489</v>
      </c>
      <c r="C40" s="224">
        <v>1</v>
      </c>
      <c r="D40" s="224">
        <v>14130</v>
      </c>
      <c r="E40" s="224"/>
      <c r="F40" s="224"/>
      <c r="G40" s="224">
        <v>14130</v>
      </c>
      <c r="M40">
        <f t="shared" si="0"/>
        <v>42390</v>
      </c>
      <c r="N40">
        <f t="shared" si="1"/>
        <v>0</v>
      </c>
      <c r="O40">
        <f t="shared" si="2"/>
        <v>84780</v>
      </c>
      <c r="P40">
        <f t="shared" si="3"/>
        <v>0</v>
      </c>
      <c r="Q40">
        <f t="shared" si="4"/>
        <v>127170</v>
      </c>
      <c r="R40">
        <f t="shared" si="5"/>
        <v>0</v>
      </c>
      <c r="S40">
        <f t="shared" si="6"/>
        <v>169560</v>
      </c>
      <c r="T40">
        <f t="shared" si="7"/>
        <v>0</v>
      </c>
      <c r="U40" s="237">
        <f t="shared" si="8"/>
        <v>169560</v>
      </c>
    </row>
    <row r="41" spans="2:21" ht="16.5" thickBot="1">
      <c r="B41" s="225" t="s">
        <v>490</v>
      </c>
      <c r="C41" s="224">
        <v>4</v>
      </c>
      <c r="D41" s="224">
        <v>8500</v>
      </c>
      <c r="E41" s="224"/>
      <c r="F41" s="224"/>
      <c r="G41" s="224">
        <v>34000</v>
      </c>
      <c r="M41">
        <f t="shared" si="0"/>
        <v>102000</v>
      </c>
      <c r="N41">
        <f t="shared" si="1"/>
        <v>0</v>
      </c>
      <c r="O41">
        <f t="shared" si="2"/>
        <v>204000</v>
      </c>
      <c r="P41">
        <f t="shared" si="3"/>
        <v>0</v>
      </c>
      <c r="Q41">
        <f t="shared" si="4"/>
        <v>306000</v>
      </c>
      <c r="R41">
        <f t="shared" si="5"/>
        <v>0</v>
      </c>
      <c r="S41">
        <f t="shared" si="6"/>
        <v>408000</v>
      </c>
      <c r="T41">
        <f t="shared" si="7"/>
        <v>0</v>
      </c>
      <c r="U41" s="237">
        <f t="shared" si="8"/>
        <v>408000</v>
      </c>
    </row>
    <row r="42" spans="2:21" ht="16.5" thickBot="1">
      <c r="B42" s="225" t="s">
        <v>472</v>
      </c>
      <c r="C42" s="224">
        <v>6</v>
      </c>
      <c r="D42" s="224"/>
      <c r="E42" s="224"/>
      <c r="F42" s="224"/>
      <c r="G42" s="224">
        <v>67318</v>
      </c>
      <c r="M42">
        <f t="shared" si="0"/>
        <v>0</v>
      </c>
      <c r="N42">
        <f t="shared" si="1"/>
        <v>0</v>
      </c>
      <c r="O42">
        <f t="shared" si="2"/>
        <v>0</v>
      </c>
      <c r="P42">
        <f t="shared" si="3"/>
        <v>0</v>
      </c>
      <c r="Q42">
        <f t="shared" si="4"/>
        <v>0</v>
      </c>
      <c r="R42">
        <f t="shared" si="5"/>
        <v>0</v>
      </c>
      <c r="S42">
        <f t="shared" si="6"/>
        <v>0</v>
      </c>
      <c r="T42">
        <f t="shared" si="7"/>
        <v>0</v>
      </c>
      <c r="U42" s="237">
        <f t="shared" si="8"/>
        <v>0</v>
      </c>
    </row>
    <row r="43" spans="2:21" ht="32.25" thickBot="1">
      <c r="B43" s="228" t="s">
        <v>491</v>
      </c>
      <c r="M43">
        <f t="shared" si="0"/>
        <v>0</v>
      </c>
      <c r="N43">
        <f t="shared" si="1"/>
        <v>0</v>
      </c>
      <c r="O43">
        <f t="shared" si="2"/>
        <v>0</v>
      </c>
      <c r="P43">
        <f t="shared" si="3"/>
        <v>0</v>
      </c>
      <c r="Q43">
        <f t="shared" si="4"/>
        <v>0</v>
      </c>
      <c r="R43">
        <f t="shared" si="5"/>
        <v>0</v>
      </c>
      <c r="S43">
        <f t="shared" si="6"/>
        <v>0</v>
      </c>
      <c r="T43">
        <f t="shared" si="7"/>
        <v>0</v>
      </c>
      <c r="U43" s="237">
        <f t="shared" si="8"/>
        <v>0</v>
      </c>
    </row>
    <row r="44" spans="2:21" ht="16.5" thickBot="1">
      <c r="B44" s="229" t="s">
        <v>477</v>
      </c>
      <c r="C44" s="230">
        <v>1</v>
      </c>
      <c r="D44" s="230">
        <v>11000</v>
      </c>
      <c r="E44" s="230"/>
      <c r="F44" s="230"/>
      <c r="G44" s="230">
        <v>11000</v>
      </c>
      <c r="M44">
        <f t="shared" si="0"/>
        <v>33000</v>
      </c>
      <c r="N44">
        <f t="shared" si="1"/>
        <v>0</v>
      </c>
      <c r="O44">
        <f t="shared" si="2"/>
        <v>66000</v>
      </c>
      <c r="P44">
        <f t="shared" si="3"/>
        <v>0</v>
      </c>
      <c r="Q44">
        <f t="shared" si="4"/>
        <v>99000</v>
      </c>
      <c r="R44">
        <f t="shared" si="5"/>
        <v>0</v>
      </c>
      <c r="S44">
        <f t="shared" si="6"/>
        <v>132000</v>
      </c>
      <c r="T44">
        <f t="shared" si="7"/>
        <v>0</v>
      </c>
      <c r="U44" s="237">
        <f t="shared" si="8"/>
        <v>132000</v>
      </c>
    </row>
    <row r="45" spans="2:21" ht="16.5" thickBot="1">
      <c r="B45" s="225" t="s">
        <v>492</v>
      </c>
      <c r="C45" s="224">
        <v>1</v>
      </c>
      <c r="D45" s="224">
        <v>7800</v>
      </c>
      <c r="E45" s="224"/>
      <c r="F45" s="224"/>
      <c r="G45" s="224">
        <v>7800</v>
      </c>
      <c r="M45">
        <f t="shared" si="0"/>
        <v>23400</v>
      </c>
      <c r="N45">
        <f t="shared" si="1"/>
        <v>0</v>
      </c>
      <c r="O45">
        <f t="shared" si="2"/>
        <v>46800</v>
      </c>
      <c r="P45">
        <f t="shared" si="3"/>
        <v>0</v>
      </c>
      <c r="Q45">
        <f t="shared" si="4"/>
        <v>70200</v>
      </c>
      <c r="R45">
        <f t="shared" si="5"/>
        <v>0</v>
      </c>
      <c r="S45">
        <f t="shared" si="6"/>
        <v>93600</v>
      </c>
      <c r="T45">
        <f t="shared" si="7"/>
        <v>0</v>
      </c>
      <c r="U45" s="237">
        <f t="shared" si="8"/>
        <v>93600</v>
      </c>
    </row>
    <row r="46" spans="2:21" ht="16.5" thickBot="1">
      <c r="B46" s="225" t="s">
        <v>493</v>
      </c>
      <c r="C46" s="224">
        <v>2</v>
      </c>
      <c r="D46" s="224">
        <v>4954</v>
      </c>
      <c r="E46" s="224"/>
      <c r="F46" s="224"/>
      <c r="G46" s="224">
        <v>9908</v>
      </c>
      <c r="M46">
        <f t="shared" si="0"/>
        <v>29724</v>
      </c>
      <c r="N46">
        <f t="shared" si="1"/>
        <v>0</v>
      </c>
      <c r="O46">
        <f t="shared" si="2"/>
        <v>59448</v>
      </c>
      <c r="P46">
        <f t="shared" si="3"/>
        <v>0</v>
      </c>
      <c r="Q46">
        <f t="shared" si="4"/>
        <v>89172</v>
      </c>
      <c r="R46">
        <f t="shared" si="5"/>
        <v>0</v>
      </c>
      <c r="S46">
        <f t="shared" si="6"/>
        <v>118896</v>
      </c>
      <c r="T46">
        <f t="shared" si="7"/>
        <v>0</v>
      </c>
      <c r="U46" s="237">
        <f t="shared" si="8"/>
        <v>118896</v>
      </c>
    </row>
    <row r="47" spans="2:21" ht="16.5" thickBot="1">
      <c r="B47" s="225" t="s">
        <v>472</v>
      </c>
      <c r="C47" s="224">
        <v>4</v>
      </c>
      <c r="D47" s="224"/>
      <c r="E47" s="224"/>
      <c r="F47" s="224"/>
      <c r="G47" s="224">
        <v>28708</v>
      </c>
      <c r="M47">
        <f t="shared" si="0"/>
        <v>0</v>
      </c>
      <c r="N47">
        <f t="shared" si="1"/>
        <v>0</v>
      </c>
      <c r="O47">
        <f t="shared" si="2"/>
        <v>0</v>
      </c>
      <c r="P47">
        <f t="shared" si="3"/>
        <v>0</v>
      </c>
      <c r="Q47">
        <f t="shared" si="4"/>
        <v>0</v>
      </c>
      <c r="R47">
        <f t="shared" si="5"/>
        <v>0</v>
      </c>
      <c r="S47">
        <f t="shared" si="6"/>
        <v>0</v>
      </c>
      <c r="T47">
        <f t="shared" si="7"/>
        <v>0</v>
      </c>
      <c r="U47" s="237">
        <f t="shared" si="8"/>
        <v>0</v>
      </c>
    </row>
    <row r="48" spans="2:21" ht="32.25" thickBot="1">
      <c r="B48" s="228" t="s">
        <v>494</v>
      </c>
      <c r="M48">
        <f t="shared" si="0"/>
        <v>0</v>
      </c>
      <c r="N48">
        <f t="shared" si="1"/>
        <v>0</v>
      </c>
      <c r="O48">
        <f t="shared" si="2"/>
        <v>0</v>
      </c>
      <c r="P48">
        <f t="shared" si="3"/>
        <v>0</v>
      </c>
      <c r="Q48">
        <f t="shared" si="4"/>
        <v>0</v>
      </c>
      <c r="R48">
        <f t="shared" si="5"/>
        <v>0</v>
      </c>
      <c r="S48">
        <f t="shared" si="6"/>
        <v>0</v>
      </c>
      <c r="T48">
        <f t="shared" si="7"/>
        <v>0</v>
      </c>
      <c r="U48" s="237">
        <f t="shared" si="8"/>
        <v>0</v>
      </c>
    </row>
    <row r="49" spans="2:21" ht="16.5" thickBot="1">
      <c r="B49" s="229" t="s">
        <v>495</v>
      </c>
      <c r="C49" s="230">
        <v>1</v>
      </c>
      <c r="D49" s="230">
        <v>11101</v>
      </c>
      <c r="E49" s="230"/>
      <c r="F49" s="230"/>
      <c r="G49" s="230">
        <v>11101</v>
      </c>
      <c r="M49">
        <f t="shared" si="0"/>
        <v>33303</v>
      </c>
      <c r="N49">
        <f t="shared" si="1"/>
        <v>0</v>
      </c>
      <c r="O49">
        <f t="shared" si="2"/>
        <v>66606</v>
      </c>
      <c r="P49">
        <f t="shared" si="3"/>
        <v>0</v>
      </c>
      <c r="Q49">
        <f t="shared" si="4"/>
        <v>99909</v>
      </c>
      <c r="R49">
        <f t="shared" si="5"/>
        <v>0</v>
      </c>
      <c r="S49">
        <f t="shared" si="6"/>
        <v>133212</v>
      </c>
      <c r="T49">
        <f t="shared" si="7"/>
        <v>0</v>
      </c>
      <c r="U49" s="237">
        <f t="shared" si="8"/>
        <v>133212</v>
      </c>
    </row>
    <row r="50" spans="2:21" ht="32.25" thickBot="1">
      <c r="B50" s="225" t="s">
        <v>496</v>
      </c>
      <c r="C50" s="224">
        <v>1</v>
      </c>
      <c r="D50" s="224">
        <v>7800</v>
      </c>
      <c r="E50" s="224"/>
      <c r="F50" s="224"/>
      <c r="G50" s="224">
        <v>7800</v>
      </c>
      <c r="M50">
        <f t="shared" si="0"/>
        <v>23400</v>
      </c>
      <c r="N50">
        <f t="shared" si="1"/>
        <v>0</v>
      </c>
      <c r="O50">
        <f t="shared" si="2"/>
        <v>46800</v>
      </c>
      <c r="P50">
        <f t="shared" si="3"/>
        <v>0</v>
      </c>
      <c r="Q50">
        <f t="shared" si="4"/>
        <v>70200</v>
      </c>
      <c r="R50">
        <f t="shared" si="5"/>
        <v>0</v>
      </c>
      <c r="S50">
        <f t="shared" si="6"/>
        <v>93600</v>
      </c>
      <c r="T50">
        <f t="shared" si="7"/>
        <v>0</v>
      </c>
      <c r="U50" s="237">
        <f t="shared" si="8"/>
        <v>93600</v>
      </c>
    </row>
    <row r="51" spans="2:21" ht="16.5" thickBot="1">
      <c r="B51" s="225" t="s">
        <v>472</v>
      </c>
      <c r="C51" s="224">
        <v>2</v>
      </c>
      <c r="D51" s="224">
        <v>18333</v>
      </c>
      <c r="E51" s="224"/>
      <c r="F51" s="224"/>
      <c r="G51" s="224">
        <v>18901</v>
      </c>
      <c r="M51">
        <f t="shared" si="0"/>
        <v>109998</v>
      </c>
      <c r="N51">
        <f t="shared" si="1"/>
        <v>0</v>
      </c>
      <c r="O51">
        <f t="shared" si="2"/>
        <v>219996</v>
      </c>
      <c r="P51">
        <f t="shared" si="3"/>
        <v>0</v>
      </c>
      <c r="Q51">
        <f t="shared" si="4"/>
        <v>329994</v>
      </c>
      <c r="R51">
        <f t="shared" si="5"/>
        <v>0</v>
      </c>
      <c r="S51">
        <f t="shared" si="6"/>
        <v>439992</v>
      </c>
      <c r="T51">
        <f t="shared" si="7"/>
        <v>0</v>
      </c>
      <c r="U51" s="237">
        <f t="shared" si="8"/>
        <v>439992</v>
      </c>
    </row>
    <row r="52" spans="2:21" ht="16.5" thickBot="1">
      <c r="B52" s="228" t="s">
        <v>497</v>
      </c>
      <c r="M52">
        <f t="shared" si="0"/>
        <v>0</v>
      </c>
      <c r="N52">
        <f t="shared" si="1"/>
        <v>0</v>
      </c>
      <c r="O52">
        <f t="shared" si="2"/>
        <v>0</v>
      </c>
      <c r="P52">
        <f t="shared" si="3"/>
        <v>0</v>
      </c>
      <c r="Q52">
        <f t="shared" si="4"/>
        <v>0</v>
      </c>
      <c r="R52">
        <f t="shared" si="5"/>
        <v>0</v>
      </c>
      <c r="S52">
        <f t="shared" si="6"/>
        <v>0</v>
      </c>
      <c r="T52">
        <f t="shared" si="7"/>
        <v>0</v>
      </c>
      <c r="U52" s="237">
        <f t="shared" si="8"/>
        <v>0</v>
      </c>
    </row>
    <row r="53" spans="2:21" ht="16.5" thickBot="1">
      <c r="B53" s="229" t="s">
        <v>498</v>
      </c>
      <c r="C53" s="230">
        <v>1</v>
      </c>
      <c r="D53" s="230">
        <v>15000</v>
      </c>
      <c r="E53" s="230"/>
      <c r="F53" s="230"/>
      <c r="G53" s="230">
        <v>15000</v>
      </c>
      <c r="M53">
        <f t="shared" si="0"/>
        <v>45000</v>
      </c>
      <c r="N53">
        <f t="shared" si="1"/>
        <v>0</v>
      </c>
      <c r="O53">
        <f t="shared" si="2"/>
        <v>90000</v>
      </c>
      <c r="P53">
        <f t="shared" si="3"/>
        <v>0</v>
      </c>
      <c r="Q53">
        <f t="shared" si="4"/>
        <v>135000</v>
      </c>
      <c r="R53">
        <f t="shared" si="5"/>
        <v>0</v>
      </c>
      <c r="S53">
        <f t="shared" si="6"/>
        <v>180000</v>
      </c>
      <c r="T53">
        <f t="shared" si="7"/>
        <v>0</v>
      </c>
      <c r="U53" s="237">
        <f t="shared" si="8"/>
        <v>180000</v>
      </c>
    </row>
    <row r="54" spans="2:21" ht="32.25" thickBot="1">
      <c r="B54" s="226" t="s">
        <v>499</v>
      </c>
      <c r="C54" s="224">
        <v>1</v>
      </c>
      <c r="D54" s="224">
        <v>11101</v>
      </c>
      <c r="E54" s="224"/>
      <c r="F54" s="224"/>
      <c r="G54" s="224">
        <v>11101</v>
      </c>
      <c r="M54">
        <f t="shared" si="0"/>
        <v>33303</v>
      </c>
      <c r="N54">
        <f t="shared" si="1"/>
        <v>0</v>
      </c>
      <c r="O54">
        <f t="shared" si="2"/>
        <v>66606</v>
      </c>
      <c r="P54">
        <f t="shared" si="3"/>
        <v>0</v>
      </c>
      <c r="Q54">
        <f t="shared" si="4"/>
        <v>99909</v>
      </c>
      <c r="R54">
        <f t="shared" si="5"/>
        <v>0</v>
      </c>
      <c r="S54">
        <f t="shared" si="6"/>
        <v>133212</v>
      </c>
      <c r="T54">
        <f t="shared" si="7"/>
        <v>0</v>
      </c>
      <c r="U54" s="237">
        <f t="shared" si="8"/>
        <v>133212</v>
      </c>
    </row>
    <row r="55" spans="2:21" ht="16.5" thickBot="1">
      <c r="B55" s="225" t="s">
        <v>500</v>
      </c>
      <c r="C55" s="224">
        <v>1</v>
      </c>
      <c r="D55" s="224">
        <v>11101</v>
      </c>
      <c r="E55" s="224"/>
      <c r="F55" s="224"/>
      <c r="G55" s="224">
        <v>11101</v>
      </c>
      <c r="M55">
        <f t="shared" si="0"/>
        <v>33303</v>
      </c>
      <c r="N55">
        <f t="shared" si="1"/>
        <v>0</v>
      </c>
      <c r="O55">
        <f t="shared" si="2"/>
        <v>66606</v>
      </c>
      <c r="P55">
        <f t="shared" si="3"/>
        <v>0</v>
      </c>
      <c r="Q55">
        <f t="shared" si="4"/>
        <v>99909</v>
      </c>
      <c r="R55">
        <f t="shared" si="5"/>
        <v>0</v>
      </c>
      <c r="S55">
        <f t="shared" si="6"/>
        <v>133212</v>
      </c>
      <c r="T55">
        <f t="shared" si="7"/>
        <v>0</v>
      </c>
      <c r="U55" s="237">
        <f t="shared" si="8"/>
        <v>133212</v>
      </c>
    </row>
    <row r="56" spans="2:21" ht="16.5" thickBot="1">
      <c r="B56" s="225" t="s">
        <v>501</v>
      </c>
      <c r="C56" s="224">
        <v>1</v>
      </c>
      <c r="D56" s="224">
        <v>8500</v>
      </c>
      <c r="E56" s="224"/>
      <c r="F56" s="224"/>
      <c r="G56" s="224">
        <v>8500</v>
      </c>
      <c r="M56">
        <f t="shared" si="0"/>
        <v>25500</v>
      </c>
      <c r="N56">
        <f t="shared" si="1"/>
        <v>0</v>
      </c>
      <c r="O56">
        <f t="shared" si="2"/>
        <v>51000</v>
      </c>
      <c r="P56">
        <f t="shared" si="3"/>
        <v>0</v>
      </c>
      <c r="Q56">
        <f t="shared" si="4"/>
        <v>76500</v>
      </c>
      <c r="R56">
        <f t="shared" si="5"/>
        <v>0</v>
      </c>
      <c r="S56">
        <f t="shared" si="6"/>
        <v>102000</v>
      </c>
      <c r="T56">
        <f t="shared" si="7"/>
        <v>0</v>
      </c>
      <c r="U56" s="237">
        <f t="shared" si="8"/>
        <v>102000</v>
      </c>
    </row>
    <row r="57" spans="2:21" ht="16.5" thickBot="1">
      <c r="B57" s="225" t="s">
        <v>502</v>
      </c>
      <c r="C57" s="224">
        <v>1</v>
      </c>
      <c r="D57" s="224">
        <v>10000</v>
      </c>
      <c r="E57" s="224"/>
      <c r="F57" s="224"/>
      <c r="G57" s="224">
        <v>10000</v>
      </c>
      <c r="M57">
        <f t="shared" si="0"/>
        <v>30000</v>
      </c>
      <c r="N57">
        <f t="shared" si="1"/>
        <v>0</v>
      </c>
      <c r="O57">
        <f t="shared" si="2"/>
        <v>60000</v>
      </c>
      <c r="P57">
        <f t="shared" si="3"/>
        <v>0</v>
      </c>
      <c r="Q57">
        <f t="shared" si="4"/>
        <v>90000</v>
      </c>
      <c r="R57">
        <f t="shared" si="5"/>
        <v>0</v>
      </c>
      <c r="S57">
        <f t="shared" si="6"/>
        <v>120000</v>
      </c>
      <c r="T57">
        <f t="shared" si="7"/>
        <v>0</v>
      </c>
      <c r="U57" s="237">
        <f t="shared" si="8"/>
        <v>120000</v>
      </c>
    </row>
    <row r="58" spans="2:21" ht="32.25" thickBot="1">
      <c r="B58" s="226" t="s">
        <v>503</v>
      </c>
      <c r="C58" s="224">
        <v>1</v>
      </c>
      <c r="D58" s="224">
        <v>8500</v>
      </c>
      <c r="E58" s="224"/>
      <c r="F58" s="224"/>
      <c r="G58" s="224">
        <v>8500</v>
      </c>
      <c r="M58">
        <f t="shared" si="0"/>
        <v>25500</v>
      </c>
      <c r="N58">
        <f t="shared" si="1"/>
        <v>0</v>
      </c>
      <c r="O58">
        <f t="shared" si="2"/>
        <v>51000</v>
      </c>
      <c r="P58">
        <f t="shared" si="3"/>
        <v>0</v>
      </c>
      <c r="Q58">
        <f t="shared" si="4"/>
        <v>76500</v>
      </c>
      <c r="R58">
        <f t="shared" si="5"/>
        <v>0</v>
      </c>
      <c r="S58">
        <f t="shared" si="6"/>
        <v>102000</v>
      </c>
      <c r="T58">
        <f t="shared" si="7"/>
        <v>0</v>
      </c>
      <c r="U58" s="237">
        <f t="shared" si="8"/>
        <v>102000</v>
      </c>
    </row>
    <row r="59" spans="2:21" ht="16.5" thickBot="1">
      <c r="B59" s="225" t="s">
        <v>504</v>
      </c>
      <c r="C59" s="224">
        <v>1</v>
      </c>
      <c r="D59" s="224">
        <v>8722</v>
      </c>
      <c r="E59" s="224"/>
      <c r="F59" s="224"/>
      <c r="G59" s="224">
        <v>8722</v>
      </c>
      <c r="M59">
        <f t="shared" si="0"/>
        <v>26166</v>
      </c>
      <c r="N59">
        <f t="shared" si="1"/>
        <v>0</v>
      </c>
      <c r="O59">
        <f t="shared" si="2"/>
        <v>52332</v>
      </c>
      <c r="P59">
        <f t="shared" si="3"/>
        <v>0</v>
      </c>
      <c r="Q59">
        <f t="shared" si="4"/>
        <v>78498</v>
      </c>
      <c r="R59">
        <f t="shared" si="5"/>
        <v>0</v>
      </c>
      <c r="S59">
        <f t="shared" si="6"/>
        <v>104664</v>
      </c>
      <c r="T59">
        <f t="shared" si="7"/>
        <v>0</v>
      </c>
      <c r="U59" s="237">
        <f t="shared" si="8"/>
        <v>104664</v>
      </c>
    </row>
    <row r="60" spans="2:21" ht="16.5" thickBot="1">
      <c r="B60" s="225" t="s">
        <v>505</v>
      </c>
      <c r="C60" s="224">
        <v>1</v>
      </c>
      <c r="D60" s="224">
        <v>8722</v>
      </c>
      <c r="E60" s="224"/>
      <c r="F60" s="224"/>
      <c r="G60" s="224">
        <v>8722</v>
      </c>
      <c r="M60">
        <f t="shared" si="0"/>
        <v>26166</v>
      </c>
      <c r="N60">
        <f t="shared" si="1"/>
        <v>0</v>
      </c>
      <c r="O60">
        <f t="shared" si="2"/>
        <v>52332</v>
      </c>
      <c r="P60">
        <f t="shared" si="3"/>
        <v>0</v>
      </c>
      <c r="Q60">
        <f t="shared" si="4"/>
        <v>78498</v>
      </c>
      <c r="R60">
        <f t="shared" si="5"/>
        <v>0</v>
      </c>
      <c r="S60">
        <f t="shared" si="6"/>
        <v>104664</v>
      </c>
      <c r="T60">
        <f t="shared" si="7"/>
        <v>0</v>
      </c>
      <c r="U60" s="237">
        <f t="shared" si="8"/>
        <v>104664</v>
      </c>
    </row>
    <row r="61" spans="2:21" ht="16.5" thickBot="1">
      <c r="B61" s="225" t="s">
        <v>506</v>
      </c>
      <c r="C61" s="224">
        <v>1</v>
      </c>
      <c r="D61" s="224">
        <v>7675</v>
      </c>
      <c r="E61" s="224"/>
      <c r="F61" s="224"/>
      <c r="G61" s="224">
        <v>7675</v>
      </c>
      <c r="M61">
        <f t="shared" si="0"/>
        <v>23025</v>
      </c>
      <c r="N61">
        <f t="shared" si="1"/>
        <v>0</v>
      </c>
      <c r="O61">
        <f t="shared" si="2"/>
        <v>46050</v>
      </c>
      <c r="P61">
        <f t="shared" si="3"/>
        <v>0</v>
      </c>
      <c r="Q61">
        <f t="shared" si="4"/>
        <v>69075</v>
      </c>
      <c r="R61">
        <f t="shared" si="5"/>
        <v>0</v>
      </c>
      <c r="S61">
        <f t="shared" si="6"/>
        <v>92100</v>
      </c>
      <c r="T61">
        <f t="shared" si="7"/>
        <v>0</v>
      </c>
      <c r="U61" s="237">
        <f t="shared" si="8"/>
        <v>92100</v>
      </c>
    </row>
    <row r="62" spans="2:21" ht="16.5" thickBot="1">
      <c r="B62" s="225" t="s">
        <v>507</v>
      </c>
      <c r="C62" s="224">
        <v>3</v>
      </c>
      <c r="D62" s="224">
        <v>7326</v>
      </c>
      <c r="E62" s="224"/>
      <c r="F62" s="224"/>
      <c r="G62" s="224">
        <v>21978</v>
      </c>
      <c r="M62">
        <f t="shared" si="0"/>
        <v>65934</v>
      </c>
      <c r="N62">
        <f t="shared" si="1"/>
        <v>0</v>
      </c>
      <c r="O62">
        <f t="shared" si="2"/>
        <v>131868</v>
      </c>
      <c r="P62">
        <f t="shared" si="3"/>
        <v>0</v>
      </c>
      <c r="Q62">
        <f t="shared" si="4"/>
        <v>197802</v>
      </c>
      <c r="R62">
        <f t="shared" si="5"/>
        <v>0</v>
      </c>
      <c r="S62">
        <f t="shared" si="6"/>
        <v>263736</v>
      </c>
      <c r="T62">
        <f t="shared" si="7"/>
        <v>0</v>
      </c>
      <c r="U62" s="237">
        <f t="shared" si="8"/>
        <v>263736</v>
      </c>
    </row>
    <row r="63" spans="2:21" ht="16.5" thickBot="1">
      <c r="B63" s="225" t="s">
        <v>508</v>
      </c>
      <c r="C63" s="224">
        <v>3</v>
      </c>
      <c r="D63" s="224">
        <v>6326</v>
      </c>
      <c r="E63" s="224"/>
      <c r="F63" s="224"/>
      <c r="G63" s="224">
        <v>18978</v>
      </c>
      <c r="M63">
        <f t="shared" si="0"/>
        <v>56934</v>
      </c>
      <c r="N63">
        <f t="shared" si="1"/>
        <v>0</v>
      </c>
      <c r="O63">
        <f t="shared" si="2"/>
        <v>113868</v>
      </c>
      <c r="P63">
        <f t="shared" si="3"/>
        <v>0</v>
      </c>
      <c r="Q63">
        <f t="shared" si="4"/>
        <v>170802</v>
      </c>
      <c r="R63">
        <f t="shared" si="5"/>
        <v>0</v>
      </c>
      <c r="S63">
        <f t="shared" si="6"/>
        <v>227736</v>
      </c>
      <c r="T63">
        <f t="shared" si="7"/>
        <v>0</v>
      </c>
      <c r="U63" s="237">
        <f t="shared" si="8"/>
        <v>227736</v>
      </c>
    </row>
    <row r="64" spans="2:21" ht="16.5" thickBot="1">
      <c r="B64" s="225" t="s">
        <v>509</v>
      </c>
      <c r="C64" s="224">
        <v>3</v>
      </c>
      <c r="D64" s="224">
        <v>6326</v>
      </c>
      <c r="E64" s="224"/>
      <c r="F64" s="224"/>
      <c r="G64" s="224">
        <v>18978</v>
      </c>
      <c r="M64">
        <f t="shared" si="0"/>
        <v>56934</v>
      </c>
      <c r="N64">
        <f t="shared" si="1"/>
        <v>0</v>
      </c>
      <c r="O64">
        <f t="shared" si="2"/>
        <v>113868</v>
      </c>
      <c r="P64">
        <f t="shared" si="3"/>
        <v>0</v>
      </c>
      <c r="Q64">
        <f t="shared" si="4"/>
        <v>170802</v>
      </c>
      <c r="R64">
        <f t="shared" si="5"/>
        <v>0</v>
      </c>
      <c r="S64">
        <f t="shared" si="6"/>
        <v>227736</v>
      </c>
      <c r="T64">
        <f t="shared" si="7"/>
        <v>0</v>
      </c>
      <c r="U64" s="237">
        <f t="shared" si="8"/>
        <v>227736</v>
      </c>
    </row>
    <row r="65" spans="2:21" ht="16.5" thickBot="1">
      <c r="B65" s="236" t="s">
        <v>510</v>
      </c>
      <c r="C65" s="224">
        <v>1</v>
      </c>
      <c r="D65" s="224">
        <v>8722</v>
      </c>
      <c r="E65" s="224"/>
      <c r="F65" s="224"/>
      <c r="G65" s="224">
        <v>8722</v>
      </c>
      <c r="M65">
        <f t="shared" si="0"/>
        <v>26166</v>
      </c>
      <c r="N65">
        <f t="shared" si="1"/>
        <v>0</v>
      </c>
      <c r="O65">
        <f t="shared" si="2"/>
        <v>52332</v>
      </c>
      <c r="P65">
        <f t="shared" si="3"/>
        <v>0</v>
      </c>
      <c r="Q65">
        <f t="shared" si="4"/>
        <v>78498</v>
      </c>
      <c r="R65">
        <f t="shared" si="5"/>
        <v>0</v>
      </c>
      <c r="S65">
        <f t="shared" si="6"/>
        <v>104664</v>
      </c>
      <c r="T65">
        <f t="shared" si="7"/>
        <v>0</v>
      </c>
      <c r="U65" s="237">
        <f t="shared" si="8"/>
        <v>104664</v>
      </c>
    </row>
    <row r="66" spans="2:21" ht="16.5" thickBot="1">
      <c r="B66" s="225" t="s">
        <v>511</v>
      </c>
      <c r="C66" s="224">
        <v>19</v>
      </c>
      <c r="D66" s="224"/>
      <c r="E66" s="224"/>
      <c r="F66" s="224"/>
      <c r="G66" s="224">
        <v>157977</v>
      </c>
      <c r="M66">
        <f t="shared" si="0"/>
        <v>0</v>
      </c>
      <c r="N66">
        <f t="shared" si="1"/>
        <v>0</v>
      </c>
      <c r="O66">
        <f t="shared" si="2"/>
        <v>0</v>
      </c>
      <c r="P66">
        <f t="shared" si="3"/>
        <v>0</v>
      </c>
      <c r="Q66">
        <f t="shared" si="4"/>
        <v>0</v>
      </c>
      <c r="R66">
        <f t="shared" si="5"/>
        <v>0</v>
      </c>
      <c r="S66">
        <f t="shared" si="6"/>
        <v>0</v>
      </c>
      <c r="T66">
        <f t="shared" si="7"/>
        <v>0</v>
      </c>
      <c r="U66" s="237">
        <f t="shared" si="8"/>
        <v>0</v>
      </c>
    </row>
    <row r="67" spans="2:21" ht="32.25" thickBot="1">
      <c r="B67" s="228" t="s">
        <v>512</v>
      </c>
      <c r="M67">
        <f t="shared" si="0"/>
        <v>0</v>
      </c>
      <c r="N67">
        <f t="shared" si="1"/>
        <v>0</v>
      </c>
      <c r="O67">
        <f t="shared" si="2"/>
        <v>0</v>
      </c>
      <c r="P67">
        <f t="shared" si="3"/>
        <v>0</v>
      </c>
      <c r="Q67">
        <f t="shared" si="4"/>
        <v>0</v>
      </c>
      <c r="R67">
        <f t="shared" si="5"/>
        <v>0</v>
      </c>
      <c r="S67">
        <f t="shared" si="6"/>
        <v>0</v>
      </c>
      <c r="T67">
        <f t="shared" si="7"/>
        <v>0</v>
      </c>
      <c r="U67" s="237">
        <f t="shared" si="8"/>
        <v>0</v>
      </c>
    </row>
    <row r="68" spans="2:21" ht="16.5" thickBot="1">
      <c r="B68" s="229" t="s">
        <v>477</v>
      </c>
      <c r="C68" s="230">
        <v>1</v>
      </c>
      <c r="D68" s="230">
        <v>11000</v>
      </c>
      <c r="E68" s="230"/>
      <c r="F68" s="230"/>
      <c r="G68" s="230">
        <v>11000</v>
      </c>
      <c r="M68">
        <f t="shared" si="0"/>
        <v>33000</v>
      </c>
      <c r="N68">
        <f t="shared" si="1"/>
        <v>0</v>
      </c>
      <c r="O68">
        <f t="shared" si="2"/>
        <v>66000</v>
      </c>
      <c r="P68">
        <f t="shared" si="3"/>
        <v>0</v>
      </c>
      <c r="Q68">
        <f t="shared" si="4"/>
        <v>99000</v>
      </c>
      <c r="R68">
        <f t="shared" si="5"/>
        <v>0</v>
      </c>
      <c r="S68">
        <f t="shared" si="6"/>
        <v>132000</v>
      </c>
      <c r="T68">
        <f t="shared" si="7"/>
        <v>0</v>
      </c>
      <c r="U68" s="237">
        <f t="shared" si="8"/>
        <v>132000</v>
      </c>
    </row>
    <row r="69" spans="2:21" ht="16.5" thickBot="1">
      <c r="B69" s="225" t="s">
        <v>513</v>
      </c>
      <c r="C69" s="224">
        <v>1</v>
      </c>
      <c r="D69" s="224">
        <v>8500</v>
      </c>
      <c r="E69" s="224"/>
      <c r="F69" s="224"/>
      <c r="G69" s="224">
        <v>8500</v>
      </c>
      <c r="M69">
        <f t="shared" si="0"/>
        <v>25500</v>
      </c>
      <c r="N69">
        <f t="shared" si="1"/>
        <v>0</v>
      </c>
      <c r="O69">
        <f t="shared" si="2"/>
        <v>51000</v>
      </c>
      <c r="P69">
        <f t="shared" si="3"/>
        <v>0</v>
      </c>
      <c r="Q69">
        <f t="shared" si="4"/>
        <v>76500</v>
      </c>
      <c r="R69">
        <f t="shared" si="5"/>
        <v>0</v>
      </c>
      <c r="S69">
        <f t="shared" si="6"/>
        <v>102000</v>
      </c>
      <c r="T69">
        <f t="shared" si="7"/>
        <v>0</v>
      </c>
      <c r="U69" s="237">
        <f t="shared" si="8"/>
        <v>102000</v>
      </c>
    </row>
    <row r="70" spans="2:21" ht="16.5" thickBot="1">
      <c r="B70" s="225" t="s">
        <v>514</v>
      </c>
      <c r="C70" s="224">
        <v>1</v>
      </c>
      <c r="D70" s="224">
        <v>8500</v>
      </c>
      <c r="E70" s="224"/>
      <c r="F70" s="224"/>
      <c r="G70" s="224">
        <v>8500</v>
      </c>
      <c r="M70">
        <f t="shared" si="0"/>
        <v>25500</v>
      </c>
      <c r="N70">
        <f t="shared" si="1"/>
        <v>0</v>
      </c>
      <c r="O70">
        <f t="shared" si="2"/>
        <v>51000</v>
      </c>
      <c r="P70">
        <f t="shared" si="3"/>
        <v>0</v>
      </c>
      <c r="Q70">
        <f t="shared" si="4"/>
        <v>76500</v>
      </c>
      <c r="R70">
        <f t="shared" si="5"/>
        <v>0</v>
      </c>
      <c r="S70">
        <f t="shared" si="6"/>
        <v>102000</v>
      </c>
      <c r="T70">
        <f t="shared" si="7"/>
        <v>0</v>
      </c>
      <c r="U70" s="237">
        <f t="shared" si="8"/>
        <v>102000</v>
      </c>
    </row>
    <row r="71" spans="2:21" ht="16.5" thickBot="1">
      <c r="B71" s="225" t="s">
        <v>515</v>
      </c>
      <c r="C71" s="224">
        <v>1</v>
      </c>
      <c r="D71" s="224">
        <v>7802</v>
      </c>
      <c r="E71" s="224"/>
      <c r="F71" s="224"/>
      <c r="G71" s="224">
        <v>7802</v>
      </c>
      <c r="M71">
        <f t="shared" si="0"/>
        <v>23406</v>
      </c>
      <c r="N71">
        <f t="shared" si="1"/>
        <v>0</v>
      </c>
      <c r="O71">
        <f t="shared" si="2"/>
        <v>46812</v>
      </c>
      <c r="P71">
        <f t="shared" si="3"/>
        <v>0</v>
      </c>
      <c r="Q71">
        <f t="shared" si="4"/>
        <v>70218</v>
      </c>
      <c r="R71">
        <f t="shared" si="5"/>
        <v>0</v>
      </c>
      <c r="S71">
        <f t="shared" si="6"/>
        <v>93624</v>
      </c>
      <c r="T71">
        <f t="shared" si="7"/>
        <v>0</v>
      </c>
      <c r="U71" s="237">
        <f t="shared" si="8"/>
        <v>93624</v>
      </c>
    </row>
    <row r="72" spans="2:21" ht="16.5" thickBot="1">
      <c r="B72" s="225" t="s">
        <v>472</v>
      </c>
      <c r="C72" s="224">
        <v>4</v>
      </c>
      <c r="D72" s="224"/>
      <c r="E72" s="224"/>
      <c r="F72" s="224"/>
      <c r="G72" s="224">
        <v>35802</v>
      </c>
      <c r="M72">
        <f t="shared" si="0"/>
        <v>0</v>
      </c>
      <c r="N72">
        <f t="shared" si="1"/>
        <v>0</v>
      </c>
      <c r="O72">
        <f t="shared" si="2"/>
        <v>0</v>
      </c>
      <c r="P72">
        <f t="shared" si="3"/>
        <v>0</v>
      </c>
      <c r="Q72">
        <f t="shared" si="4"/>
        <v>0</v>
      </c>
      <c r="R72">
        <f t="shared" si="5"/>
        <v>0</v>
      </c>
      <c r="S72">
        <f t="shared" si="6"/>
        <v>0</v>
      </c>
      <c r="T72">
        <f t="shared" si="7"/>
        <v>0</v>
      </c>
      <c r="U72" s="237">
        <f t="shared" si="8"/>
        <v>0</v>
      </c>
    </row>
    <row r="73" spans="2:21" ht="32.25" thickBot="1">
      <c r="B73" s="228" t="s">
        <v>516</v>
      </c>
      <c r="M73">
        <f t="shared" ref="M73:M80" si="9">D73*C73*3</f>
        <v>0</v>
      </c>
      <c r="N73">
        <f t="shared" ref="N73:N80" si="10">F73*C73*3</f>
        <v>0</v>
      </c>
      <c r="O73">
        <f t="shared" ref="O73:O80" si="11">D73*6*C73</f>
        <v>0</v>
      </c>
      <c r="P73">
        <f t="shared" ref="P73:P80" si="12">F73*6*C73</f>
        <v>0</v>
      </c>
      <c r="Q73">
        <f t="shared" ref="Q73:Q80" si="13">D73*C73*9</f>
        <v>0</v>
      </c>
      <c r="R73">
        <f t="shared" ref="R73:R80" si="14">F73*C73*9</f>
        <v>0</v>
      </c>
      <c r="S73">
        <f t="shared" ref="S73:S80" si="15">D73*12*C73</f>
        <v>0</v>
      </c>
      <c r="T73">
        <f t="shared" ref="T73:T80" si="16">F73*12*C73</f>
        <v>0</v>
      </c>
      <c r="U73" s="237">
        <f t="shared" ref="U73:U80" si="17">S73+T73</f>
        <v>0</v>
      </c>
    </row>
    <row r="74" spans="2:21" ht="16.5" thickBot="1">
      <c r="B74" s="229" t="s">
        <v>477</v>
      </c>
      <c r="C74" s="230">
        <v>1</v>
      </c>
      <c r="D74" s="230">
        <v>11000</v>
      </c>
      <c r="E74" s="230"/>
      <c r="F74" s="230"/>
      <c r="G74" s="230">
        <v>11000</v>
      </c>
      <c r="M74">
        <f t="shared" si="9"/>
        <v>33000</v>
      </c>
      <c r="N74">
        <f t="shared" si="10"/>
        <v>0</v>
      </c>
      <c r="O74">
        <f t="shared" si="11"/>
        <v>66000</v>
      </c>
      <c r="P74">
        <f t="shared" si="12"/>
        <v>0</v>
      </c>
      <c r="Q74">
        <f t="shared" si="13"/>
        <v>99000</v>
      </c>
      <c r="R74">
        <f t="shared" si="14"/>
        <v>0</v>
      </c>
      <c r="S74">
        <f t="shared" si="15"/>
        <v>132000</v>
      </c>
      <c r="T74">
        <f t="shared" si="16"/>
        <v>0</v>
      </c>
      <c r="U74" s="237">
        <f t="shared" si="17"/>
        <v>132000</v>
      </c>
    </row>
    <row r="75" spans="2:21" ht="16.5" thickBot="1">
      <c r="B75" s="225" t="s">
        <v>485</v>
      </c>
      <c r="C75" s="224">
        <v>3</v>
      </c>
      <c r="D75" s="224">
        <v>7802</v>
      </c>
      <c r="E75" s="224"/>
      <c r="F75" s="224"/>
      <c r="G75" s="224">
        <v>23406</v>
      </c>
      <c r="M75">
        <f t="shared" si="9"/>
        <v>70218</v>
      </c>
      <c r="N75">
        <f t="shared" si="10"/>
        <v>0</v>
      </c>
      <c r="O75">
        <f t="shared" si="11"/>
        <v>140436</v>
      </c>
      <c r="P75">
        <f t="shared" si="12"/>
        <v>0</v>
      </c>
      <c r="Q75">
        <f t="shared" si="13"/>
        <v>210654</v>
      </c>
      <c r="R75">
        <f t="shared" si="14"/>
        <v>0</v>
      </c>
      <c r="S75">
        <f t="shared" si="15"/>
        <v>280872</v>
      </c>
      <c r="T75">
        <f t="shared" si="16"/>
        <v>0</v>
      </c>
      <c r="U75" s="237">
        <f t="shared" si="17"/>
        <v>280872</v>
      </c>
    </row>
    <row r="76" spans="2:21" ht="16.5" thickBot="1">
      <c r="B76" s="225" t="s">
        <v>472</v>
      </c>
      <c r="C76" s="224">
        <v>4</v>
      </c>
      <c r="D76" s="224"/>
      <c r="E76" s="224"/>
      <c r="F76" s="224"/>
      <c r="G76" s="224">
        <v>34406</v>
      </c>
      <c r="M76">
        <f t="shared" si="9"/>
        <v>0</v>
      </c>
      <c r="N76">
        <f t="shared" si="10"/>
        <v>0</v>
      </c>
      <c r="O76">
        <f t="shared" si="11"/>
        <v>0</v>
      </c>
      <c r="P76">
        <f t="shared" si="12"/>
        <v>0</v>
      </c>
      <c r="Q76">
        <f t="shared" si="13"/>
        <v>0</v>
      </c>
      <c r="R76">
        <f t="shared" si="14"/>
        <v>0</v>
      </c>
      <c r="S76">
        <f t="shared" si="15"/>
        <v>0</v>
      </c>
      <c r="T76">
        <f t="shared" si="16"/>
        <v>0</v>
      </c>
      <c r="U76" s="237">
        <f t="shared" si="17"/>
        <v>0</v>
      </c>
    </row>
    <row r="77" spans="2:21" ht="32.25" thickBot="1">
      <c r="B77" s="228" t="s">
        <v>517</v>
      </c>
      <c r="M77">
        <f t="shared" si="9"/>
        <v>0</v>
      </c>
      <c r="N77">
        <f t="shared" si="10"/>
        <v>0</v>
      </c>
      <c r="O77">
        <f t="shared" si="11"/>
        <v>0</v>
      </c>
      <c r="P77">
        <f t="shared" si="12"/>
        <v>0</v>
      </c>
      <c r="Q77">
        <f t="shared" si="13"/>
        <v>0</v>
      </c>
      <c r="R77">
        <f t="shared" si="14"/>
        <v>0</v>
      </c>
      <c r="S77">
        <f t="shared" si="15"/>
        <v>0</v>
      </c>
      <c r="T77">
        <f t="shared" si="16"/>
        <v>0</v>
      </c>
      <c r="U77" s="237">
        <f t="shared" si="17"/>
        <v>0</v>
      </c>
    </row>
    <row r="78" spans="2:21" ht="16.5" thickBot="1">
      <c r="B78" s="229" t="s">
        <v>477</v>
      </c>
      <c r="C78" s="230">
        <v>1</v>
      </c>
      <c r="D78" s="230">
        <v>11000</v>
      </c>
      <c r="E78" s="230"/>
      <c r="F78" s="230"/>
      <c r="G78" s="230">
        <v>11000</v>
      </c>
      <c r="M78">
        <f t="shared" si="9"/>
        <v>33000</v>
      </c>
      <c r="N78">
        <f t="shared" si="10"/>
        <v>0</v>
      </c>
      <c r="O78">
        <f t="shared" si="11"/>
        <v>66000</v>
      </c>
      <c r="P78">
        <f t="shared" si="12"/>
        <v>0</v>
      </c>
      <c r="Q78">
        <f t="shared" si="13"/>
        <v>99000</v>
      </c>
      <c r="R78">
        <f t="shared" si="14"/>
        <v>0</v>
      </c>
      <c r="S78">
        <f t="shared" si="15"/>
        <v>132000</v>
      </c>
      <c r="T78">
        <f t="shared" si="16"/>
        <v>0</v>
      </c>
      <c r="U78" s="237">
        <f t="shared" si="17"/>
        <v>132000</v>
      </c>
    </row>
    <row r="79" spans="2:21" ht="16.5" thickBot="1">
      <c r="B79" s="225" t="s">
        <v>484</v>
      </c>
      <c r="C79" s="224">
        <v>3</v>
      </c>
      <c r="D79" s="224">
        <v>8500</v>
      </c>
      <c r="E79" s="224"/>
      <c r="F79" s="224"/>
      <c r="G79" s="224">
        <v>25500</v>
      </c>
      <c r="M79">
        <f t="shared" si="9"/>
        <v>76500</v>
      </c>
      <c r="N79">
        <f t="shared" si="10"/>
        <v>0</v>
      </c>
      <c r="O79">
        <f t="shared" si="11"/>
        <v>153000</v>
      </c>
      <c r="P79">
        <f t="shared" si="12"/>
        <v>0</v>
      </c>
      <c r="Q79">
        <f t="shared" si="13"/>
        <v>229500</v>
      </c>
      <c r="R79">
        <f t="shared" si="14"/>
        <v>0</v>
      </c>
      <c r="S79">
        <f t="shared" si="15"/>
        <v>306000</v>
      </c>
      <c r="T79">
        <f t="shared" si="16"/>
        <v>0</v>
      </c>
      <c r="U79" s="237">
        <f t="shared" si="17"/>
        <v>306000</v>
      </c>
    </row>
    <row r="80" spans="2:21" ht="16.5" thickBot="1">
      <c r="B80" s="225" t="s">
        <v>472</v>
      </c>
      <c r="C80" s="224">
        <v>4</v>
      </c>
      <c r="D80" s="224"/>
      <c r="E80" s="224"/>
      <c r="F80" s="224"/>
      <c r="G80" s="224">
        <v>36500</v>
      </c>
      <c r="M80">
        <f t="shared" si="9"/>
        <v>0</v>
      </c>
      <c r="N80">
        <f t="shared" si="10"/>
        <v>0</v>
      </c>
      <c r="O80">
        <f t="shared" si="11"/>
        <v>0</v>
      </c>
      <c r="P80">
        <f t="shared" si="12"/>
        <v>0</v>
      </c>
      <c r="Q80">
        <f t="shared" si="13"/>
        <v>0</v>
      </c>
      <c r="R80">
        <f t="shared" si="14"/>
        <v>0</v>
      </c>
      <c r="S80">
        <f t="shared" si="15"/>
        <v>0</v>
      </c>
      <c r="T80">
        <f t="shared" si="16"/>
        <v>0</v>
      </c>
      <c r="U80" s="237">
        <f t="shared" si="17"/>
        <v>0</v>
      </c>
    </row>
    <row r="81" spans="2:21" ht="15.75">
      <c r="B81" s="228"/>
      <c r="C81">
        <f>C17+C21+C27+C31+C37+C42+C47+C51+C66+C72+C76+C80</f>
        <v>66</v>
      </c>
      <c r="M81" s="238">
        <f>SUM(M8:M80)</f>
        <v>1986476.58</v>
      </c>
      <c r="N81" s="238">
        <f t="shared" ref="N81:T81" si="18">SUM(N8:N80)</f>
        <v>1104</v>
      </c>
      <c r="O81" s="238">
        <f t="shared" si="18"/>
        <v>3991655.52</v>
      </c>
      <c r="P81" s="238">
        <f t="shared" si="18"/>
        <v>2208</v>
      </c>
      <c r="Q81" s="238">
        <f t="shared" si="18"/>
        <v>5996834.46</v>
      </c>
      <c r="R81" s="238">
        <f t="shared" si="18"/>
        <v>3312</v>
      </c>
      <c r="S81" s="238">
        <f t="shared" si="18"/>
        <v>8002013.4000000004</v>
      </c>
      <c r="T81" s="238">
        <f t="shared" si="18"/>
        <v>4416</v>
      </c>
      <c r="U81" s="238">
        <f>SUM(U8:U80)</f>
        <v>8006429.4000000004</v>
      </c>
    </row>
    <row r="83" spans="2:21" ht="127.5">
      <c r="B83" s="233" t="s">
        <v>518</v>
      </c>
      <c r="C83" s="234" t="s">
        <v>519</v>
      </c>
      <c r="D83" s="233" t="s">
        <v>520</v>
      </c>
      <c r="E83" s="233" t="s">
        <v>521</v>
      </c>
      <c r="F83" s="233" t="s">
        <v>522</v>
      </c>
      <c r="G83" s="233" t="s">
        <v>523</v>
      </c>
      <c r="H83" s="233" t="s">
        <v>524</v>
      </c>
      <c r="I83" s="233" t="s">
        <v>525</v>
      </c>
      <c r="J83" s="233" t="s">
        <v>526</v>
      </c>
      <c r="K83" s="233" t="s">
        <v>527</v>
      </c>
      <c r="M83" t="s">
        <v>380</v>
      </c>
      <c r="N83" t="s">
        <v>623</v>
      </c>
      <c r="O83" t="s">
        <v>372</v>
      </c>
      <c r="P83" t="s">
        <v>623</v>
      </c>
      <c r="Q83" t="s">
        <v>373</v>
      </c>
      <c r="R83" t="s">
        <v>623</v>
      </c>
      <c r="S83" t="s">
        <v>87</v>
      </c>
      <c r="T83" t="s">
        <v>623</v>
      </c>
      <c r="U83" s="237" t="s">
        <v>624</v>
      </c>
    </row>
    <row r="84" spans="2:21">
      <c r="B84" s="234">
        <v>1</v>
      </c>
      <c r="C84" s="234">
        <v>5</v>
      </c>
      <c r="D84" s="234">
        <v>7</v>
      </c>
      <c r="E84" s="234">
        <v>8</v>
      </c>
      <c r="F84" s="234">
        <v>9</v>
      </c>
      <c r="G84" s="234">
        <v>10</v>
      </c>
      <c r="H84" s="234">
        <v>11</v>
      </c>
      <c r="I84" s="234">
        <v>12</v>
      </c>
      <c r="J84" s="234">
        <v>13</v>
      </c>
      <c r="K84" s="234">
        <v>14</v>
      </c>
      <c r="U84" s="237"/>
    </row>
    <row r="85" spans="2:21">
      <c r="B85" s="234"/>
      <c r="C85" s="234"/>
      <c r="D85" s="234"/>
      <c r="E85" s="234"/>
      <c r="F85" s="234"/>
      <c r="G85" s="234"/>
      <c r="H85" s="234"/>
      <c r="I85" s="234"/>
      <c r="J85" s="234"/>
      <c r="K85" s="234"/>
      <c r="U85" s="237"/>
    </row>
    <row r="86" spans="2:21">
      <c r="B86" s="234" t="s">
        <v>528</v>
      </c>
      <c r="C86" s="234"/>
      <c r="D86" s="234"/>
      <c r="E86" s="234"/>
      <c r="F86" s="234"/>
      <c r="G86" s="234"/>
      <c r="H86" s="234"/>
      <c r="I86" s="234"/>
      <c r="J86" s="234"/>
      <c r="K86" s="234"/>
      <c r="U86" s="237"/>
    </row>
    <row r="87" spans="2:21">
      <c r="B87" s="259" t="s">
        <v>529</v>
      </c>
      <c r="C87" s="234">
        <v>1</v>
      </c>
      <c r="D87" s="234">
        <v>21.01</v>
      </c>
      <c r="E87" s="234">
        <v>3489.34</v>
      </c>
      <c r="F87" s="234">
        <v>47</v>
      </c>
      <c r="G87" s="235">
        <v>1639.99</v>
      </c>
      <c r="H87" s="234">
        <v>100</v>
      </c>
      <c r="I87" s="234">
        <v>3489.34</v>
      </c>
      <c r="J87" s="234">
        <v>8618.67</v>
      </c>
      <c r="K87" s="234">
        <v>8618.67</v>
      </c>
      <c r="M87" s="239">
        <f>E87*3*C87</f>
        <v>10468.02</v>
      </c>
      <c r="N87" s="239">
        <f>(G87+I87)*C87*3</f>
        <v>15387.99</v>
      </c>
      <c r="O87" s="239">
        <f>E87*C87*6</f>
        <v>20936.04</v>
      </c>
      <c r="P87" s="239">
        <f>(G87+I87)*C87*6</f>
        <v>30775.98</v>
      </c>
      <c r="Q87" s="239">
        <f>E87*C87*9</f>
        <v>31404.06</v>
      </c>
      <c r="R87" s="239">
        <f>(G87+I87)*C87*9</f>
        <v>46163.97</v>
      </c>
      <c r="S87" s="239">
        <f>E87*C87*12</f>
        <v>41872.080000000002</v>
      </c>
      <c r="T87" s="239">
        <f>(G87+I87)*C87*12</f>
        <v>61551.96</v>
      </c>
      <c r="U87" s="238">
        <f>S87+T87</f>
        <v>103424.04000000001</v>
      </c>
    </row>
    <row r="88" spans="2:21">
      <c r="B88" s="259" t="s">
        <v>530</v>
      </c>
      <c r="C88" s="234">
        <v>11</v>
      </c>
      <c r="D88" s="234">
        <v>21.01</v>
      </c>
      <c r="E88" s="234">
        <v>3489.34</v>
      </c>
      <c r="F88" s="234">
        <v>12</v>
      </c>
      <c r="G88" s="234">
        <v>418.72</v>
      </c>
      <c r="H88" s="234">
        <v>100</v>
      </c>
      <c r="I88" s="234">
        <v>3489.34</v>
      </c>
      <c r="J88" s="234">
        <v>7397.4</v>
      </c>
      <c r="K88" s="234">
        <v>81371.429999999993</v>
      </c>
      <c r="M88" s="239">
        <f t="shared" ref="M88:M151" si="19">E88*3*C88</f>
        <v>115148.22</v>
      </c>
      <c r="N88" s="239">
        <f t="shared" ref="N88:N151" si="20">(G88+I88)*C88*3</f>
        <v>128965.98000000001</v>
      </c>
      <c r="O88" s="239">
        <f t="shared" ref="O88:O151" si="21">E88*C88*6</f>
        <v>230296.44000000003</v>
      </c>
      <c r="P88" s="239">
        <f t="shared" ref="P88:P151" si="22">(G88+I88)*C88*6</f>
        <v>257931.96000000002</v>
      </c>
      <c r="Q88" s="239">
        <f t="shared" ref="Q88:Q151" si="23">E88*C88*9</f>
        <v>345444.66000000003</v>
      </c>
      <c r="R88" s="239">
        <f t="shared" ref="R88:R151" si="24">(G88+I88)*C88*9</f>
        <v>386897.94000000006</v>
      </c>
      <c r="S88" s="239">
        <f t="shared" ref="S88:S151" si="25">E88*C88*12</f>
        <v>460592.88000000006</v>
      </c>
      <c r="T88" s="239">
        <f t="shared" ref="T88:T151" si="26">(G88+I88)*C88*12</f>
        <v>515863.92000000004</v>
      </c>
      <c r="U88" s="238">
        <f t="shared" ref="U88:U151" si="27">S88+T88</f>
        <v>976456.8</v>
      </c>
    </row>
    <row r="89" spans="2:21">
      <c r="B89" s="259" t="s">
        <v>531</v>
      </c>
      <c r="C89" s="234">
        <v>1</v>
      </c>
      <c r="D89" s="234">
        <v>21.01</v>
      </c>
      <c r="E89" s="234">
        <v>3489.34</v>
      </c>
      <c r="F89" s="234">
        <v>47</v>
      </c>
      <c r="G89" s="235">
        <v>1639.99</v>
      </c>
      <c r="H89" s="234">
        <v>100</v>
      </c>
      <c r="I89" s="234">
        <v>3489.34</v>
      </c>
      <c r="J89" s="234">
        <v>8618.67</v>
      </c>
      <c r="K89" s="234">
        <v>8618.67</v>
      </c>
      <c r="M89" s="239">
        <f t="shared" si="19"/>
        <v>10468.02</v>
      </c>
      <c r="N89" s="239">
        <f t="shared" si="20"/>
        <v>15387.99</v>
      </c>
      <c r="O89" s="239">
        <f t="shared" si="21"/>
        <v>20936.04</v>
      </c>
      <c r="P89" s="239">
        <f t="shared" si="22"/>
        <v>30775.98</v>
      </c>
      <c r="Q89" s="239">
        <f t="shared" si="23"/>
        <v>31404.06</v>
      </c>
      <c r="R89" s="239">
        <f t="shared" si="24"/>
        <v>46163.97</v>
      </c>
      <c r="S89" s="239">
        <f t="shared" si="25"/>
        <v>41872.080000000002</v>
      </c>
      <c r="T89" s="239">
        <f t="shared" si="26"/>
        <v>61551.96</v>
      </c>
      <c r="U89" s="238">
        <f t="shared" si="27"/>
        <v>103424.04000000001</v>
      </c>
    </row>
    <row r="90" spans="2:21">
      <c r="B90" s="259" t="s">
        <v>532</v>
      </c>
      <c r="C90" s="234">
        <v>22</v>
      </c>
      <c r="D90" s="234">
        <v>21.01</v>
      </c>
      <c r="E90" s="234">
        <v>3489.34</v>
      </c>
      <c r="F90" s="234">
        <v>12</v>
      </c>
      <c r="G90" s="234">
        <v>418.72</v>
      </c>
      <c r="H90" s="234">
        <v>100</v>
      </c>
      <c r="I90" s="234">
        <v>3489.34</v>
      </c>
      <c r="J90" s="234">
        <v>7397.4</v>
      </c>
      <c r="K90" s="234">
        <v>162742.85</v>
      </c>
      <c r="M90" s="239">
        <f t="shared" si="19"/>
        <v>230296.44</v>
      </c>
      <c r="N90" s="239">
        <f t="shared" si="20"/>
        <v>257931.96000000002</v>
      </c>
      <c r="O90" s="239">
        <f t="shared" si="21"/>
        <v>460592.88000000006</v>
      </c>
      <c r="P90" s="239">
        <f t="shared" si="22"/>
        <v>515863.92000000004</v>
      </c>
      <c r="Q90" s="239">
        <f t="shared" si="23"/>
        <v>690889.32000000007</v>
      </c>
      <c r="R90" s="239">
        <f t="shared" si="24"/>
        <v>773795.88000000012</v>
      </c>
      <c r="S90" s="239">
        <f t="shared" si="25"/>
        <v>921185.76000000013</v>
      </c>
      <c r="T90" s="239">
        <f t="shared" si="26"/>
        <v>1031727.8400000001</v>
      </c>
      <c r="U90" s="238">
        <f t="shared" si="27"/>
        <v>1952913.6</v>
      </c>
    </row>
    <row r="91" spans="2:21">
      <c r="B91" s="259" t="s">
        <v>533</v>
      </c>
      <c r="C91" s="234">
        <v>1</v>
      </c>
      <c r="D91" s="234">
        <v>21.01</v>
      </c>
      <c r="E91" s="234">
        <v>3489.34</v>
      </c>
      <c r="F91" s="234">
        <v>37</v>
      </c>
      <c r="G91" s="235">
        <v>1291.06</v>
      </c>
      <c r="H91" s="234">
        <v>100</v>
      </c>
      <c r="I91" s="234">
        <v>3489.34</v>
      </c>
      <c r="J91" s="234">
        <v>8269.74</v>
      </c>
      <c r="K91" s="234">
        <v>8269.74</v>
      </c>
      <c r="M91" s="239">
        <f t="shared" si="19"/>
        <v>10468.02</v>
      </c>
      <c r="N91" s="239">
        <f t="shared" si="20"/>
        <v>14341.199999999999</v>
      </c>
      <c r="O91" s="239">
        <f t="shared" si="21"/>
        <v>20936.04</v>
      </c>
      <c r="P91" s="239">
        <f t="shared" si="22"/>
        <v>28682.399999999998</v>
      </c>
      <c r="Q91" s="239">
        <f t="shared" si="23"/>
        <v>31404.06</v>
      </c>
      <c r="R91" s="239">
        <f t="shared" si="24"/>
        <v>43023.6</v>
      </c>
      <c r="S91" s="239">
        <f t="shared" si="25"/>
        <v>41872.080000000002</v>
      </c>
      <c r="T91" s="239">
        <f t="shared" si="26"/>
        <v>57364.799999999996</v>
      </c>
      <c r="U91" s="238">
        <f t="shared" si="27"/>
        <v>99236.88</v>
      </c>
    </row>
    <row r="92" spans="2:21">
      <c r="B92" s="259" t="s">
        <v>534</v>
      </c>
      <c r="C92" s="234">
        <v>8</v>
      </c>
      <c r="D92" s="234">
        <v>21.01</v>
      </c>
      <c r="E92" s="234">
        <v>3489.34</v>
      </c>
      <c r="F92" s="234">
        <v>12</v>
      </c>
      <c r="G92" s="234">
        <v>418.72</v>
      </c>
      <c r="H92" s="234">
        <v>100</v>
      </c>
      <c r="I92" s="234">
        <v>3489.34</v>
      </c>
      <c r="J92" s="234">
        <v>7397.4</v>
      </c>
      <c r="K92" s="234">
        <v>59179.22</v>
      </c>
      <c r="M92" s="239">
        <f t="shared" si="19"/>
        <v>83744.160000000003</v>
      </c>
      <c r="N92" s="239">
        <f t="shared" si="20"/>
        <v>93793.44</v>
      </c>
      <c r="O92" s="239">
        <f t="shared" si="21"/>
        <v>167488.32000000001</v>
      </c>
      <c r="P92" s="239">
        <f t="shared" si="22"/>
        <v>187586.88</v>
      </c>
      <c r="Q92" s="239">
        <f t="shared" si="23"/>
        <v>251232.48</v>
      </c>
      <c r="R92" s="239">
        <f t="shared" si="24"/>
        <v>281380.32</v>
      </c>
      <c r="S92" s="239">
        <f t="shared" si="25"/>
        <v>334976.64000000001</v>
      </c>
      <c r="T92" s="239">
        <f t="shared" si="26"/>
        <v>375173.76</v>
      </c>
      <c r="U92" s="238">
        <f t="shared" si="27"/>
        <v>710150.4</v>
      </c>
    </row>
    <row r="93" spans="2:21">
      <c r="B93" s="259" t="s">
        <v>535</v>
      </c>
      <c r="C93" s="234">
        <v>1</v>
      </c>
      <c r="D93" s="234">
        <v>21.01</v>
      </c>
      <c r="E93" s="234">
        <v>3489.34</v>
      </c>
      <c r="F93" s="234">
        <v>37</v>
      </c>
      <c r="G93" s="235">
        <v>1291.06</v>
      </c>
      <c r="H93" s="234">
        <v>100</v>
      </c>
      <c r="I93" s="234">
        <v>3489.34</v>
      </c>
      <c r="J93" s="234">
        <v>8269.74</v>
      </c>
      <c r="K93" s="234">
        <v>8269.74</v>
      </c>
      <c r="M93" s="239">
        <f t="shared" si="19"/>
        <v>10468.02</v>
      </c>
      <c r="N93" s="239">
        <f t="shared" si="20"/>
        <v>14341.199999999999</v>
      </c>
      <c r="O93" s="239">
        <f t="shared" si="21"/>
        <v>20936.04</v>
      </c>
      <c r="P93" s="239">
        <f t="shared" si="22"/>
        <v>28682.399999999998</v>
      </c>
      <c r="Q93" s="239">
        <f t="shared" si="23"/>
        <v>31404.06</v>
      </c>
      <c r="R93" s="239">
        <f t="shared" si="24"/>
        <v>43023.6</v>
      </c>
      <c r="S93" s="239">
        <f t="shared" si="25"/>
        <v>41872.080000000002</v>
      </c>
      <c r="T93" s="239">
        <f t="shared" si="26"/>
        <v>57364.799999999996</v>
      </c>
      <c r="U93" s="238">
        <f t="shared" si="27"/>
        <v>99236.88</v>
      </c>
    </row>
    <row r="94" spans="2:21">
      <c r="B94" s="259" t="s">
        <v>536</v>
      </c>
      <c r="C94" s="234">
        <v>9</v>
      </c>
      <c r="D94" s="234">
        <v>21.01</v>
      </c>
      <c r="E94" s="234">
        <v>3489.34</v>
      </c>
      <c r="F94" s="234">
        <v>12</v>
      </c>
      <c r="G94" s="234">
        <v>418.72</v>
      </c>
      <c r="H94" s="234">
        <v>100</v>
      </c>
      <c r="I94" s="234">
        <v>3489.34</v>
      </c>
      <c r="J94" s="234">
        <v>7397.4</v>
      </c>
      <c r="K94" s="234">
        <v>66576.62</v>
      </c>
      <c r="M94" s="239">
        <f t="shared" si="19"/>
        <v>94212.180000000008</v>
      </c>
      <c r="N94" s="239">
        <f t="shared" si="20"/>
        <v>105517.62</v>
      </c>
      <c r="O94" s="239">
        <f t="shared" si="21"/>
        <v>188424.36000000002</v>
      </c>
      <c r="P94" s="239">
        <f t="shared" si="22"/>
        <v>211035.24</v>
      </c>
      <c r="Q94" s="239">
        <f t="shared" si="23"/>
        <v>282636.54000000004</v>
      </c>
      <c r="R94" s="239">
        <f t="shared" si="24"/>
        <v>316552.86</v>
      </c>
      <c r="S94" s="239">
        <f t="shared" si="25"/>
        <v>376848.72000000003</v>
      </c>
      <c r="T94" s="239">
        <f t="shared" si="26"/>
        <v>422070.48</v>
      </c>
      <c r="U94" s="238">
        <f t="shared" si="27"/>
        <v>798919.2</v>
      </c>
    </row>
    <row r="95" spans="2:21">
      <c r="B95" s="259" t="s">
        <v>472</v>
      </c>
      <c r="C95" s="234">
        <v>54</v>
      </c>
      <c r="D95" s="234"/>
      <c r="E95" s="234"/>
      <c r="F95" s="234"/>
      <c r="G95" s="234"/>
      <c r="H95" s="234"/>
      <c r="I95" s="234"/>
      <c r="J95" s="234"/>
      <c r="K95" s="234">
        <v>403646.94</v>
      </c>
      <c r="M95" s="239">
        <f t="shared" si="19"/>
        <v>0</v>
      </c>
      <c r="N95" s="239">
        <f t="shared" si="20"/>
        <v>0</v>
      </c>
      <c r="O95" s="239">
        <f t="shared" si="21"/>
        <v>0</v>
      </c>
      <c r="P95" s="239">
        <f t="shared" si="22"/>
        <v>0</v>
      </c>
      <c r="Q95" s="239">
        <f t="shared" si="23"/>
        <v>0</v>
      </c>
      <c r="R95" s="239">
        <f t="shared" si="24"/>
        <v>0</v>
      </c>
      <c r="S95" s="239">
        <f t="shared" si="25"/>
        <v>0</v>
      </c>
      <c r="T95" s="239">
        <f t="shared" si="26"/>
        <v>0</v>
      </c>
      <c r="U95" s="238">
        <f t="shared" si="27"/>
        <v>0</v>
      </c>
    </row>
    <row r="96" spans="2:21">
      <c r="B96" s="259" t="s">
        <v>494</v>
      </c>
      <c r="C96" s="234"/>
      <c r="D96" s="234"/>
      <c r="E96" s="234"/>
      <c r="F96" s="234"/>
      <c r="G96" s="234"/>
      <c r="H96" s="234"/>
      <c r="I96" s="234"/>
      <c r="J96" s="234"/>
      <c r="K96" s="234"/>
      <c r="M96" s="239">
        <f t="shared" si="19"/>
        <v>0</v>
      </c>
      <c r="N96" s="239">
        <f t="shared" si="20"/>
        <v>0</v>
      </c>
      <c r="O96" s="239">
        <f t="shared" si="21"/>
        <v>0</v>
      </c>
      <c r="P96" s="239">
        <f t="shared" si="22"/>
        <v>0</v>
      </c>
      <c r="Q96" s="239">
        <f t="shared" si="23"/>
        <v>0</v>
      </c>
      <c r="R96" s="239">
        <f t="shared" si="24"/>
        <v>0</v>
      </c>
      <c r="S96" s="239">
        <f t="shared" si="25"/>
        <v>0</v>
      </c>
      <c r="T96" s="239">
        <f t="shared" si="26"/>
        <v>0</v>
      </c>
      <c r="U96" s="238">
        <f t="shared" si="27"/>
        <v>0</v>
      </c>
    </row>
    <row r="97" spans="2:21">
      <c r="B97" s="259" t="s">
        <v>537</v>
      </c>
      <c r="C97" s="234">
        <v>31</v>
      </c>
      <c r="D97" s="234">
        <v>21.01</v>
      </c>
      <c r="E97" s="234">
        <v>3489.34</v>
      </c>
      <c r="F97" s="234">
        <v>12</v>
      </c>
      <c r="G97" s="234">
        <v>418.72089599999998</v>
      </c>
      <c r="H97" s="234">
        <v>100</v>
      </c>
      <c r="I97" s="234">
        <v>3489.34</v>
      </c>
      <c r="J97" s="234">
        <v>7397.4</v>
      </c>
      <c r="K97" s="234">
        <v>229319.48</v>
      </c>
      <c r="M97" s="239">
        <f t="shared" si="19"/>
        <v>324508.62</v>
      </c>
      <c r="N97" s="239">
        <f t="shared" si="20"/>
        <v>363449.663328</v>
      </c>
      <c r="O97" s="239">
        <f t="shared" si="21"/>
        <v>649017.24</v>
      </c>
      <c r="P97" s="239">
        <f t="shared" si="22"/>
        <v>726899.32665599999</v>
      </c>
      <c r="Q97" s="239">
        <f t="shared" si="23"/>
        <v>973525.8600000001</v>
      </c>
      <c r="R97" s="239">
        <f t="shared" si="24"/>
        <v>1090348.9899840001</v>
      </c>
      <c r="S97" s="239">
        <f t="shared" si="25"/>
        <v>1298034.48</v>
      </c>
      <c r="T97" s="239">
        <f t="shared" si="26"/>
        <v>1453798.653312</v>
      </c>
      <c r="U97" s="238">
        <f t="shared" si="27"/>
        <v>2751833.133312</v>
      </c>
    </row>
    <row r="98" spans="2:21">
      <c r="B98" s="259" t="s">
        <v>538</v>
      </c>
      <c r="C98" s="234">
        <v>1</v>
      </c>
      <c r="D98" s="234">
        <v>21.01</v>
      </c>
      <c r="E98" s="234">
        <v>3489.34</v>
      </c>
      <c r="F98" s="234">
        <v>47</v>
      </c>
      <c r="G98" s="234">
        <v>1639.990176</v>
      </c>
      <c r="H98" s="234">
        <v>100</v>
      </c>
      <c r="I98" s="234">
        <v>3489.34</v>
      </c>
      <c r="J98" s="234">
        <v>8618.67</v>
      </c>
      <c r="K98" s="234">
        <v>8618.67</v>
      </c>
      <c r="M98" s="239">
        <f t="shared" si="19"/>
        <v>10468.02</v>
      </c>
      <c r="N98" s="239">
        <f t="shared" si="20"/>
        <v>15387.990528000002</v>
      </c>
      <c r="O98" s="239">
        <f t="shared" si="21"/>
        <v>20936.04</v>
      </c>
      <c r="P98" s="239">
        <f t="shared" si="22"/>
        <v>30775.981056000004</v>
      </c>
      <c r="Q98" s="239">
        <f t="shared" si="23"/>
        <v>31404.06</v>
      </c>
      <c r="R98" s="239">
        <f t="shared" si="24"/>
        <v>46163.971584000006</v>
      </c>
      <c r="S98" s="239">
        <f t="shared" si="25"/>
        <v>41872.080000000002</v>
      </c>
      <c r="T98" s="239">
        <f t="shared" si="26"/>
        <v>61551.962112000008</v>
      </c>
      <c r="U98" s="238">
        <f t="shared" si="27"/>
        <v>103424.04211200001</v>
      </c>
    </row>
    <row r="99" spans="2:21">
      <c r="B99" s="259" t="s">
        <v>539</v>
      </c>
      <c r="C99" s="234">
        <v>1</v>
      </c>
      <c r="D99" s="234">
        <v>25.21</v>
      </c>
      <c r="E99" s="234">
        <v>4186.88</v>
      </c>
      <c r="F99" s="234">
        <v>67</v>
      </c>
      <c r="G99" s="234">
        <v>2805.2074560000001</v>
      </c>
      <c r="H99" s="234">
        <v>100</v>
      </c>
      <c r="I99" s="234">
        <v>4186.88</v>
      </c>
      <c r="J99" s="234">
        <v>11178.96</v>
      </c>
      <c r="K99" s="234">
        <v>11178.96</v>
      </c>
      <c r="M99" s="239">
        <f t="shared" si="19"/>
        <v>12560.64</v>
      </c>
      <c r="N99" s="239">
        <f t="shared" si="20"/>
        <v>20976.262368</v>
      </c>
      <c r="O99" s="239">
        <f t="shared" si="21"/>
        <v>25121.279999999999</v>
      </c>
      <c r="P99" s="239">
        <f t="shared" si="22"/>
        <v>41952.524735999999</v>
      </c>
      <c r="Q99" s="239">
        <f t="shared" si="23"/>
        <v>37681.919999999998</v>
      </c>
      <c r="R99" s="239">
        <f t="shared" si="24"/>
        <v>62928.787104000003</v>
      </c>
      <c r="S99" s="239">
        <f t="shared" si="25"/>
        <v>50242.559999999998</v>
      </c>
      <c r="T99" s="239">
        <f t="shared" si="26"/>
        <v>83905.049471999999</v>
      </c>
      <c r="U99" s="238">
        <f t="shared" si="27"/>
        <v>134147.60947199998</v>
      </c>
    </row>
    <row r="100" spans="2:21">
      <c r="B100" s="259" t="s">
        <v>540</v>
      </c>
      <c r="C100" s="234">
        <v>1</v>
      </c>
      <c r="D100" s="234">
        <v>22.67</v>
      </c>
      <c r="E100" s="234">
        <v>3765.03</v>
      </c>
      <c r="F100" s="234">
        <v>20</v>
      </c>
      <c r="G100" s="234">
        <v>753.00671999999997</v>
      </c>
      <c r="H100" s="234">
        <v>100</v>
      </c>
      <c r="I100" s="234">
        <v>3765.03</v>
      </c>
      <c r="J100" s="234">
        <v>8283.07</v>
      </c>
      <c r="K100" s="234">
        <v>8283.07</v>
      </c>
      <c r="M100" s="239">
        <f t="shared" si="19"/>
        <v>11295.09</v>
      </c>
      <c r="N100" s="239">
        <f t="shared" si="20"/>
        <v>13554.11016</v>
      </c>
      <c r="O100" s="239">
        <f t="shared" si="21"/>
        <v>22590.18</v>
      </c>
      <c r="P100" s="239">
        <f t="shared" si="22"/>
        <v>27108.22032</v>
      </c>
      <c r="Q100" s="239">
        <f t="shared" si="23"/>
        <v>33885.270000000004</v>
      </c>
      <c r="R100" s="239">
        <f t="shared" si="24"/>
        <v>40662.330480000004</v>
      </c>
      <c r="S100" s="239">
        <f t="shared" si="25"/>
        <v>45180.36</v>
      </c>
      <c r="T100" s="239">
        <f t="shared" si="26"/>
        <v>54216.440640000001</v>
      </c>
      <c r="U100" s="238">
        <f t="shared" si="27"/>
        <v>99396.800640000001</v>
      </c>
    </row>
    <row r="101" spans="2:21">
      <c r="B101" s="259" t="s">
        <v>540</v>
      </c>
      <c r="C101" s="234">
        <v>13</v>
      </c>
      <c r="D101" s="234">
        <v>25.21</v>
      </c>
      <c r="E101" s="234">
        <v>4186.88</v>
      </c>
      <c r="F101" s="234">
        <v>32</v>
      </c>
      <c r="G101" s="234">
        <v>1339.8005760000001</v>
      </c>
      <c r="H101" s="234">
        <v>100</v>
      </c>
      <c r="I101" s="234">
        <v>4186.88</v>
      </c>
      <c r="J101" s="234">
        <v>9713.5499999999993</v>
      </c>
      <c r="K101" s="234">
        <v>126276.2</v>
      </c>
      <c r="M101" s="239">
        <f t="shared" si="19"/>
        <v>163288.32000000001</v>
      </c>
      <c r="N101" s="239">
        <f t="shared" si="20"/>
        <v>215540.54246400006</v>
      </c>
      <c r="O101" s="239">
        <f t="shared" si="21"/>
        <v>326576.64000000001</v>
      </c>
      <c r="P101" s="239">
        <f t="shared" si="22"/>
        <v>431081.08492800011</v>
      </c>
      <c r="Q101" s="239">
        <f t="shared" si="23"/>
        <v>489864.96000000002</v>
      </c>
      <c r="R101" s="239">
        <f t="shared" si="24"/>
        <v>646621.62739200017</v>
      </c>
      <c r="S101" s="239">
        <f t="shared" si="25"/>
        <v>653153.28000000003</v>
      </c>
      <c r="T101" s="239">
        <f t="shared" si="26"/>
        <v>862162.16985600023</v>
      </c>
      <c r="U101" s="238">
        <f t="shared" si="27"/>
        <v>1515315.4498560003</v>
      </c>
    </row>
    <row r="102" spans="2:21">
      <c r="B102" s="259" t="s">
        <v>541</v>
      </c>
      <c r="C102" s="234">
        <v>2</v>
      </c>
      <c r="D102" s="234">
        <v>22.67</v>
      </c>
      <c r="E102" s="234">
        <v>3765.03</v>
      </c>
      <c r="F102" s="234">
        <v>12</v>
      </c>
      <c r="G102" s="234">
        <v>451.80403200000001</v>
      </c>
      <c r="H102" s="234">
        <v>100</v>
      </c>
      <c r="I102" s="234">
        <v>3765.03</v>
      </c>
      <c r="J102" s="234">
        <v>7981.87</v>
      </c>
      <c r="K102" s="234">
        <v>15963.74</v>
      </c>
      <c r="M102" s="239">
        <f t="shared" si="19"/>
        <v>22590.18</v>
      </c>
      <c r="N102" s="239">
        <f t="shared" si="20"/>
        <v>25301.004192000004</v>
      </c>
      <c r="O102" s="239">
        <f t="shared" si="21"/>
        <v>45180.36</v>
      </c>
      <c r="P102" s="239">
        <f t="shared" si="22"/>
        <v>50602.008384000008</v>
      </c>
      <c r="Q102" s="239">
        <f t="shared" si="23"/>
        <v>67770.540000000008</v>
      </c>
      <c r="R102" s="239">
        <f t="shared" si="24"/>
        <v>75903.012576000008</v>
      </c>
      <c r="S102" s="239">
        <f t="shared" si="25"/>
        <v>90360.72</v>
      </c>
      <c r="T102" s="239">
        <f t="shared" si="26"/>
        <v>101204.01676800002</v>
      </c>
      <c r="U102" s="238">
        <f t="shared" si="27"/>
        <v>191564.736768</v>
      </c>
    </row>
    <row r="103" spans="2:21">
      <c r="B103" s="259" t="s">
        <v>541</v>
      </c>
      <c r="C103" s="234">
        <v>12</v>
      </c>
      <c r="D103" s="234">
        <v>25.21</v>
      </c>
      <c r="E103" s="234">
        <v>4186.88</v>
      </c>
      <c r="F103" s="234">
        <v>24</v>
      </c>
      <c r="G103" s="234">
        <v>1004.850432</v>
      </c>
      <c r="H103" s="234">
        <v>100</v>
      </c>
      <c r="I103" s="234">
        <v>4186.88</v>
      </c>
      <c r="J103" s="234">
        <v>9378.6</v>
      </c>
      <c r="K103" s="234">
        <v>112543.25</v>
      </c>
      <c r="M103" s="239">
        <f t="shared" si="19"/>
        <v>150727.67999999999</v>
      </c>
      <c r="N103" s="239">
        <f t="shared" si="20"/>
        <v>186902.295552</v>
      </c>
      <c r="O103" s="239">
        <f t="shared" si="21"/>
        <v>301455.35999999999</v>
      </c>
      <c r="P103" s="239">
        <f t="shared" si="22"/>
        <v>373804.59110399999</v>
      </c>
      <c r="Q103" s="239">
        <f t="shared" si="23"/>
        <v>452183.03999999998</v>
      </c>
      <c r="R103" s="239">
        <f t="shared" si="24"/>
        <v>560706.88665600005</v>
      </c>
      <c r="S103" s="239">
        <f t="shared" si="25"/>
        <v>602910.71999999997</v>
      </c>
      <c r="T103" s="239">
        <f t="shared" si="26"/>
        <v>747609.18220799998</v>
      </c>
      <c r="U103" s="238">
        <f t="shared" si="27"/>
        <v>1350519.902208</v>
      </c>
    </row>
    <row r="104" spans="2:21">
      <c r="B104" s="259" t="s">
        <v>542</v>
      </c>
      <c r="C104" s="234">
        <v>3</v>
      </c>
      <c r="D104" s="234">
        <v>32.15</v>
      </c>
      <c r="E104" s="234">
        <v>5339.47</v>
      </c>
      <c r="F104" s="234">
        <v>28</v>
      </c>
      <c r="G104" s="234">
        <v>1495.05216</v>
      </c>
      <c r="H104" s="234">
        <v>50</v>
      </c>
      <c r="I104" s="234">
        <v>2669.74</v>
      </c>
      <c r="J104" s="234">
        <v>9504.26</v>
      </c>
      <c r="K104" s="234">
        <v>28512.78</v>
      </c>
      <c r="M104" s="239">
        <f t="shared" si="19"/>
        <v>48055.229999999996</v>
      </c>
      <c r="N104" s="239">
        <f t="shared" si="20"/>
        <v>37483.129439999997</v>
      </c>
      <c r="O104" s="239">
        <f t="shared" si="21"/>
        <v>96110.459999999992</v>
      </c>
      <c r="P104" s="239">
        <f t="shared" si="22"/>
        <v>74966.258879999994</v>
      </c>
      <c r="Q104" s="239">
        <f t="shared" si="23"/>
        <v>144165.69</v>
      </c>
      <c r="R104" s="239">
        <f t="shared" si="24"/>
        <v>112449.38832</v>
      </c>
      <c r="S104" s="239">
        <f t="shared" si="25"/>
        <v>192220.91999999998</v>
      </c>
      <c r="T104" s="239">
        <f t="shared" si="26"/>
        <v>149932.51775999999</v>
      </c>
      <c r="U104" s="238">
        <f t="shared" si="27"/>
        <v>342153.43776</v>
      </c>
    </row>
    <row r="105" spans="2:21">
      <c r="B105" s="259" t="s">
        <v>543</v>
      </c>
      <c r="C105" s="234">
        <v>1</v>
      </c>
      <c r="D105" s="234">
        <v>36.770000000000003</v>
      </c>
      <c r="E105" s="234">
        <v>6106.76</v>
      </c>
      <c r="F105" s="234">
        <v>32</v>
      </c>
      <c r="G105" s="234">
        <v>1954.163712</v>
      </c>
      <c r="H105" s="234">
        <v>50</v>
      </c>
      <c r="I105" s="234">
        <v>3053.38</v>
      </c>
      <c r="J105" s="234">
        <v>11114.31</v>
      </c>
      <c r="K105" s="234">
        <v>11114.31</v>
      </c>
      <c r="M105" s="239">
        <f t="shared" si="19"/>
        <v>18320.28</v>
      </c>
      <c r="N105" s="239">
        <f t="shared" si="20"/>
        <v>15022.631136000002</v>
      </c>
      <c r="O105" s="239">
        <f t="shared" si="21"/>
        <v>36640.559999999998</v>
      </c>
      <c r="P105" s="239">
        <f t="shared" si="22"/>
        <v>30045.262272000004</v>
      </c>
      <c r="Q105" s="239">
        <f t="shared" si="23"/>
        <v>54960.840000000004</v>
      </c>
      <c r="R105" s="239">
        <f t="shared" si="24"/>
        <v>45067.893408000004</v>
      </c>
      <c r="S105" s="239">
        <f t="shared" si="25"/>
        <v>73281.119999999995</v>
      </c>
      <c r="T105" s="239">
        <f t="shared" si="26"/>
        <v>60090.524544000007</v>
      </c>
      <c r="U105" s="238">
        <f t="shared" si="27"/>
        <v>133371.64454400001</v>
      </c>
    </row>
    <row r="106" spans="2:21">
      <c r="B106" s="234" t="s">
        <v>472</v>
      </c>
      <c r="C106" s="234">
        <v>65</v>
      </c>
      <c r="D106" s="234"/>
      <c r="E106" s="234"/>
      <c r="F106" s="234"/>
      <c r="G106" s="234"/>
      <c r="H106" s="234"/>
      <c r="I106" s="234"/>
      <c r="J106" s="234"/>
      <c r="K106" s="234">
        <v>551810.47</v>
      </c>
      <c r="M106" s="239">
        <f t="shared" si="19"/>
        <v>0</v>
      </c>
      <c r="N106" s="239">
        <f t="shared" si="20"/>
        <v>0</v>
      </c>
      <c r="O106" s="239">
        <f t="shared" si="21"/>
        <v>0</v>
      </c>
      <c r="P106" s="239">
        <f t="shared" si="22"/>
        <v>0</v>
      </c>
      <c r="Q106" s="239">
        <f t="shared" si="23"/>
        <v>0</v>
      </c>
      <c r="R106" s="239">
        <f t="shared" si="24"/>
        <v>0</v>
      </c>
      <c r="S106" s="239">
        <f t="shared" si="25"/>
        <v>0</v>
      </c>
      <c r="T106" s="239">
        <f t="shared" si="26"/>
        <v>0</v>
      </c>
      <c r="U106" s="238">
        <f t="shared" si="27"/>
        <v>0</v>
      </c>
    </row>
    <row r="107" spans="2:21">
      <c r="B107" s="234" t="s">
        <v>544</v>
      </c>
      <c r="C107" s="234"/>
      <c r="D107" s="234"/>
      <c r="E107" s="234"/>
      <c r="F107" s="234"/>
      <c r="G107" s="234"/>
      <c r="H107" s="234"/>
      <c r="I107" s="234"/>
      <c r="J107" s="234"/>
      <c r="K107" s="234"/>
      <c r="M107" s="239">
        <f t="shared" si="19"/>
        <v>0</v>
      </c>
      <c r="N107" s="239">
        <f t="shared" si="20"/>
        <v>0</v>
      </c>
      <c r="O107" s="239">
        <f t="shared" si="21"/>
        <v>0</v>
      </c>
      <c r="P107" s="239">
        <f t="shared" si="22"/>
        <v>0</v>
      </c>
      <c r="Q107" s="239">
        <f t="shared" si="23"/>
        <v>0</v>
      </c>
      <c r="R107" s="239">
        <f t="shared" si="24"/>
        <v>0</v>
      </c>
      <c r="S107" s="239">
        <f t="shared" si="25"/>
        <v>0</v>
      </c>
      <c r="T107" s="239">
        <f t="shared" si="26"/>
        <v>0</v>
      </c>
      <c r="U107" s="238">
        <f t="shared" si="27"/>
        <v>0</v>
      </c>
    </row>
    <row r="108" spans="2:21">
      <c r="B108" s="234" t="s">
        <v>545</v>
      </c>
      <c r="C108" s="234">
        <v>1</v>
      </c>
      <c r="D108" s="234">
        <v>26.42</v>
      </c>
      <c r="E108" s="234">
        <v>4387.83</v>
      </c>
      <c r="F108" s="234">
        <v>26.7</v>
      </c>
      <c r="G108" s="234">
        <v>1171.55</v>
      </c>
      <c r="H108" s="234">
        <v>90</v>
      </c>
      <c r="I108" s="234">
        <v>3949.05</v>
      </c>
      <c r="J108" s="234">
        <v>9508.44</v>
      </c>
      <c r="K108" s="234">
        <v>9508.44</v>
      </c>
      <c r="M108" s="239">
        <f t="shared" si="19"/>
        <v>13163.49</v>
      </c>
      <c r="N108" s="239">
        <f t="shared" si="20"/>
        <v>15361.800000000001</v>
      </c>
      <c r="O108" s="239">
        <f t="shared" si="21"/>
        <v>26326.98</v>
      </c>
      <c r="P108" s="239">
        <f t="shared" si="22"/>
        <v>30723.600000000002</v>
      </c>
      <c r="Q108" s="239">
        <f t="shared" si="23"/>
        <v>39490.47</v>
      </c>
      <c r="R108" s="239">
        <f t="shared" si="24"/>
        <v>46085.4</v>
      </c>
      <c r="S108" s="239">
        <f t="shared" si="25"/>
        <v>52653.96</v>
      </c>
      <c r="T108" s="239">
        <f t="shared" si="26"/>
        <v>61447.200000000004</v>
      </c>
      <c r="U108" s="238">
        <f t="shared" si="27"/>
        <v>114101.16</v>
      </c>
    </row>
    <row r="109" spans="2:21">
      <c r="B109" s="234" t="s">
        <v>546</v>
      </c>
      <c r="C109" s="234">
        <v>2</v>
      </c>
      <c r="D109" s="234">
        <v>27.69</v>
      </c>
      <c r="E109" s="234">
        <v>4598.76</v>
      </c>
      <c r="F109" s="234">
        <v>26.7</v>
      </c>
      <c r="G109" s="234">
        <v>1227.8699999999999</v>
      </c>
      <c r="H109" s="234">
        <v>90</v>
      </c>
      <c r="I109" s="234">
        <v>4138.88</v>
      </c>
      <c r="J109" s="234">
        <v>9965.5</v>
      </c>
      <c r="K109" s="234">
        <v>19931.009999999998</v>
      </c>
      <c r="M109" s="239">
        <f t="shared" si="19"/>
        <v>27592.560000000001</v>
      </c>
      <c r="N109" s="239">
        <f t="shared" si="20"/>
        <v>32200.5</v>
      </c>
      <c r="O109" s="239">
        <f t="shared" si="21"/>
        <v>55185.120000000003</v>
      </c>
      <c r="P109" s="239">
        <f t="shared" si="22"/>
        <v>64401</v>
      </c>
      <c r="Q109" s="239">
        <f t="shared" si="23"/>
        <v>82777.680000000008</v>
      </c>
      <c r="R109" s="239">
        <f t="shared" si="24"/>
        <v>96601.5</v>
      </c>
      <c r="S109" s="239">
        <f t="shared" si="25"/>
        <v>110370.24000000001</v>
      </c>
      <c r="T109" s="239">
        <f t="shared" si="26"/>
        <v>128802</v>
      </c>
      <c r="U109" s="238">
        <f t="shared" si="27"/>
        <v>239172.24</v>
      </c>
    </row>
    <row r="110" spans="2:21">
      <c r="B110" s="234" t="s">
        <v>547</v>
      </c>
      <c r="C110" s="234">
        <v>4</v>
      </c>
      <c r="D110" s="234">
        <v>32.94</v>
      </c>
      <c r="E110" s="234">
        <v>5470.68</v>
      </c>
      <c r="F110" s="234">
        <v>36.700000000000003</v>
      </c>
      <c r="G110" s="234">
        <v>2007.74</v>
      </c>
      <c r="H110" s="234">
        <v>90</v>
      </c>
      <c r="I110" s="234">
        <v>4923.6099999999997</v>
      </c>
      <c r="J110" s="234">
        <v>12402.02</v>
      </c>
      <c r="K110" s="234">
        <v>49608.08</v>
      </c>
      <c r="M110" s="239">
        <f t="shared" si="19"/>
        <v>65648.160000000003</v>
      </c>
      <c r="N110" s="239">
        <f t="shared" si="20"/>
        <v>83176.2</v>
      </c>
      <c r="O110" s="239">
        <f t="shared" si="21"/>
        <v>131296.32000000001</v>
      </c>
      <c r="P110" s="239">
        <f t="shared" si="22"/>
        <v>166352.4</v>
      </c>
      <c r="Q110" s="239">
        <f t="shared" si="23"/>
        <v>196944.48</v>
      </c>
      <c r="R110" s="239">
        <f t="shared" si="24"/>
        <v>249528.59999999998</v>
      </c>
      <c r="S110" s="239">
        <f t="shared" si="25"/>
        <v>262592.64000000001</v>
      </c>
      <c r="T110" s="239">
        <f t="shared" si="26"/>
        <v>332704.8</v>
      </c>
      <c r="U110" s="238">
        <f t="shared" si="27"/>
        <v>595297.43999999994</v>
      </c>
    </row>
    <row r="111" spans="2:21">
      <c r="B111" s="234" t="s">
        <v>548</v>
      </c>
      <c r="C111" s="234">
        <v>1</v>
      </c>
      <c r="D111" s="234">
        <v>32.94</v>
      </c>
      <c r="E111" s="234">
        <v>5470.68</v>
      </c>
      <c r="F111" s="234">
        <v>26.7</v>
      </c>
      <c r="G111" s="234">
        <v>1460.67</v>
      </c>
      <c r="H111" s="234">
        <v>90</v>
      </c>
      <c r="I111" s="234">
        <v>4923.6099999999997</v>
      </c>
      <c r="J111" s="234">
        <v>11854.95</v>
      </c>
      <c r="K111" s="234">
        <v>11854.95</v>
      </c>
      <c r="M111" s="239">
        <f t="shared" si="19"/>
        <v>16412.04</v>
      </c>
      <c r="N111" s="239">
        <f t="shared" si="20"/>
        <v>19152.84</v>
      </c>
      <c r="O111" s="239">
        <f t="shared" si="21"/>
        <v>32824.080000000002</v>
      </c>
      <c r="P111" s="239">
        <f t="shared" si="22"/>
        <v>38305.68</v>
      </c>
      <c r="Q111" s="239">
        <f t="shared" si="23"/>
        <v>49236.12</v>
      </c>
      <c r="R111" s="239">
        <f t="shared" si="24"/>
        <v>57458.52</v>
      </c>
      <c r="S111" s="239">
        <f t="shared" si="25"/>
        <v>65648.160000000003</v>
      </c>
      <c r="T111" s="239">
        <f t="shared" si="26"/>
        <v>76611.360000000001</v>
      </c>
      <c r="U111" s="238">
        <f t="shared" si="27"/>
        <v>142259.52000000002</v>
      </c>
    </row>
    <row r="112" spans="2:21">
      <c r="B112" s="234" t="s">
        <v>549</v>
      </c>
      <c r="C112" s="234">
        <v>8</v>
      </c>
      <c r="D112" s="234">
        <v>27.69</v>
      </c>
      <c r="E112" s="234">
        <v>4598.76</v>
      </c>
      <c r="F112" s="234">
        <v>36.700000000000003</v>
      </c>
      <c r="G112" s="234">
        <v>1687.74</v>
      </c>
      <c r="H112" s="234">
        <v>90</v>
      </c>
      <c r="I112" s="234">
        <v>4138.88</v>
      </c>
      <c r="J112" s="234">
        <v>10425.379999999999</v>
      </c>
      <c r="K112" s="234">
        <v>83403.02</v>
      </c>
      <c r="M112" s="239">
        <f t="shared" si="19"/>
        <v>110370.24000000001</v>
      </c>
      <c r="N112" s="239">
        <f t="shared" si="20"/>
        <v>139838.88</v>
      </c>
      <c r="O112" s="239">
        <f t="shared" si="21"/>
        <v>220740.48000000001</v>
      </c>
      <c r="P112" s="239">
        <f t="shared" si="22"/>
        <v>279677.76</v>
      </c>
      <c r="Q112" s="239">
        <f t="shared" si="23"/>
        <v>331110.72000000003</v>
      </c>
      <c r="R112" s="239">
        <f t="shared" si="24"/>
        <v>419516.64</v>
      </c>
      <c r="S112" s="239">
        <f t="shared" si="25"/>
        <v>441480.96000000002</v>
      </c>
      <c r="T112" s="239">
        <f t="shared" si="26"/>
        <v>559355.52</v>
      </c>
      <c r="U112" s="238">
        <f t="shared" si="27"/>
        <v>1000836.48</v>
      </c>
    </row>
    <row r="113" spans="2:21">
      <c r="B113" s="234" t="s">
        <v>550</v>
      </c>
      <c r="C113" s="234">
        <v>4</v>
      </c>
      <c r="D113" s="234">
        <v>29.92</v>
      </c>
      <c r="E113" s="234">
        <v>4969.1099999999997</v>
      </c>
      <c r="F113" s="234">
        <v>36.700000000000003</v>
      </c>
      <c r="G113" s="234">
        <v>1823.66</v>
      </c>
      <c r="H113" s="234">
        <v>90</v>
      </c>
      <c r="I113" s="234">
        <v>4472.2</v>
      </c>
      <c r="J113" s="234">
        <v>11264.98</v>
      </c>
      <c r="K113" s="234">
        <v>45059.92</v>
      </c>
      <c r="M113" s="239">
        <f t="shared" si="19"/>
        <v>59629.319999999992</v>
      </c>
      <c r="N113" s="239">
        <f t="shared" si="20"/>
        <v>75550.319999999992</v>
      </c>
      <c r="O113" s="239">
        <f t="shared" si="21"/>
        <v>119258.63999999998</v>
      </c>
      <c r="P113" s="239">
        <f t="shared" si="22"/>
        <v>151100.63999999998</v>
      </c>
      <c r="Q113" s="239">
        <f t="shared" si="23"/>
        <v>178887.96</v>
      </c>
      <c r="R113" s="239">
        <f t="shared" si="24"/>
        <v>226650.96</v>
      </c>
      <c r="S113" s="239">
        <f t="shared" si="25"/>
        <v>238517.27999999997</v>
      </c>
      <c r="T113" s="239">
        <f t="shared" si="26"/>
        <v>302201.27999999997</v>
      </c>
      <c r="U113" s="238">
        <f t="shared" si="27"/>
        <v>540718.55999999994</v>
      </c>
    </row>
    <row r="114" spans="2:21">
      <c r="B114" s="234" t="s">
        <v>551</v>
      </c>
      <c r="C114" s="234">
        <v>4</v>
      </c>
      <c r="D114" s="234">
        <v>29.92</v>
      </c>
      <c r="E114" s="234">
        <v>4969.1099999999997</v>
      </c>
      <c r="F114" s="234">
        <v>26.7</v>
      </c>
      <c r="G114" s="234">
        <v>1326.75</v>
      </c>
      <c r="H114" s="234">
        <v>90</v>
      </c>
      <c r="I114" s="234">
        <v>4472.2</v>
      </c>
      <c r="J114" s="234">
        <v>10768.07</v>
      </c>
      <c r="K114" s="234">
        <v>43072.28</v>
      </c>
      <c r="M114" s="239">
        <f t="shared" si="19"/>
        <v>59629.319999999992</v>
      </c>
      <c r="N114" s="239">
        <f t="shared" si="20"/>
        <v>69587.399999999994</v>
      </c>
      <c r="O114" s="239">
        <f t="shared" si="21"/>
        <v>119258.63999999998</v>
      </c>
      <c r="P114" s="239">
        <f t="shared" si="22"/>
        <v>139174.79999999999</v>
      </c>
      <c r="Q114" s="239">
        <f t="shared" si="23"/>
        <v>178887.96</v>
      </c>
      <c r="R114" s="239">
        <f t="shared" si="24"/>
        <v>208762.19999999998</v>
      </c>
      <c r="S114" s="239">
        <f t="shared" si="25"/>
        <v>238517.27999999997</v>
      </c>
      <c r="T114" s="239">
        <f t="shared" si="26"/>
        <v>278349.59999999998</v>
      </c>
      <c r="U114" s="238">
        <f t="shared" si="27"/>
        <v>516866.87999999995</v>
      </c>
    </row>
    <row r="115" spans="2:21">
      <c r="B115" s="234" t="s">
        <v>552</v>
      </c>
      <c r="C115" s="234">
        <v>4</v>
      </c>
      <c r="D115" s="234">
        <v>26.42</v>
      </c>
      <c r="E115" s="234">
        <v>4387.83</v>
      </c>
      <c r="F115" s="234">
        <v>29.7</v>
      </c>
      <c r="G115" s="234">
        <v>1303.19</v>
      </c>
      <c r="H115" s="234">
        <v>90</v>
      </c>
      <c r="I115" s="234">
        <v>3949.05</v>
      </c>
      <c r="J115" s="234">
        <v>9640.07</v>
      </c>
      <c r="K115" s="234">
        <v>38560.28</v>
      </c>
      <c r="M115" s="239">
        <f t="shared" si="19"/>
        <v>52653.96</v>
      </c>
      <c r="N115" s="239">
        <f t="shared" si="20"/>
        <v>63026.879999999997</v>
      </c>
      <c r="O115" s="239">
        <f t="shared" si="21"/>
        <v>105307.92</v>
      </c>
      <c r="P115" s="239">
        <f t="shared" si="22"/>
        <v>126053.75999999999</v>
      </c>
      <c r="Q115" s="239">
        <f t="shared" si="23"/>
        <v>157961.88</v>
      </c>
      <c r="R115" s="239">
        <f t="shared" si="24"/>
        <v>189080.63999999998</v>
      </c>
      <c r="S115" s="239">
        <f t="shared" si="25"/>
        <v>210615.84</v>
      </c>
      <c r="T115" s="239">
        <f t="shared" si="26"/>
        <v>252107.51999999999</v>
      </c>
      <c r="U115" s="238">
        <f t="shared" si="27"/>
        <v>462723.36</v>
      </c>
    </row>
    <row r="116" spans="2:21">
      <c r="B116" s="234" t="s">
        <v>553</v>
      </c>
      <c r="C116" s="234">
        <v>4</v>
      </c>
      <c r="D116" s="234">
        <v>29.92</v>
      </c>
      <c r="E116" s="234">
        <v>4969.1099999999997</v>
      </c>
      <c r="F116" s="234">
        <v>26.7</v>
      </c>
      <c r="G116" s="234">
        <v>1326.75</v>
      </c>
      <c r="H116" s="234">
        <v>90</v>
      </c>
      <c r="I116" s="234">
        <v>4472.2</v>
      </c>
      <c r="J116" s="234">
        <v>10768.07</v>
      </c>
      <c r="K116" s="234">
        <v>43072.28</v>
      </c>
      <c r="M116" s="239">
        <f t="shared" si="19"/>
        <v>59629.319999999992</v>
      </c>
      <c r="N116" s="239">
        <f t="shared" si="20"/>
        <v>69587.399999999994</v>
      </c>
      <c r="O116" s="239">
        <f t="shared" si="21"/>
        <v>119258.63999999998</v>
      </c>
      <c r="P116" s="239">
        <f t="shared" si="22"/>
        <v>139174.79999999999</v>
      </c>
      <c r="Q116" s="239">
        <f t="shared" si="23"/>
        <v>178887.96</v>
      </c>
      <c r="R116" s="239">
        <f t="shared" si="24"/>
        <v>208762.19999999998</v>
      </c>
      <c r="S116" s="239">
        <f t="shared" si="25"/>
        <v>238517.27999999997</v>
      </c>
      <c r="T116" s="239">
        <f t="shared" si="26"/>
        <v>278349.59999999998</v>
      </c>
      <c r="U116" s="238">
        <f t="shared" si="27"/>
        <v>516866.87999999995</v>
      </c>
    </row>
    <row r="117" spans="2:21">
      <c r="B117" s="234" t="s">
        <v>554</v>
      </c>
      <c r="C117" s="234">
        <v>18</v>
      </c>
      <c r="D117" s="234">
        <v>29.92</v>
      </c>
      <c r="E117" s="234">
        <v>4969.1099999999997</v>
      </c>
      <c r="F117" s="234">
        <v>26.7</v>
      </c>
      <c r="G117" s="234">
        <v>1326.75</v>
      </c>
      <c r="H117" s="234">
        <v>90</v>
      </c>
      <c r="I117" s="234">
        <v>4472.2</v>
      </c>
      <c r="J117" s="234">
        <v>10768.07</v>
      </c>
      <c r="K117" s="234">
        <v>193825.25</v>
      </c>
      <c r="M117" s="239">
        <f t="shared" si="19"/>
        <v>268331.93999999994</v>
      </c>
      <c r="N117" s="239">
        <f t="shared" si="20"/>
        <v>313143.3</v>
      </c>
      <c r="O117" s="239">
        <f t="shared" si="21"/>
        <v>536663.88</v>
      </c>
      <c r="P117" s="239">
        <f t="shared" si="22"/>
        <v>626286.6</v>
      </c>
      <c r="Q117" s="239">
        <f t="shared" si="23"/>
        <v>804995.82</v>
      </c>
      <c r="R117" s="239">
        <f t="shared" si="24"/>
        <v>939429.89999999991</v>
      </c>
      <c r="S117" s="239">
        <f t="shared" si="25"/>
        <v>1073327.76</v>
      </c>
      <c r="T117" s="239">
        <f t="shared" si="26"/>
        <v>1252573.2</v>
      </c>
      <c r="U117" s="238">
        <f t="shared" si="27"/>
        <v>2325900.96</v>
      </c>
    </row>
    <row r="118" spans="2:21">
      <c r="B118" s="234" t="s">
        <v>555</v>
      </c>
      <c r="C118" s="234">
        <v>4</v>
      </c>
      <c r="D118" s="234">
        <v>24.19</v>
      </c>
      <c r="E118" s="234">
        <v>4017.48</v>
      </c>
      <c r="F118" s="234">
        <v>26.7</v>
      </c>
      <c r="G118" s="234">
        <v>1072.67</v>
      </c>
      <c r="H118" s="234">
        <v>90</v>
      </c>
      <c r="I118" s="234">
        <v>3615.73</v>
      </c>
      <c r="J118" s="234">
        <v>8705.8700000000008</v>
      </c>
      <c r="K118" s="234">
        <v>34823.480000000003</v>
      </c>
      <c r="M118" s="239">
        <f t="shared" si="19"/>
        <v>48209.760000000002</v>
      </c>
      <c r="N118" s="239">
        <f t="shared" si="20"/>
        <v>56260.799999999996</v>
      </c>
      <c r="O118" s="239">
        <f t="shared" si="21"/>
        <v>96419.520000000004</v>
      </c>
      <c r="P118" s="239">
        <f t="shared" si="22"/>
        <v>112521.59999999999</v>
      </c>
      <c r="Q118" s="239">
        <f t="shared" si="23"/>
        <v>144629.28</v>
      </c>
      <c r="R118" s="239">
        <f t="shared" si="24"/>
        <v>168782.4</v>
      </c>
      <c r="S118" s="239">
        <f t="shared" si="25"/>
        <v>192839.04000000001</v>
      </c>
      <c r="T118" s="239">
        <f t="shared" si="26"/>
        <v>225043.19999999998</v>
      </c>
      <c r="U118" s="238">
        <f t="shared" si="27"/>
        <v>417882.24</v>
      </c>
    </row>
    <row r="119" spans="2:21">
      <c r="B119" s="234" t="s">
        <v>556</v>
      </c>
      <c r="C119" s="234">
        <v>12</v>
      </c>
      <c r="D119" s="234">
        <v>32.94</v>
      </c>
      <c r="E119" s="234">
        <v>5470.68</v>
      </c>
      <c r="F119" s="234">
        <v>26.7</v>
      </c>
      <c r="G119" s="234">
        <v>1460.67</v>
      </c>
      <c r="H119" s="234">
        <v>90</v>
      </c>
      <c r="I119" s="234">
        <v>4923.6099999999997</v>
      </c>
      <c r="J119" s="234">
        <v>11854.95</v>
      </c>
      <c r="K119" s="234">
        <v>142259.44</v>
      </c>
      <c r="M119" s="239">
        <f t="shared" si="19"/>
        <v>196944.48</v>
      </c>
      <c r="N119" s="239">
        <f t="shared" si="20"/>
        <v>229834.08000000002</v>
      </c>
      <c r="O119" s="239">
        <f t="shared" si="21"/>
        <v>393888.96</v>
      </c>
      <c r="P119" s="239">
        <f t="shared" si="22"/>
        <v>459668.16000000003</v>
      </c>
      <c r="Q119" s="239">
        <f t="shared" si="23"/>
        <v>590833.44000000006</v>
      </c>
      <c r="R119" s="239">
        <f t="shared" si="24"/>
        <v>689502.24</v>
      </c>
      <c r="S119" s="239">
        <f t="shared" si="25"/>
        <v>787777.92</v>
      </c>
      <c r="T119" s="239">
        <f t="shared" si="26"/>
        <v>919336.32000000007</v>
      </c>
      <c r="U119" s="238">
        <f t="shared" si="27"/>
        <v>1707114.2400000002</v>
      </c>
    </row>
    <row r="120" spans="2:21">
      <c r="B120" s="234" t="s">
        <v>557</v>
      </c>
      <c r="C120" s="234">
        <v>2</v>
      </c>
      <c r="D120" s="234">
        <v>25.3</v>
      </c>
      <c r="E120" s="234">
        <v>4201.82</v>
      </c>
      <c r="F120" s="234">
        <v>26.7</v>
      </c>
      <c r="G120" s="234">
        <v>1764.77</v>
      </c>
      <c r="H120" s="234">
        <v>90</v>
      </c>
      <c r="I120" s="234">
        <v>3781.64</v>
      </c>
      <c r="J120" s="234">
        <v>9748.23</v>
      </c>
      <c r="K120" s="234">
        <v>19496.46</v>
      </c>
      <c r="M120" s="239">
        <f t="shared" si="19"/>
        <v>25210.92</v>
      </c>
      <c r="N120" s="239">
        <f t="shared" si="20"/>
        <v>33278.46</v>
      </c>
      <c r="O120" s="239">
        <f t="shared" si="21"/>
        <v>50421.84</v>
      </c>
      <c r="P120" s="239">
        <f t="shared" si="22"/>
        <v>66556.92</v>
      </c>
      <c r="Q120" s="239">
        <f t="shared" si="23"/>
        <v>75632.759999999995</v>
      </c>
      <c r="R120" s="239">
        <f t="shared" si="24"/>
        <v>99835.38</v>
      </c>
      <c r="S120" s="239">
        <f t="shared" si="25"/>
        <v>100843.68</v>
      </c>
      <c r="T120" s="239">
        <f t="shared" si="26"/>
        <v>133113.84</v>
      </c>
      <c r="U120" s="238">
        <f t="shared" si="27"/>
        <v>233957.52</v>
      </c>
    </row>
    <row r="121" spans="2:21">
      <c r="B121" s="234" t="s">
        <v>558</v>
      </c>
      <c r="C121" s="234">
        <v>1</v>
      </c>
      <c r="D121" s="234">
        <v>26.42</v>
      </c>
      <c r="E121" s="234">
        <v>4387.83</v>
      </c>
      <c r="F121" s="234">
        <v>42</v>
      </c>
      <c r="G121" s="234">
        <v>1842.89</v>
      </c>
      <c r="H121" s="234">
        <v>90</v>
      </c>
      <c r="I121" s="234">
        <v>3949.05</v>
      </c>
      <c r="J121" s="234">
        <v>10179.77</v>
      </c>
      <c r="K121" s="234">
        <v>10179.77</v>
      </c>
      <c r="M121" s="239">
        <f t="shared" si="19"/>
        <v>13163.49</v>
      </c>
      <c r="N121" s="239">
        <f t="shared" si="20"/>
        <v>17375.82</v>
      </c>
      <c r="O121" s="239">
        <f t="shared" si="21"/>
        <v>26326.98</v>
      </c>
      <c r="P121" s="239">
        <f t="shared" si="22"/>
        <v>34751.64</v>
      </c>
      <c r="Q121" s="239">
        <f t="shared" si="23"/>
        <v>39490.47</v>
      </c>
      <c r="R121" s="239">
        <f t="shared" si="24"/>
        <v>52127.460000000006</v>
      </c>
      <c r="S121" s="239">
        <f t="shared" si="25"/>
        <v>52653.96</v>
      </c>
      <c r="T121" s="239">
        <f t="shared" si="26"/>
        <v>69503.28</v>
      </c>
      <c r="U121" s="238">
        <f t="shared" si="27"/>
        <v>122157.23999999999</v>
      </c>
    </row>
    <row r="122" spans="2:21">
      <c r="B122" s="234" t="s">
        <v>559</v>
      </c>
      <c r="C122" s="234">
        <v>1</v>
      </c>
      <c r="D122" s="234">
        <v>27.69</v>
      </c>
      <c r="E122" s="234">
        <v>4598.76</v>
      </c>
      <c r="F122" s="234">
        <v>42</v>
      </c>
      <c r="G122" s="234">
        <v>1931.48</v>
      </c>
      <c r="H122" s="234">
        <v>90</v>
      </c>
      <c r="I122" s="234">
        <v>4138.88</v>
      </c>
      <c r="J122" s="234">
        <v>10669.11</v>
      </c>
      <c r="K122" s="234">
        <v>10669.11</v>
      </c>
      <c r="M122" s="239">
        <f t="shared" si="19"/>
        <v>13796.28</v>
      </c>
      <c r="N122" s="239">
        <f t="shared" si="20"/>
        <v>18211.080000000002</v>
      </c>
      <c r="O122" s="239">
        <f t="shared" si="21"/>
        <v>27592.560000000001</v>
      </c>
      <c r="P122" s="239">
        <f t="shared" si="22"/>
        <v>36422.160000000003</v>
      </c>
      <c r="Q122" s="239">
        <f t="shared" si="23"/>
        <v>41388.840000000004</v>
      </c>
      <c r="R122" s="239">
        <f t="shared" si="24"/>
        <v>54633.240000000005</v>
      </c>
      <c r="S122" s="239">
        <f t="shared" si="25"/>
        <v>55185.120000000003</v>
      </c>
      <c r="T122" s="239">
        <f t="shared" si="26"/>
        <v>72844.320000000007</v>
      </c>
      <c r="U122" s="238">
        <f t="shared" si="27"/>
        <v>128029.44</v>
      </c>
    </row>
    <row r="123" spans="2:21">
      <c r="B123" s="234" t="s">
        <v>560</v>
      </c>
      <c r="C123" s="234">
        <v>1</v>
      </c>
      <c r="D123" s="234">
        <v>27.69</v>
      </c>
      <c r="E123" s="234">
        <v>4598.76</v>
      </c>
      <c r="F123" s="234">
        <v>42</v>
      </c>
      <c r="G123" s="234">
        <v>1931.48</v>
      </c>
      <c r="H123" s="234">
        <v>90</v>
      </c>
      <c r="I123" s="234">
        <v>4138.88</v>
      </c>
      <c r="J123" s="234">
        <v>10669.11</v>
      </c>
      <c r="K123" s="234">
        <v>10669.11</v>
      </c>
      <c r="M123" s="239">
        <f t="shared" si="19"/>
        <v>13796.28</v>
      </c>
      <c r="N123" s="239">
        <f t="shared" si="20"/>
        <v>18211.080000000002</v>
      </c>
      <c r="O123" s="239">
        <f t="shared" si="21"/>
        <v>27592.560000000001</v>
      </c>
      <c r="P123" s="239">
        <f t="shared" si="22"/>
        <v>36422.160000000003</v>
      </c>
      <c r="Q123" s="239">
        <f t="shared" si="23"/>
        <v>41388.840000000004</v>
      </c>
      <c r="R123" s="239">
        <f t="shared" si="24"/>
        <v>54633.240000000005</v>
      </c>
      <c r="S123" s="239">
        <f t="shared" si="25"/>
        <v>55185.120000000003</v>
      </c>
      <c r="T123" s="239">
        <f t="shared" si="26"/>
        <v>72844.320000000007</v>
      </c>
      <c r="U123" s="238">
        <f t="shared" si="27"/>
        <v>128029.44</v>
      </c>
    </row>
    <row r="124" spans="2:21">
      <c r="B124" s="234" t="s">
        <v>561</v>
      </c>
      <c r="C124" s="234">
        <v>3</v>
      </c>
      <c r="D124" s="234">
        <v>26.42</v>
      </c>
      <c r="E124" s="234">
        <v>4387.83</v>
      </c>
      <c r="F124" s="234">
        <v>17</v>
      </c>
      <c r="G124" s="234">
        <v>745.93</v>
      </c>
      <c r="H124" s="234">
        <v>90</v>
      </c>
      <c r="I124" s="234">
        <v>3949.05</v>
      </c>
      <c r="J124" s="234">
        <v>9082.82</v>
      </c>
      <c r="K124" s="234">
        <v>27248.45</v>
      </c>
      <c r="M124" s="239">
        <f t="shared" si="19"/>
        <v>39490.47</v>
      </c>
      <c r="N124" s="239">
        <f t="shared" si="20"/>
        <v>42254.820000000007</v>
      </c>
      <c r="O124" s="239">
        <f t="shared" si="21"/>
        <v>78980.94</v>
      </c>
      <c r="P124" s="239">
        <f t="shared" si="22"/>
        <v>84509.640000000014</v>
      </c>
      <c r="Q124" s="239">
        <f t="shared" si="23"/>
        <v>118471.41</v>
      </c>
      <c r="R124" s="239">
        <f t="shared" si="24"/>
        <v>126764.46000000002</v>
      </c>
      <c r="S124" s="239">
        <f t="shared" si="25"/>
        <v>157961.88</v>
      </c>
      <c r="T124" s="239">
        <f t="shared" si="26"/>
        <v>169019.28000000003</v>
      </c>
      <c r="U124" s="238">
        <f t="shared" si="27"/>
        <v>326981.16000000003</v>
      </c>
    </row>
    <row r="125" spans="2:21">
      <c r="B125" s="234" t="s">
        <v>562</v>
      </c>
      <c r="C125" s="234">
        <v>4</v>
      </c>
      <c r="D125" s="234">
        <v>25.3</v>
      </c>
      <c r="E125" s="234">
        <v>4201.82</v>
      </c>
      <c r="F125" s="234">
        <v>52</v>
      </c>
      <c r="G125" s="234">
        <v>2184.9499999999998</v>
      </c>
      <c r="H125" s="234">
        <v>90</v>
      </c>
      <c r="I125" s="234">
        <v>3781.64</v>
      </c>
      <c r="J125" s="234">
        <v>10168.41</v>
      </c>
      <c r="K125" s="234">
        <v>40673.660000000003</v>
      </c>
      <c r="M125" s="239">
        <f t="shared" si="19"/>
        <v>50421.84</v>
      </c>
      <c r="N125" s="239">
        <f t="shared" si="20"/>
        <v>71599.08</v>
      </c>
      <c r="O125" s="239">
        <f t="shared" si="21"/>
        <v>100843.68</v>
      </c>
      <c r="P125" s="239">
        <f t="shared" si="22"/>
        <v>143198.16</v>
      </c>
      <c r="Q125" s="239">
        <f t="shared" si="23"/>
        <v>151265.51999999999</v>
      </c>
      <c r="R125" s="239">
        <f t="shared" si="24"/>
        <v>214797.24</v>
      </c>
      <c r="S125" s="239">
        <f t="shared" si="25"/>
        <v>201687.36</v>
      </c>
      <c r="T125" s="239">
        <f t="shared" si="26"/>
        <v>286396.32</v>
      </c>
      <c r="U125" s="238">
        <f t="shared" si="27"/>
        <v>488083.68</v>
      </c>
    </row>
    <row r="126" spans="2:21">
      <c r="B126" s="234" t="s">
        <v>563</v>
      </c>
      <c r="C126" s="234">
        <v>8</v>
      </c>
      <c r="D126" s="234">
        <v>29.92</v>
      </c>
      <c r="E126" s="234">
        <v>4969.1099999999997</v>
      </c>
      <c r="F126" s="234">
        <v>12</v>
      </c>
      <c r="G126" s="234">
        <v>596.29</v>
      </c>
      <c r="H126" s="234">
        <v>90</v>
      </c>
      <c r="I126" s="234">
        <v>4472.2</v>
      </c>
      <c r="J126" s="234">
        <v>10037.61</v>
      </c>
      <c r="K126" s="234">
        <v>80300.88</v>
      </c>
      <c r="M126" s="239">
        <f t="shared" si="19"/>
        <v>119258.63999999998</v>
      </c>
      <c r="N126" s="239">
        <f t="shared" si="20"/>
        <v>121643.76</v>
      </c>
      <c r="O126" s="239">
        <f t="shared" si="21"/>
        <v>238517.27999999997</v>
      </c>
      <c r="P126" s="239">
        <f t="shared" si="22"/>
        <v>243287.52</v>
      </c>
      <c r="Q126" s="239">
        <f t="shared" si="23"/>
        <v>357775.92</v>
      </c>
      <c r="R126" s="239">
        <f t="shared" si="24"/>
        <v>364931.27999999997</v>
      </c>
      <c r="S126" s="239">
        <f t="shared" si="25"/>
        <v>477034.55999999994</v>
      </c>
      <c r="T126" s="239">
        <f t="shared" si="26"/>
        <v>486575.04</v>
      </c>
      <c r="U126" s="238">
        <f t="shared" si="27"/>
        <v>963609.59999999986</v>
      </c>
    </row>
    <row r="127" spans="2:21">
      <c r="B127" s="234" t="s">
        <v>564</v>
      </c>
      <c r="C127" s="234">
        <v>1</v>
      </c>
      <c r="D127" s="234">
        <v>29.92</v>
      </c>
      <c r="E127" s="234">
        <v>4969.1099999999997</v>
      </c>
      <c r="F127" s="234">
        <v>12</v>
      </c>
      <c r="G127" s="234">
        <v>596.29</v>
      </c>
      <c r="H127" s="234">
        <v>90</v>
      </c>
      <c r="I127" s="234">
        <v>4472.2</v>
      </c>
      <c r="J127" s="234">
        <v>10037.61</v>
      </c>
      <c r="K127" s="234">
        <v>10037.61</v>
      </c>
      <c r="M127" s="239">
        <f t="shared" si="19"/>
        <v>14907.329999999998</v>
      </c>
      <c r="N127" s="239">
        <f t="shared" si="20"/>
        <v>15205.47</v>
      </c>
      <c r="O127" s="239">
        <f t="shared" si="21"/>
        <v>29814.659999999996</v>
      </c>
      <c r="P127" s="239">
        <f t="shared" si="22"/>
        <v>30410.94</v>
      </c>
      <c r="Q127" s="239">
        <f t="shared" si="23"/>
        <v>44721.99</v>
      </c>
      <c r="R127" s="239">
        <f t="shared" si="24"/>
        <v>45616.409999999996</v>
      </c>
      <c r="S127" s="239">
        <f t="shared" si="25"/>
        <v>59629.319999999992</v>
      </c>
      <c r="T127" s="239">
        <f t="shared" si="26"/>
        <v>60821.88</v>
      </c>
      <c r="U127" s="238">
        <f t="shared" si="27"/>
        <v>120451.19999999998</v>
      </c>
    </row>
    <row r="128" spans="2:21">
      <c r="B128" s="234" t="s">
        <v>565</v>
      </c>
      <c r="C128" s="234">
        <v>1</v>
      </c>
      <c r="D128" s="234">
        <v>23.55</v>
      </c>
      <c r="E128" s="234">
        <v>3911.18</v>
      </c>
      <c r="F128" s="234">
        <v>12</v>
      </c>
      <c r="G128" s="234">
        <v>469.34</v>
      </c>
      <c r="H128" s="234">
        <v>90</v>
      </c>
      <c r="I128" s="234">
        <v>3520.07</v>
      </c>
      <c r="J128" s="234">
        <v>7900.59</v>
      </c>
      <c r="K128" s="234">
        <v>7900.59</v>
      </c>
      <c r="M128" s="239">
        <f t="shared" si="19"/>
        <v>11733.539999999999</v>
      </c>
      <c r="N128" s="239">
        <f t="shared" si="20"/>
        <v>11968.230000000001</v>
      </c>
      <c r="O128" s="239">
        <f t="shared" si="21"/>
        <v>23467.079999999998</v>
      </c>
      <c r="P128" s="239">
        <f t="shared" si="22"/>
        <v>23936.460000000003</v>
      </c>
      <c r="Q128" s="239">
        <f t="shared" si="23"/>
        <v>35200.619999999995</v>
      </c>
      <c r="R128" s="239">
        <f t="shared" si="24"/>
        <v>35904.69</v>
      </c>
      <c r="S128" s="239">
        <f t="shared" si="25"/>
        <v>46934.159999999996</v>
      </c>
      <c r="T128" s="239">
        <f t="shared" si="26"/>
        <v>47872.920000000006</v>
      </c>
      <c r="U128" s="238">
        <f t="shared" si="27"/>
        <v>94807.08</v>
      </c>
    </row>
    <row r="129" spans="2:21">
      <c r="B129" s="234" t="s">
        <v>566</v>
      </c>
      <c r="C129" s="234">
        <v>3</v>
      </c>
      <c r="D129" s="234">
        <v>24.03</v>
      </c>
      <c r="E129" s="234">
        <v>3990.9</v>
      </c>
      <c r="F129" s="234">
        <v>42</v>
      </c>
      <c r="G129" s="234">
        <v>1676.18</v>
      </c>
      <c r="H129" s="234">
        <v>90</v>
      </c>
      <c r="I129" s="234">
        <v>3591.81</v>
      </c>
      <c r="J129" s="234">
        <v>9258.89</v>
      </c>
      <c r="K129" s="234">
        <v>27776.68</v>
      </c>
      <c r="M129" s="239">
        <f t="shared" si="19"/>
        <v>35918.100000000006</v>
      </c>
      <c r="N129" s="239">
        <f t="shared" si="20"/>
        <v>47411.909999999996</v>
      </c>
      <c r="O129" s="239">
        <f t="shared" si="21"/>
        <v>71836.200000000012</v>
      </c>
      <c r="P129" s="239">
        <f t="shared" si="22"/>
        <v>94823.819999999992</v>
      </c>
      <c r="Q129" s="239">
        <f t="shared" si="23"/>
        <v>107754.3</v>
      </c>
      <c r="R129" s="239">
        <f t="shared" si="24"/>
        <v>142235.72999999998</v>
      </c>
      <c r="S129" s="239">
        <f t="shared" si="25"/>
        <v>143672.40000000002</v>
      </c>
      <c r="T129" s="239">
        <f t="shared" si="26"/>
        <v>189647.63999999998</v>
      </c>
      <c r="U129" s="238">
        <f t="shared" si="27"/>
        <v>333320.04000000004</v>
      </c>
    </row>
    <row r="130" spans="2:21">
      <c r="B130" s="234" t="s">
        <v>567</v>
      </c>
      <c r="C130" s="234">
        <v>1</v>
      </c>
      <c r="D130" s="234">
        <v>27.69</v>
      </c>
      <c r="E130" s="234">
        <v>4598.76</v>
      </c>
      <c r="F130" s="234">
        <v>12</v>
      </c>
      <c r="G130" s="234">
        <v>551.85</v>
      </c>
      <c r="H130" s="234">
        <v>90</v>
      </c>
      <c r="I130" s="234">
        <v>4138.88</v>
      </c>
      <c r="J130" s="234">
        <v>9289.49</v>
      </c>
      <c r="K130" s="234">
        <v>9289.49</v>
      </c>
      <c r="M130" s="239">
        <f t="shared" si="19"/>
        <v>13796.28</v>
      </c>
      <c r="N130" s="239">
        <f t="shared" si="20"/>
        <v>14072.190000000002</v>
      </c>
      <c r="O130" s="239">
        <f t="shared" si="21"/>
        <v>27592.560000000001</v>
      </c>
      <c r="P130" s="239">
        <f t="shared" si="22"/>
        <v>28144.380000000005</v>
      </c>
      <c r="Q130" s="239">
        <f t="shared" si="23"/>
        <v>41388.840000000004</v>
      </c>
      <c r="R130" s="239">
        <f t="shared" si="24"/>
        <v>42216.570000000007</v>
      </c>
      <c r="S130" s="239">
        <f t="shared" si="25"/>
        <v>55185.120000000003</v>
      </c>
      <c r="T130" s="239">
        <f t="shared" si="26"/>
        <v>56288.760000000009</v>
      </c>
      <c r="U130" s="238">
        <f t="shared" si="27"/>
        <v>111473.88</v>
      </c>
    </row>
    <row r="131" spans="2:21">
      <c r="B131" s="234" t="s">
        <v>568</v>
      </c>
      <c r="C131" s="234">
        <v>1</v>
      </c>
      <c r="D131" s="234">
        <v>25.3</v>
      </c>
      <c r="E131" s="234">
        <v>4201.82</v>
      </c>
      <c r="F131" s="234">
        <v>12</v>
      </c>
      <c r="G131" s="234">
        <v>504.22</v>
      </c>
      <c r="H131" s="234">
        <v>90</v>
      </c>
      <c r="I131" s="234">
        <v>3781.64</v>
      </c>
      <c r="J131" s="234">
        <v>8487.68</v>
      </c>
      <c r="K131" s="234">
        <v>8487.68</v>
      </c>
      <c r="M131" s="239">
        <f t="shared" si="19"/>
        <v>12605.46</v>
      </c>
      <c r="N131" s="239">
        <f t="shared" si="20"/>
        <v>12857.579999999998</v>
      </c>
      <c r="O131" s="239">
        <f t="shared" si="21"/>
        <v>25210.92</v>
      </c>
      <c r="P131" s="239">
        <f t="shared" si="22"/>
        <v>25715.159999999996</v>
      </c>
      <c r="Q131" s="239">
        <f t="shared" si="23"/>
        <v>37816.379999999997</v>
      </c>
      <c r="R131" s="239">
        <f t="shared" si="24"/>
        <v>38572.74</v>
      </c>
      <c r="S131" s="239">
        <f t="shared" si="25"/>
        <v>50421.84</v>
      </c>
      <c r="T131" s="239">
        <f t="shared" si="26"/>
        <v>51430.319999999992</v>
      </c>
      <c r="U131" s="238">
        <f t="shared" si="27"/>
        <v>101852.15999999999</v>
      </c>
    </row>
    <row r="132" spans="2:21">
      <c r="B132" s="234" t="s">
        <v>569</v>
      </c>
      <c r="C132" s="234">
        <v>1</v>
      </c>
      <c r="D132" s="234">
        <v>24.19</v>
      </c>
      <c r="E132" s="234">
        <v>4017.48</v>
      </c>
      <c r="F132" s="234">
        <v>12</v>
      </c>
      <c r="G132" s="234">
        <v>482.1</v>
      </c>
      <c r="H132" s="234">
        <v>90</v>
      </c>
      <c r="I132" s="234">
        <v>3615.73</v>
      </c>
      <c r="J132" s="234">
        <v>8115.3</v>
      </c>
      <c r="K132" s="234">
        <v>8115.3</v>
      </c>
      <c r="M132" s="239">
        <f t="shared" si="19"/>
        <v>12052.44</v>
      </c>
      <c r="N132" s="239">
        <f t="shared" si="20"/>
        <v>12293.49</v>
      </c>
      <c r="O132" s="239">
        <f t="shared" si="21"/>
        <v>24104.880000000001</v>
      </c>
      <c r="P132" s="239">
        <f t="shared" si="22"/>
        <v>24586.98</v>
      </c>
      <c r="Q132" s="239">
        <f t="shared" si="23"/>
        <v>36157.32</v>
      </c>
      <c r="R132" s="239">
        <f t="shared" si="24"/>
        <v>36880.47</v>
      </c>
      <c r="S132" s="239">
        <f t="shared" si="25"/>
        <v>48209.760000000002</v>
      </c>
      <c r="T132" s="239">
        <f t="shared" si="26"/>
        <v>49173.96</v>
      </c>
      <c r="U132" s="238">
        <f t="shared" si="27"/>
        <v>97383.72</v>
      </c>
    </row>
    <row r="133" spans="2:21">
      <c r="B133" s="234" t="s">
        <v>570</v>
      </c>
      <c r="C133" s="234">
        <v>5</v>
      </c>
      <c r="D133" s="234">
        <v>27.21</v>
      </c>
      <c r="E133" s="234">
        <v>4519.04</v>
      </c>
      <c r="F133" s="234">
        <v>15</v>
      </c>
      <c r="G133" s="234">
        <v>677.86</v>
      </c>
      <c r="H133" s="234">
        <v>90</v>
      </c>
      <c r="I133" s="234">
        <v>4067.13</v>
      </c>
      <c r="J133" s="234">
        <v>9264.0300000000007</v>
      </c>
      <c r="K133" s="234">
        <v>46320.13</v>
      </c>
      <c r="M133" s="239">
        <f t="shared" si="19"/>
        <v>67785.599999999991</v>
      </c>
      <c r="N133" s="239">
        <f t="shared" si="20"/>
        <v>71174.849999999991</v>
      </c>
      <c r="O133" s="239">
        <f t="shared" si="21"/>
        <v>135571.20000000001</v>
      </c>
      <c r="P133" s="239">
        <f t="shared" si="22"/>
        <v>142349.69999999998</v>
      </c>
      <c r="Q133" s="239">
        <f t="shared" si="23"/>
        <v>203356.80000000002</v>
      </c>
      <c r="R133" s="239">
        <f t="shared" si="24"/>
        <v>213524.55</v>
      </c>
      <c r="S133" s="239">
        <f t="shared" si="25"/>
        <v>271142.40000000002</v>
      </c>
      <c r="T133" s="239">
        <f t="shared" si="26"/>
        <v>284699.39999999997</v>
      </c>
      <c r="U133" s="238">
        <f t="shared" si="27"/>
        <v>555841.80000000005</v>
      </c>
    </row>
    <row r="134" spans="2:21">
      <c r="B134" s="260" t="s">
        <v>571</v>
      </c>
      <c r="C134" s="260">
        <v>7</v>
      </c>
      <c r="D134" s="260">
        <v>22.76</v>
      </c>
      <c r="E134" s="260">
        <v>3779.98</v>
      </c>
      <c r="F134" s="260">
        <v>30</v>
      </c>
      <c r="G134" s="260">
        <v>1133.99</v>
      </c>
      <c r="H134" s="260">
        <v>75</v>
      </c>
      <c r="I134" s="260">
        <v>2834.99</v>
      </c>
      <c r="J134" s="260">
        <v>7748.96</v>
      </c>
      <c r="K134" s="260">
        <v>54242.720000000001</v>
      </c>
      <c r="L134" s="261"/>
      <c r="M134" s="262">
        <f t="shared" si="19"/>
        <v>79379.58</v>
      </c>
      <c r="N134" s="262">
        <f t="shared" si="20"/>
        <v>83348.579999999987</v>
      </c>
      <c r="O134" s="262">
        <f t="shared" si="21"/>
        <v>158759.16</v>
      </c>
      <c r="P134" s="262">
        <f t="shared" si="22"/>
        <v>166697.15999999997</v>
      </c>
      <c r="Q134" s="262">
        <f t="shared" si="23"/>
        <v>238138.74</v>
      </c>
      <c r="R134" s="262">
        <f t="shared" si="24"/>
        <v>250045.73999999996</v>
      </c>
      <c r="S134" s="262">
        <f t="shared" si="25"/>
        <v>317518.32</v>
      </c>
      <c r="T134" s="262">
        <f t="shared" si="26"/>
        <v>333394.31999999995</v>
      </c>
      <c r="U134" s="263">
        <f t="shared" si="27"/>
        <v>650912.6399999999</v>
      </c>
    </row>
    <row r="135" spans="2:21">
      <c r="B135" s="234" t="s">
        <v>572</v>
      </c>
      <c r="C135" s="234">
        <v>1</v>
      </c>
      <c r="D135" s="234">
        <v>23.4</v>
      </c>
      <c r="E135" s="234">
        <v>3886.27</v>
      </c>
      <c r="F135" s="234">
        <v>25</v>
      </c>
      <c r="G135" s="234">
        <v>971.57</v>
      </c>
      <c r="H135" s="234">
        <v>75</v>
      </c>
      <c r="I135" s="234">
        <v>2914.7</v>
      </c>
      <c r="J135" s="234">
        <v>7772.54</v>
      </c>
      <c r="K135" s="234">
        <v>7772.54</v>
      </c>
      <c r="M135" s="239">
        <f t="shared" si="19"/>
        <v>11658.81</v>
      </c>
      <c r="N135" s="239">
        <f t="shared" si="20"/>
        <v>11658.81</v>
      </c>
      <c r="O135" s="239">
        <f t="shared" si="21"/>
        <v>23317.62</v>
      </c>
      <c r="P135" s="239">
        <f t="shared" si="22"/>
        <v>23317.62</v>
      </c>
      <c r="Q135" s="239">
        <f t="shared" si="23"/>
        <v>34976.43</v>
      </c>
      <c r="R135" s="239">
        <f t="shared" si="24"/>
        <v>34976.43</v>
      </c>
      <c r="S135" s="239">
        <f t="shared" si="25"/>
        <v>46635.24</v>
      </c>
      <c r="T135" s="239">
        <f t="shared" si="26"/>
        <v>46635.24</v>
      </c>
      <c r="U135" s="238">
        <f t="shared" si="27"/>
        <v>93270.48</v>
      </c>
    </row>
    <row r="136" spans="2:21">
      <c r="B136" s="234" t="s">
        <v>573</v>
      </c>
      <c r="C136" s="234">
        <v>1</v>
      </c>
      <c r="D136" s="234">
        <v>23.4</v>
      </c>
      <c r="E136" s="234">
        <v>3886.27</v>
      </c>
      <c r="F136" s="234">
        <v>25</v>
      </c>
      <c r="G136" s="234">
        <v>971.57</v>
      </c>
      <c r="H136" s="234">
        <v>75</v>
      </c>
      <c r="I136" s="234">
        <v>2914.7</v>
      </c>
      <c r="J136" s="234">
        <v>7772.54</v>
      </c>
      <c r="K136" s="234">
        <v>7772.54</v>
      </c>
      <c r="M136" s="239">
        <f t="shared" si="19"/>
        <v>11658.81</v>
      </c>
      <c r="N136" s="239">
        <f t="shared" si="20"/>
        <v>11658.81</v>
      </c>
      <c r="O136" s="239">
        <f t="shared" si="21"/>
        <v>23317.62</v>
      </c>
      <c r="P136" s="239">
        <f t="shared" si="22"/>
        <v>23317.62</v>
      </c>
      <c r="Q136" s="239">
        <f t="shared" si="23"/>
        <v>34976.43</v>
      </c>
      <c r="R136" s="239">
        <f t="shared" si="24"/>
        <v>34976.43</v>
      </c>
      <c r="S136" s="239">
        <f t="shared" si="25"/>
        <v>46635.24</v>
      </c>
      <c r="T136" s="239">
        <f t="shared" si="26"/>
        <v>46635.24</v>
      </c>
      <c r="U136" s="238">
        <f t="shared" si="27"/>
        <v>93270.48</v>
      </c>
    </row>
    <row r="137" spans="2:21">
      <c r="B137" s="234" t="s">
        <v>574</v>
      </c>
      <c r="C137" s="234">
        <v>1</v>
      </c>
      <c r="D137" s="234">
        <v>23.4</v>
      </c>
      <c r="E137" s="234">
        <v>3886.27</v>
      </c>
      <c r="F137" s="234">
        <v>25</v>
      </c>
      <c r="G137" s="234">
        <v>971.57</v>
      </c>
      <c r="H137" s="234">
        <v>75</v>
      </c>
      <c r="I137" s="234">
        <v>2914.7</v>
      </c>
      <c r="J137" s="234">
        <v>7772.54</v>
      </c>
      <c r="K137" s="234">
        <v>7772.54</v>
      </c>
      <c r="M137" s="239">
        <f t="shared" si="19"/>
        <v>11658.81</v>
      </c>
      <c r="N137" s="239">
        <f t="shared" si="20"/>
        <v>11658.81</v>
      </c>
      <c r="O137" s="239">
        <f t="shared" si="21"/>
        <v>23317.62</v>
      </c>
      <c r="P137" s="239">
        <f t="shared" si="22"/>
        <v>23317.62</v>
      </c>
      <c r="Q137" s="239">
        <f t="shared" si="23"/>
        <v>34976.43</v>
      </c>
      <c r="R137" s="239">
        <f t="shared" si="24"/>
        <v>34976.43</v>
      </c>
      <c r="S137" s="239">
        <f t="shared" si="25"/>
        <v>46635.24</v>
      </c>
      <c r="T137" s="239">
        <f t="shared" si="26"/>
        <v>46635.24</v>
      </c>
      <c r="U137" s="238">
        <f t="shared" si="27"/>
        <v>93270.48</v>
      </c>
    </row>
    <row r="138" spans="2:21">
      <c r="B138" s="234" t="s">
        <v>575</v>
      </c>
      <c r="C138" s="234">
        <v>1</v>
      </c>
      <c r="D138" s="234">
        <v>23.4</v>
      </c>
      <c r="E138" s="234">
        <v>3886.27</v>
      </c>
      <c r="F138" s="234">
        <v>50</v>
      </c>
      <c r="G138" s="234">
        <v>1943.14</v>
      </c>
      <c r="H138" s="234">
        <v>75</v>
      </c>
      <c r="I138" s="234">
        <v>2914.7</v>
      </c>
      <c r="J138" s="234">
        <v>8744.11</v>
      </c>
      <c r="K138" s="234">
        <v>8744.11</v>
      </c>
      <c r="M138" s="239">
        <f t="shared" si="19"/>
        <v>11658.81</v>
      </c>
      <c r="N138" s="239">
        <f t="shared" si="20"/>
        <v>14573.52</v>
      </c>
      <c r="O138" s="239">
        <f t="shared" si="21"/>
        <v>23317.62</v>
      </c>
      <c r="P138" s="239">
        <f t="shared" si="22"/>
        <v>29147.040000000001</v>
      </c>
      <c r="Q138" s="239">
        <f t="shared" si="23"/>
        <v>34976.43</v>
      </c>
      <c r="R138" s="239">
        <f t="shared" si="24"/>
        <v>43720.56</v>
      </c>
      <c r="S138" s="239">
        <f t="shared" si="25"/>
        <v>46635.24</v>
      </c>
      <c r="T138" s="239">
        <f t="shared" si="26"/>
        <v>58294.080000000002</v>
      </c>
      <c r="U138" s="238">
        <f t="shared" si="27"/>
        <v>104929.32</v>
      </c>
    </row>
    <row r="139" spans="2:21">
      <c r="B139" s="234" t="s">
        <v>576</v>
      </c>
      <c r="C139" s="234">
        <v>1</v>
      </c>
      <c r="D139" s="234">
        <v>23.4</v>
      </c>
      <c r="E139" s="234">
        <v>3886.27</v>
      </c>
      <c r="F139" s="234">
        <v>25</v>
      </c>
      <c r="G139" s="234">
        <v>971.57</v>
      </c>
      <c r="H139" s="234">
        <v>75</v>
      </c>
      <c r="I139" s="234">
        <v>2914.7</v>
      </c>
      <c r="J139" s="234">
        <v>7772.54</v>
      </c>
      <c r="K139" s="234">
        <v>7772.54</v>
      </c>
      <c r="M139" s="239">
        <f t="shared" si="19"/>
        <v>11658.81</v>
      </c>
      <c r="N139" s="239">
        <f t="shared" si="20"/>
        <v>11658.81</v>
      </c>
      <c r="O139" s="239">
        <f t="shared" si="21"/>
        <v>23317.62</v>
      </c>
      <c r="P139" s="239">
        <f t="shared" si="22"/>
        <v>23317.62</v>
      </c>
      <c r="Q139" s="239">
        <f t="shared" si="23"/>
        <v>34976.43</v>
      </c>
      <c r="R139" s="239">
        <f t="shared" si="24"/>
        <v>34976.43</v>
      </c>
      <c r="S139" s="239">
        <f t="shared" si="25"/>
        <v>46635.24</v>
      </c>
      <c r="T139" s="239">
        <f t="shared" si="26"/>
        <v>46635.24</v>
      </c>
      <c r="U139" s="238">
        <f t="shared" si="27"/>
        <v>93270.48</v>
      </c>
    </row>
    <row r="140" spans="2:21">
      <c r="B140" s="234" t="s">
        <v>577</v>
      </c>
      <c r="C140" s="234">
        <v>1</v>
      </c>
      <c r="D140" s="234">
        <v>22.76</v>
      </c>
      <c r="E140" s="234">
        <v>3779.98</v>
      </c>
      <c r="F140" s="234">
        <v>25</v>
      </c>
      <c r="G140" s="234">
        <v>945</v>
      </c>
      <c r="H140" s="234">
        <v>75</v>
      </c>
      <c r="I140" s="234">
        <v>2834.99</v>
      </c>
      <c r="J140" s="234">
        <v>7559.96</v>
      </c>
      <c r="K140" s="234">
        <v>7559.96</v>
      </c>
      <c r="M140" s="239">
        <f t="shared" si="19"/>
        <v>11339.94</v>
      </c>
      <c r="N140" s="239">
        <f t="shared" si="20"/>
        <v>11339.97</v>
      </c>
      <c r="O140" s="239">
        <f t="shared" si="21"/>
        <v>22679.88</v>
      </c>
      <c r="P140" s="239">
        <f t="shared" si="22"/>
        <v>22679.94</v>
      </c>
      <c r="Q140" s="239">
        <f t="shared" si="23"/>
        <v>34019.82</v>
      </c>
      <c r="R140" s="239">
        <f t="shared" si="24"/>
        <v>34019.909999999996</v>
      </c>
      <c r="S140" s="239">
        <f t="shared" si="25"/>
        <v>45359.76</v>
      </c>
      <c r="T140" s="239">
        <f t="shared" si="26"/>
        <v>45359.88</v>
      </c>
      <c r="U140" s="238">
        <f t="shared" si="27"/>
        <v>90719.64</v>
      </c>
    </row>
    <row r="141" spans="2:21">
      <c r="B141" s="234" t="s">
        <v>578</v>
      </c>
      <c r="C141" s="234">
        <v>1</v>
      </c>
      <c r="D141" s="234">
        <v>29.92</v>
      </c>
      <c r="E141" s="234">
        <v>4969.1099999999997</v>
      </c>
      <c r="F141" s="234">
        <v>12</v>
      </c>
      <c r="G141" s="234">
        <v>596.29</v>
      </c>
      <c r="H141" s="234">
        <v>90</v>
      </c>
      <c r="I141" s="234">
        <v>4472.2</v>
      </c>
      <c r="J141" s="234">
        <v>10037.61</v>
      </c>
      <c r="K141" s="234">
        <v>10037.61</v>
      </c>
      <c r="M141" s="239">
        <f t="shared" si="19"/>
        <v>14907.329999999998</v>
      </c>
      <c r="N141" s="239">
        <f t="shared" si="20"/>
        <v>15205.47</v>
      </c>
      <c r="O141" s="239">
        <f t="shared" si="21"/>
        <v>29814.659999999996</v>
      </c>
      <c r="P141" s="239">
        <f t="shared" si="22"/>
        <v>30410.94</v>
      </c>
      <c r="Q141" s="239">
        <f t="shared" si="23"/>
        <v>44721.99</v>
      </c>
      <c r="R141" s="239">
        <f t="shared" si="24"/>
        <v>45616.409999999996</v>
      </c>
      <c r="S141" s="239">
        <f t="shared" si="25"/>
        <v>59629.319999999992</v>
      </c>
      <c r="T141" s="239">
        <f t="shared" si="26"/>
        <v>60821.88</v>
      </c>
      <c r="U141" s="238">
        <f t="shared" si="27"/>
        <v>120451.19999999998</v>
      </c>
    </row>
    <row r="142" spans="2:21">
      <c r="B142" s="234" t="s">
        <v>579</v>
      </c>
      <c r="C142" s="234">
        <v>1</v>
      </c>
      <c r="D142" s="234">
        <v>32.94</v>
      </c>
      <c r="E142" s="234">
        <v>5470.68</v>
      </c>
      <c r="F142" s="234">
        <v>12</v>
      </c>
      <c r="G142" s="234">
        <v>656.48</v>
      </c>
      <c r="H142" s="234">
        <v>90</v>
      </c>
      <c r="I142" s="234">
        <v>4923.6099999999997</v>
      </c>
      <c r="J142" s="234">
        <v>11050.76</v>
      </c>
      <c r="K142" s="234">
        <v>11050.76</v>
      </c>
      <c r="M142" s="239">
        <f t="shared" si="19"/>
        <v>16412.04</v>
      </c>
      <c r="N142" s="239">
        <f t="shared" si="20"/>
        <v>16740.27</v>
      </c>
      <c r="O142" s="239">
        <f t="shared" si="21"/>
        <v>32824.080000000002</v>
      </c>
      <c r="P142" s="239">
        <f t="shared" si="22"/>
        <v>33480.54</v>
      </c>
      <c r="Q142" s="239">
        <f t="shared" si="23"/>
        <v>49236.12</v>
      </c>
      <c r="R142" s="239">
        <f t="shared" si="24"/>
        <v>50220.81</v>
      </c>
      <c r="S142" s="239">
        <f t="shared" si="25"/>
        <v>65648.160000000003</v>
      </c>
      <c r="T142" s="239">
        <f t="shared" si="26"/>
        <v>66961.08</v>
      </c>
      <c r="U142" s="238">
        <f t="shared" si="27"/>
        <v>132609.24</v>
      </c>
    </row>
    <row r="143" spans="2:21">
      <c r="B143" s="234" t="s">
        <v>580</v>
      </c>
      <c r="C143" s="234">
        <v>2</v>
      </c>
      <c r="D143" s="234">
        <v>17.82</v>
      </c>
      <c r="E143" s="234">
        <v>2959.55</v>
      </c>
      <c r="F143" s="234">
        <v>12</v>
      </c>
      <c r="G143" s="234">
        <v>355.15</v>
      </c>
      <c r="H143" s="234">
        <v>50</v>
      </c>
      <c r="I143" s="234">
        <v>1479.77</v>
      </c>
      <c r="J143" s="234">
        <v>4794.46</v>
      </c>
      <c r="K143" s="234">
        <v>9588.93</v>
      </c>
      <c r="M143" s="239">
        <f t="shared" si="19"/>
        <v>17757.300000000003</v>
      </c>
      <c r="N143" s="239">
        <f t="shared" si="20"/>
        <v>11009.52</v>
      </c>
      <c r="O143" s="239">
        <f t="shared" si="21"/>
        <v>35514.600000000006</v>
      </c>
      <c r="P143" s="239">
        <f t="shared" si="22"/>
        <v>22019.040000000001</v>
      </c>
      <c r="Q143" s="239">
        <f t="shared" si="23"/>
        <v>53271.9</v>
      </c>
      <c r="R143" s="239">
        <f t="shared" si="24"/>
        <v>33028.559999999998</v>
      </c>
      <c r="S143" s="239">
        <f t="shared" si="25"/>
        <v>71029.200000000012</v>
      </c>
      <c r="T143" s="239">
        <f t="shared" si="26"/>
        <v>44038.080000000002</v>
      </c>
      <c r="U143" s="238">
        <f t="shared" si="27"/>
        <v>115067.28000000001</v>
      </c>
    </row>
    <row r="144" spans="2:21">
      <c r="B144" s="234" t="s">
        <v>472</v>
      </c>
      <c r="C144" s="234">
        <v>110</v>
      </c>
      <c r="D144" s="234"/>
      <c r="E144" s="234"/>
      <c r="F144" s="234"/>
      <c r="G144" s="234"/>
      <c r="H144" s="234"/>
      <c r="I144" s="234"/>
      <c r="J144" s="234"/>
      <c r="K144" s="234">
        <v>1164457.6100000001</v>
      </c>
      <c r="M144" s="239">
        <f t="shared" si="19"/>
        <v>0</v>
      </c>
      <c r="N144" s="239">
        <f t="shared" si="20"/>
        <v>0</v>
      </c>
      <c r="O144" s="239">
        <f t="shared" si="21"/>
        <v>0</v>
      </c>
      <c r="P144" s="239">
        <f t="shared" si="22"/>
        <v>0</v>
      </c>
      <c r="Q144" s="239">
        <f t="shared" si="23"/>
        <v>0</v>
      </c>
      <c r="R144" s="239">
        <f t="shared" si="24"/>
        <v>0</v>
      </c>
      <c r="S144" s="239">
        <f t="shared" si="25"/>
        <v>0</v>
      </c>
      <c r="T144" s="239">
        <f t="shared" si="26"/>
        <v>0</v>
      </c>
      <c r="U144" s="238">
        <f t="shared" si="27"/>
        <v>0</v>
      </c>
    </row>
    <row r="145" spans="2:21">
      <c r="B145" s="234" t="s">
        <v>581</v>
      </c>
      <c r="C145" s="234"/>
      <c r="D145" s="234"/>
      <c r="E145" s="234"/>
      <c r="F145" s="234"/>
      <c r="G145" s="234"/>
      <c r="H145" s="234"/>
      <c r="I145" s="234"/>
      <c r="J145" s="234"/>
      <c r="K145" s="234"/>
      <c r="M145" s="239">
        <f t="shared" si="19"/>
        <v>0</v>
      </c>
      <c r="N145" s="239">
        <f t="shared" si="20"/>
        <v>0</v>
      </c>
      <c r="O145" s="239">
        <f t="shared" si="21"/>
        <v>0</v>
      </c>
      <c r="P145" s="239">
        <f t="shared" si="22"/>
        <v>0</v>
      </c>
      <c r="Q145" s="239">
        <f t="shared" si="23"/>
        <v>0</v>
      </c>
      <c r="R145" s="239">
        <f t="shared" si="24"/>
        <v>0</v>
      </c>
      <c r="S145" s="239">
        <f t="shared" si="25"/>
        <v>0</v>
      </c>
      <c r="T145" s="239">
        <f t="shared" si="26"/>
        <v>0</v>
      </c>
      <c r="U145" s="238">
        <f t="shared" si="27"/>
        <v>0</v>
      </c>
    </row>
    <row r="146" spans="2:21">
      <c r="B146" s="234" t="s">
        <v>582</v>
      </c>
      <c r="C146" s="234">
        <v>4</v>
      </c>
      <c r="D146" s="234">
        <v>28.01</v>
      </c>
      <c r="E146" s="234">
        <v>4651.8999999999996</v>
      </c>
      <c r="F146" s="234">
        <v>24</v>
      </c>
      <c r="G146" s="234">
        <v>1116.46</v>
      </c>
      <c r="H146" s="234">
        <v>50</v>
      </c>
      <c r="I146" s="234">
        <v>2325.9499999999998</v>
      </c>
      <c r="J146" s="234">
        <v>8094.31</v>
      </c>
      <c r="K146" s="234">
        <v>32377.23</v>
      </c>
      <c r="M146" s="239">
        <f t="shared" si="19"/>
        <v>55822.799999999996</v>
      </c>
      <c r="N146" s="239">
        <f t="shared" si="20"/>
        <v>41308.92</v>
      </c>
      <c r="O146" s="239">
        <f t="shared" si="21"/>
        <v>111645.59999999999</v>
      </c>
      <c r="P146" s="239">
        <f t="shared" si="22"/>
        <v>82617.84</v>
      </c>
      <c r="Q146" s="239">
        <f t="shared" si="23"/>
        <v>167468.4</v>
      </c>
      <c r="R146" s="239">
        <f t="shared" si="24"/>
        <v>123926.76</v>
      </c>
      <c r="S146" s="239">
        <f t="shared" si="25"/>
        <v>223291.19999999998</v>
      </c>
      <c r="T146" s="239">
        <f t="shared" si="26"/>
        <v>165235.68</v>
      </c>
      <c r="U146" s="238">
        <f t="shared" si="27"/>
        <v>388526.88</v>
      </c>
    </row>
    <row r="147" spans="2:21">
      <c r="B147" s="234" t="s">
        <v>583</v>
      </c>
      <c r="C147" s="234">
        <v>4</v>
      </c>
      <c r="D147" s="234">
        <v>32.15</v>
      </c>
      <c r="E147" s="234">
        <v>5339.47</v>
      </c>
      <c r="F147" s="234">
        <v>28</v>
      </c>
      <c r="G147" s="234">
        <v>1495.05</v>
      </c>
      <c r="H147" s="234">
        <v>50</v>
      </c>
      <c r="I147" s="234">
        <v>2669.74</v>
      </c>
      <c r="J147" s="234">
        <v>9504.26</v>
      </c>
      <c r="K147" s="234">
        <v>38017.040000000001</v>
      </c>
      <c r="M147" s="239">
        <f t="shared" si="19"/>
        <v>64073.64</v>
      </c>
      <c r="N147" s="239">
        <f t="shared" si="20"/>
        <v>49977.479999999996</v>
      </c>
      <c r="O147" s="239">
        <f t="shared" si="21"/>
        <v>128147.28</v>
      </c>
      <c r="P147" s="239">
        <f t="shared" si="22"/>
        <v>99954.959999999992</v>
      </c>
      <c r="Q147" s="239">
        <f t="shared" si="23"/>
        <v>192220.92</v>
      </c>
      <c r="R147" s="239">
        <f t="shared" si="24"/>
        <v>149932.44</v>
      </c>
      <c r="S147" s="239">
        <f t="shared" si="25"/>
        <v>256294.56</v>
      </c>
      <c r="T147" s="239">
        <f t="shared" si="26"/>
        <v>199909.91999999998</v>
      </c>
      <c r="U147" s="238">
        <f t="shared" si="27"/>
        <v>456204.48</v>
      </c>
    </row>
    <row r="148" spans="2:21">
      <c r="B148" s="234" t="s">
        <v>584</v>
      </c>
      <c r="C148" s="234">
        <v>2</v>
      </c>
      <c r="D148" s="234">
        <v>28.64</v>
      </c>
      <c r="E148" s="234">
        <v>4756.53</v>
      </c>
      <c r="F148" s="234">
        <v>24</v>
      </c>
      <c r="G148" s="234">
        <v>1141.57</v>
      </c>
      <c r="H148" s="234">
        <v>50</v>
      </c>
      <c r="I148" s="234">
        <v>2378.27</v>
      </c>
      <c r="J148" s="234">
        <v>8276.36</v>
      </c>
      <c r="K148" s="234">
        <v>16552.73</v>
      </c>
      <c r="M148" s="239">
        <f t="shared" si="19"/>
        <v>28539.18</v>
      </c>
      <c r="N148" s="239">
        <f t="shared" si="20"/>
        <v>21119.040000000001</v>
      </c>
      <c r="O148" s="239">
        <f t="shared" si="21"/>
        <v>57078.36</v>
      </c>
      <c r="P148" s="239">
        <f t="shared" si="22"/>
        <v>42238.080000000002</v>
      </c>
      <c r="Q148" s="239">
        <f t="shared" si="23"/>
        <v>85617.54</v>
      </c>
      <c r="R148" s="239">
        <f t="shared" si="24"/>
        <v>63357.120000000003</v>
      </c>
      <c r="S148" s="239">
        <f t="shared" si="25"/>
        <v>114156.72</v>
      </c>
      <c r="T148" s="239">
        <f t="shared" si="26"/>
        <v>84476.160000000003</v>
      </c>
      <c r="U148" s="238">
        <f t="shared" si="27"/>
        <v>198632.88</v>
      </c>
    </row>
    <row r="149" spans="2:21">
      <c r="B149" s="234" t="s">
        <v>585</v>
      </c>
      <c r="C149" s="234">
        <v>1</v>
      </c>
      <c r="D149" s="234">
        <v>36.770000000000003</v>
      </c>
      <c r="E149" s="234">
        <v>6106.76</v>
      </c>
      <c r="F149" s="234">
        <v>32</v>
      </c>
      <c r="G149" s="234">
        <v>1954.16</v>
      </c>
      <c r="H149" s="234">
        <v>50</v>
      </c>
      <c r="I149" s="234">
        <v>3053.38</v>
      </c>
      <c r="J149" s="234">
        <v>11114.31</v>
      </c>
      <c r="K149" s="234">
        <v>11114.31</v>
      </c>
      <c r="M149" s="239">
        <f t="shared" si="19"/>
        <v>18320.28</v>
      </c>
      <c r="N149" s="239">
        <f t="shared" si="20"/>
        <v>15022.619999999999</v>
      </c>
      <c r="O149" s="239">
        <f t="shared" si="21"/>
        <v>36640.559999999998</v>
      </c>
      <c r="P149" s="239">
        <f t="shared" si="22"/>
        <v>30045.239999999998</v>
      </c>
      <c r="Q149" s="239">
        <f t="shared" si="23"/>
        <v>54960.840000000004</v>
      </c>
      <c r="R149" s="239">
        <f t="shared" si="24"/>
        <v>45067.86</v>
      </c>
      <c r="S149" s="239">
        <f t="shared" si="25"/>
        <v>73281.119999999995</v>
      </c>
      <c r="T149" s="239">
        <f t="shared" si="26"/>
        <v>60090.479999999996</v>
      </c>
      <c r="U149" s="238">
        <f t="shared" si="27"/>
        <v>133371.59999999998</v>
      </c>
    </row>
    <row r="150" spans="2:21">
      <c r="B150" s="234" t="s">
        <v>586</v>
      </c>
      <c r="C150" s="234">
        <v>2</v>
      </c>
      <c r="D150" s="234">
        <v>42.97</v>
      </c>
      <c r="E150" s="234">
        <v>7136.46</v>
      </c>
      <c r="F150" s="234">
        <v>36</v>
      </c>
      <c r="G150" s="234">
        <v>2569.12</v>
      </c>
      <c r="H150" s="234">
        <v>50</v>
      </c>
      <c r="I150" s="234">
        <v>3568.23</v>
      </c>
      <c r="J150" s="234">
        <v>13273.81</v>
      </c>
      <c r="K150" s="234">
        <v>26547.62</v>
      </c>
      <c r="M150" s="239">
        <f t="shared" si="19"/>
        <v>42818.76</v>
      </c>
      <c r="N150" s="239">
        <f t="shared" si="20"/>
        <v>36824.100000000006</v>
      </c>
      <c r="O150" s="239">
        <f t="shared" si="21"/>
        <v>85637.52</v>
      </c>
      <c r="P150" s="239">
        <f t="shared" si="22"/>
        <v>73648.200000000012</v>
      </c>
      <c r="Q150" s="239">
        <f t="shared" si="23"/>
        <v>128456.28</v>
      </c>
      <c r="R150" s="239">
        <f t="shared" si="24"/>
        <v>110472.3</v>
      </c>
      <c r="S150" s="239">
        <f t="shared" si="25"/>
        <v>171275.04</v>
      </c>
      <c r="T150" s="239">
        <f t="shared" si="26"/>
        <v>147296.40000000002</v>
      </c>
      <c r="U150" s="238">
        <f t="shared" si="27"/>
        <v>318571.44000000006</v>
      </c>
    </row>
    <row r="151" spans="2:21">
      <c r="B151" s="234" t="s">
        <v>587</v>
      </c>
      <c r="C151" s="234">
        <v>1</v>
      </c>
      <c r="D151" s="234">
        <v>24.03</v>
      </c>
      <c r="E151" s="234">
        <v>3990.9</v>
      </c>
      <c r="F151" s="234"/>
      <c r="G151" s="234"/>
      <c r="H151" s="234">
        <v>50</v>
      </c>
      <c r="I151" s="234">
        <v>1995.45</v>
      </c>
      <c r="J151" s="234">
        <v>5986.35</v>
      </c>
      <c r="K151" s="234">
        <v>5986.35</v>
      </c>
      <c r="M151" s="239">
        <f t="shared" si="19"/>
        <v>11972.7</v>
      </c>
      <c r="N151" s="239">
        <f t="shared" si="20"/>
        <v>5986.35</v>
      </c>
      <c r="O151" s="239">
        <f t="shared" si="21"/>
        <v>23945.4</v>
      </c>
      <c r="P151" s="239">
        <f t="shared" si="22"/>
        <v>11972.7</v>
      </c>
      <c r="Q151" s="239">
        <f t="shared" si="23"/>
        <v>35918.1</v>
      </c>
      <c r="R151" s="239">
        <f t="shared" si="24"/>
        <v>17959.05</v>
      </c>
      <c r="S151" s="239">
        <f t="shared" si="25"/>
        <v>47890.8</v>
      </c>
      <c r="T151" s="239">
        <f t="shared" si="26"/>
        <v>23945.4</v>
      </c>
      <c r="U151" s="238">
        <f t="shared" si="27"/>
        <v>71836.200000000012</v>
      </c>
    </row>
    <row r="152" spans="2:21">
      <c r="B152" s="234" t="s">
        <v>588</v>
      </c>
      <c r="C152" s="234">
        <v>1</v>
      </c>
      <c r="D152" s="234">
        <v>42.97</v>
      </c>
      <c r="E152" s="234">
        <v>7136.46</v>
      </c>
      <c r="F152" s="234">
        <v>36</v>
      </c>
      <c r="G152" s="234">
        <v>2569.12</v>
      </c>
      <c r="H152" s="234">
        <v>50</v>
      </c>
      <c r="I152" s="234">
        <v>3568.23</v>
      </c>
      <c r="J152" s="234">
        <v>13273.81</v>
      </c>
      <c r="K152" s="234">
        <v>13273.81</v>
      </c>
      <c r="M152" s="239">
        <f t="shared" ref="M152:M194" si="28">E152*3*C152</f>
        <v>21409.38</v>
      </c>
      <c r="N152" s="239">
        <f t="shared" ref="N152:N194" si="29">(G152+I152)*C152*3</f>
        <v>18412.050000000003</v>
      </c>
      <c r="O152" s="239">
        <f t="shared" ref="O152:O194" si="30">E152*C152*6</f>
        <v>42818.76</v>
      </c>
      <c r="P152" s="239">
        <f t="shared" ref="P152:P194" si="31">(G152+I152)*C152*6</f>
        <v>36824.100000000006</v>
      </c>
      <c r="Q152" s="239">
        <f t="shared" ref="Q152:Q194" si="32">E152*C152*9</f>
        <v>64228.14</v>
      </c>
      <c r="R152" s="239">
        <f t="shared" ref="R152:R194" si="33">(G152+I152)*C152*9</f>
        <v>55236.15</v>
      </c>
      <c r="S152" s="239">
        <f t="shared" ref="S152:S194" si="34">E152*C152*12</f>
        <v>85637.52</v>
      </c>
      <c r="T152" s="239">
        <f t="shared" ref="T152:T194" si="35">(G152+I152)*C152*12</f>
        <v>73648.200000000012</v>
      </c>
      <c r="U152" s="238">
        <f t="shared" ref="U152:U194" si="36">S152+T152</f>
        <v>159285.72000000003</v>
      </c>
    </row>
    <row r="153" spans="2:21">
      <c r="B153" s="234" t="s">
        <v>589</v>
      </c>
      <c r="C153" s="234">
        <v>1</v>
      </c>
      <c r="D153" s="234">
        <v>32.15</v>
      </c>
      <c r="E153" s="234">
        <v>5339.47</v>
      </c>
      <c r="F153" s="234">
        <v>28</v>
      </c>
      <c r="G153" s="234">
        <v>1495.05</v>
      </c>
      <c r="H153" s="234">
        <v>50</v>
      </c>
      <c r="I153" s="234">
        <v>2669.74</v>
      </c>
      <c r="J153" s="234">
        <v>9504.26</v>
      </c>
      <c r="K153" s="234">
        <v>9504.26</v>
      </c>
      <c r="M153" s="239">
        <f t="shared" si="28"/>
        <v>16018.41</v>
      </c>
      <c r="N153" s="239">
        <f t="shared" si="29"/>
        <v>12494.369999999999</v>
      </c>
      <c r="O153" s="239">
        <f t="shared" si="30"/>
        <v>32036.82</v>
      </c>
      <c r="P153" s="239">
        <f t="shared" si="31"/>
        <v>24988.739999999998</v>
      </c>
      <c r="Q153" s="239">
        <f t="shared" si="32"/>
        <v>48055.23</v>
      </c>
      <c r="R153" s="239">
        <f t="shared" si="33"/>
        <v>37483.11</v>
      </c>
      <c r="S153" s="239">
        <f t="shared" si="34"/>
        <v>64073.64</v>
      </c>
      <c r="T153" s="239">
        <f t="shared" si="35"/>
        <v>49977.479999999996</v>
      </c>
      <c r="U153" s="238">
        <f t="shared" si="36"/>
        <v>114051.12</v>
      </c>
    </row>
    <row r="154" spans="2:21">
      <c r="B154" s="234" t="s">
        <v>590</v>
      </c>
      <c r="C154" s="234">
        <v>1</v>
      </c>
      <c r="D154" s="234">
        <v>32.15</v>
      </c>
      <c r="E154" s="234">
        <v>5339.47</v>
      </c>
      <c r="F154" s="234">
        <v>28</v>
      </c>
      <c r="G154" s="234">
        <v>1495.05</v>
      </c>
      <c r="H154" s="234">
        <v>50</v>
      </c>
      <c r="I154" s="234">
        <v>2669.74</v>
      </c>
      <c r="J154" s="234">
        <v>9504.26</v>
      </c>
      <c r="K154" s="234">
        <v>9504.26</v>
      </c>
      <c r="M154" s="239">
        <f t="shared" si="28"/>
        <v>16018.41</v>
      </c>
      <c r="N154" s="239">
        <f t="shared" si="29"/>
        <v>12494.369999999999</v>
      </c>
      <c r="O154" s="239">
        <f t="shared" si="30"/>
        <v>32036.82</v>
      </c>
      <c r="P154" s="239">
        <f t="shared" si="31"/>
        <v>24988.739999999998</v>
      </c>
      <c r="Q154" s="239">
        <f t="shared" si="32"/>
        <v>48055.23</v>
      </c>
      <c r="R154" s="239">
        <f t="shared" si="33"/>
        <v>37483.11</v>
      </c>
      <c r="S154" s="239">
        <f t="shared" si="34"/>
        <v>64073.64</v>
      </c>
      <c r="T154" s="239">
        <f t="shared" si="35"/>
        <v>49977.479999999996</v>
      </c>
      <c r="U154" s="238">
        <f t="shared" si="36"/>
        <v>114051.12</v>
      </c>
    </row>
    <row r="155" spans="2:21">
      <c r="B155" s="234" t="s">
        <v>591</v>
      </c>
      <c r="C155" s="234">
        <v>4</v>
      </c>
      <c r="D155" s="234">
        <v>32.15</v>
      </c>
      <c r="E155" s="234">
        <v>5339.47</v>
      </c>
      <c r="F155" s="234">
        <v>28</v>
      </c>
      <c r="G155" s="234">
        <v>1495.05</v>
      </c>
      <c r="H155" s="234">
        <v>50</v>
      </c>
      <c r="I155" s="234">
        <v>2669.74</v>
      </c>
      <c r="J155" s="234">
        <v>9504.2601599999998</v>
      </c>
      <c r="K155" s="234">
        <v>38017.040000000001</v>
      </c>
      <c r="M155" s="239">
        <f t="shared" si="28"/>
        <v>64073.64</v>
      </c>
      <c r="N155" s="239">
        <f t="shared" si="29"/>
        <v>49977.479999999996</v>
      </c>
      <c r="O155" s="239">
        <f t="shared" si="30"/>
        <v>128147.28</v>
      </c>
      <c r="P155" s="239">
        <f t="shared" si="31"/>
        <v>99954.959999999992</v>
      </c>
      <c r="Q155" s="239">
        <f t="shared" si="32"/>
        <v>192220.92</v>
      </c>
      <c r="R155" s="239">
        <f t="shared" si="33"/>
        <v>149932.44</v>
      </c>
      <c r="S155" s="239">
        <f t="shared" si="34"/>
        <v>256294.56</v>
      </c>
      <c r="T155" s="239">
        <f t="shared" si="35"/>
        <v>199909.91999999998</v>
      </c>
      <c r="U155" s="238">
        <f t="shared" si="36"/>
        <v>456204.48</v>
      </c>
    </row>
    <row r="156" spans="2:21">
      <c r="B156" s="234" t="s">
        <v>592</v>
      </c>
      <c r="C156" s="234">
        <v>3</v>
      </c>
      <c r="D156" s="234">
        <v>36.770000000000003</v>
      </c>
      <c r="E156" s="234">
        <v>6106.76</v>
      </c>
      <c r="F156" s="234">
        <v>32</v>
      </c>
      <c r="G156" s="234">
        <v>1954.16</v>
      </c>
      <c r="H156" s="234">
        <v>50</v>
      </c>
      <c r="I156" s="234">
        <v>3053.38</v>
      </c>
      <c r="J156" s="234">
        <v>11114.31</v>
      </c>
      <c r="K156" s="234">
        <v>33342.92</v>
      </c>
      <c r="M156" s="239">
        <f t="shared" si="28"/>
        <v>54960.84</v>
      </c>
      <c r="N156" s="239">
        <f t="shared" si="29"/>
        <v>45067.86</v>
      </c>
      <c r="O156" s="239">
        <f t="shared" si="30"/>
        <v>109921.68</v>
      </c>
      <c r="P156" s="239">
        <f t="shared" si="31"/>
        <v>90135.72</v>
      </c>
      <c r="Q156" s="239">
        <f t="shared" si="32"/>
        <v>164882.51999999999</v>
      </c>
      <c r="R156" s="239">
        <f t="shared" si="33"/>
        <v>135203.57999999999</v>
      </c>
      <c r="S156" s="239">
        <f t="shared" si="34"/>
        <v>219843.36</v>
      </c>
      <c r="T156" s="239">
        <f t="shared" si="35"/>
        <v>180271.44</v>
      </c>
      <c r="U156" s="238">
        <f t="shared" si="36"/>
        <v>400114.8</v>
      </c>
    </row>
    <row r="157" spans="2:21">
      <c r="B157" s="234" t="s">
        <v>593</v>
      </c>
      <c r="C157" s="234">
        <v>1</v>
      </c>
      <c r="D157" s="234">
        <v>36.770000000000003</v>
      </c>
      <c r="E157" s="234">
        <v>6106.76</v>
      </c>
      <c r="F157" s="234">
        <v>32</v>
      </c>
      <c r="G157" s="234">
        <v>1954.16</v>
      </c>
      <c r="H157" s="234">
        <v>50</v>
      </c>
      <c r="I157" s="234">
        <v>3053.38</v>
      </c>
      <c r="J157" s="234">
        <v>11114.31</v>
      </c>
      <c r="K157" s="234">
        <v>11114.31</v>
      </c>
      <c r="M157" s="239">
        <f t="shared" si="28"/>
        <v>18320.28</v>
      </c>
      <c r="N157" s="239">
        <f t="shared" si="29"/>
        <v>15022.619999999999</v>
      </c>
      <c r="O157" s="239">
        <f t="shared" si="30"/>
        <v>36640.559999999998</v>
      </c>
      <c r="P157" s="239">
        <f t="shared" si="31"/>
        <v>30045.239999999998</v>
      </c>
      <c r="Q157" s="239">
        <f t="shared" si="32"/>
        <v>54960.840000000004</v>
      </c>
      <c r="R157" s="239">
        <f t="shared" si="33"/>
        <v>45067.86</v>
      </c>
      <c r="S157" s="239">
        <f t="shared" si="34"/>
        <v>73281.119999999995</v>
      </c>
      <c r="T157" s="239">
        <f t="shared" si="35"/>
        <v>60090.479999999996</v>
      </c>
      <c r="U157" s="238">
        <f t="shared" si="36"/>
        <v>133371.59999999998</v>
      </c>
    </row>
    <row r="158" spans="2:21">
      <c r="B158" s="234" t="s">
        <v>594</v>
      </c>
      <c r="C158" s="234">
        <v>1</v>
      </c>
      <c r="D158" s="234">
        <v>42.97</v>
      </c>
      <c r="E158" s="234">
        <v>7136.46</v>
      </c>
      <c r="F158" s="234">
        <v>36</v>
      </c>
      <c r="G158" s="234">
        <v>2569.12</v>
      </c>
      <c r="H158" s="234">
        <v>50</v>
      </c>
      <c r="I158" s="234">
        <v>3568.23</v>
      </c>
      <c r="J158" s="234">
        <v>13273.81</v>
      </c>
      <c r="K158" s="234">
        <v>13273.81</v>
      </c>
      <c r="M158" s="239">
        <f t="shared" si="28"/>
        <v>21409.38</v>
      </c>
      <c r="N158" s="239">
        <f t="shared" si="29"/>
        <v>18412.050000000003</v>
      </c>
      <c r="O158" s="239">
        <f t="shared" si="30"/>
        <v>42818.76</v>
      </c>
      <c r="P158" s="239">
        <f t="shared" si="31"/>
        <v>36824.100000000006</v>
      </c>
      <c r="Q158" s="239">
        <f t="shared" si="32"/>
        <v>64228.14</v>
      </c>
      <c r="R158" s="239">
        <f t="shared" si="33"/>
        <v>55236.15</v>
      </c>
      <c r="S158" s="239">
        <f t="shared" si="34"/>
        <v>85637.52</v>
      </c>
      <c r="T158" s="239">
        <f t="shared" si="35"/>
        <v>73648.200000000012</v>
      </c>
      <c r="U158" s="238">
        <f t="shared" si="36"/>
        <v>159285.72000000003</v>
      </c>
    </row>
    <row r="159" spans="2:21">
      <c r="B159" s="234" t="s">
        <v>595</v>
      </c>
      <c r="C159" s="234">
        <v>2</v>
      </c>
      <c r="D159" s="234">
        <v>42.97</v>
      </c>
      <c r="E159" s="234">
        <v>7136.46</v>
      </c>
      <c r="F159" s="234">
        <v>36</v>
      </c>
      <c r="G159" s="234">
        <v>2569.12</v>
      </c>
      <c r="H159" s="234">
        <v>50</v>
      </c>
      <c r="I159" s="234">
        <v>3568.23</v>
      </c>
      <c r="J159" s="234">
        <v>13273.81</v>
      </c>
      <c r="K159" s="234">
        <v>26547.62</v>
      </c>
      <c r="M159" s="239">
        <f t="shared" si="28"/>
        <v>42818.76</v>
      </c>
      <c r="N159" s="239">
        <f t="shared" si="29"/>
        <v>36824.100000000006</v>
      </c>
      <c r="O159" s="239">
        <f t="shared" si="30"/>
        <v>85637.52</v>
      </c>
      <c r="P159" s="239">
        <f t="shared" si="31"/>
        <v>73648.200000000012</v>
      </c>
      <c r="Q159" s="239">
        <f t="shared" si="32"/>
        <v>128456.28</v>
      </c>
      <c r="R159" s="239">
        <f t="shared" si="33"/>
        <v>110472.3</v>
      </c>
      <c r="S159" s="239">
        <f t="shared" si="34"/>
        <v>171275.04</v>
      </c>
      <c r="T159" s="239">
        <f t="shared" si="35"/>
        <v>147296.40000000002</v>
      </c>
      <c r="U159" s="238">
        <f t="shared" si="36"/>
        <v>318571.44000000006</v>
      </c>
    </row>
    <row r="160" spans="2:21">
      <c r="B160" s="234" t="s">
        <v>596</v>
      </c>
      <c r="C160" s="234">
        <v>1</v>
      </c>
      <c r="D160" s="234">
        <v>32.15</v>
      </c>
      <c r="E160" s="234">
        <v>5339.47</v>
      </c>
      <c r="F160" s="234">
        <v>28</v>
      </c>
      <c r="G160" s="234">
        <v>1495.05</v>
      </c>
      <c r="H160" s="234">
        <v>50</v>
      </c>
      <c r="I160" s="234">
        <v>2669.74</v>
      </c>
      <c r="J160" s="234">
        <v>9504.2601599999998</v>
      </c>
      <c r="K160" s="234">
        <v>9504.26</v>
      </c>
      <c r="M160" s="239">
        <f t="shared" si="28"/>
        <v>16018.41</v>
      </c>
      <c r="N160" s="239">
        <f t="shared" si="29"/>
        <v>12494.369999999999</v>
      </c>
      <c r="O160" s="239">
        <f t="shared" si="30"/>
        <v>32036.82</v>
      </c>
      <c r="P160" s="239">
        <f t="shared" si="31"/>
        <v>24988.739999999998</v>
      </c>
      <c r="Q160" s="239">
        <f t="shared" si="32"/>
        <v>48055.23</v>
      </c>
      <c r="R160" s="239">
        <f t="shared" si="33"/>
        <v>37483.11</v>
      </c>
      <c r="S160" s="239">
        <f t="shared" si="34"/>
        <v>64073.64</v>
      </c>
      <c r="T160" s="239">
        <f t="shared" si="35"/>
        <v>49977.479999999996</v>
      </c>
      <c r="U160" s="238">
        <f t="shared" si="36"/>
        <v>114051.12</v>
      </c>
    </row>
    <row r="161" spans="2:21">
      <c r="B161" s="234" t="s">
        <v>597</v>
      </c>
      <c r="C161" s="234">
        <v>2</v>
      </c>
      <c r="D161" s="234">
        <v>42.97</v>
      </c>
      <c r="E161" s="234">
        <v>7136.46</v>
      </c>
      <c r="F161" s="234">
        <v>36</v>
      </c>
      <c r="G161" s="234">
        <v>2569.12</v>
      </c>
      <c r="H161" s="234">
        <v>50</v>
      </c>
      <c r="I161" s="234">
        <v>3568.23</v>
      </c>
      <c r="J161" s="234">
        <v>13273.81</v>
      </c>
      <c r="K161" s="234">
        <v>26547.62</v>
      </c>
      <c r="M161" s="239">
        <f t="shared" si="28"/>
        <v>42818.76</v>
      </c>
      <c r="N161" s="239">
        <f t="shared" si="29"/>
        <v>36824.100000000006</v>
      </c>
      <c r="O161" s="239">
        <f t="shared" si="30"/>
        <v>85637.52</v>
      </c>
      <c r="P161" s="239">
        <f t="shared" si="31"/>
        <v>73648.200000000012</v>
      </c>
      <c r="Q161" s="239">
        <f t="shared" si="32"/>
        <v>128456.28</v>
      </c>
      <c r="R161" s="239">
        <f t="shared" si="33"/>
        <v>110472.3</v>
      </c>
      <c r="S161" s="239">
        <f t="shared" si="34"/>
        <v>171275.04</v>
      </c>
      <c r="T161" s="239">
        <f t="shared" si="35"/>
        <v>147296.40000000002</v>
      </c>
      <c r="U161" s="238">
        <f t="shared" si="36"/>
        <v>318571.44000000006</v>
      </c>
    </row>
    <row r="162" spans="2:21">
      <c r="B162" s="234" t="s">
        <v>598</v>
      </c>
      <c r="C162" s="234">
        <v>1</v>
      </c>
      <c r="D162" s="234">
        <v>42.97</v>
      </c>
      <c r="E162" s="234">
        <v>7136.46</v>
      </c>
      <c r="F162" s="234">
        <v>36</v>
      </c>
      <c r="G162" s="234">
        <v>2569.12</v>
      </c>
      <c r="H162" s="234">
        <v>50</v>
      </c>
      <c r="I162" s="234">
        <v>3568.23</v>
      </c>
      <c r="J162" s="234">
        <v>13273.81</v>
      </c>
      <c r="K162" s="234">
        <v>13273.81</v>
      </c>
      <c r="M162" s="239">
        <f t="shared" si="28"/>
        <v>21409.38</v>
      </c>
      <c r="N162" s="239">
        <f t="shared" si="29"/>
        <v>18412.050000000003</v>
      </c>
      <c r="O162" s="239">
        <f t="shared" si="30"/>
        <v>42818.76</v>
      </c>
      <c r="P162" s="239">
        <f t="shared" si="31"/>
        <v>36824.100000000006</v>
      </c>
      <c r="Q162" s="239">
        <f t="shared" si="32"/>
        <v>64228.14</v>
      </c>
      <c r="R162" s="239">
        <f t="shared" si="33"/>
        <v>55236.15</v>
      </c>
      <c r="S162" s="239">
        <f t="shared" si="34"/>
        <v>85637.52</v>
      </c>
      <c r="T162" s="239">
        <f t="shared" si="35"/>
        <v>73648.200000000012</v>
      </c>
      <c r="U162" s="238">
        <f t="shared" si="36"/>
        <v>159285.72000000003</v>
      </c>
    </row>
    <row r="163" spans="2:21">
      <c r="B163" s="234" t="s">
        <v>599</v>
      </c>
      <c r="C163" s="234">
        <v>1</v>
      </c>
      <c r="D163" s="234">
        <v>36.770000000000003</v>
      </c>
      <c r="E163" s="234">
        <v>6106.76</v>
      </c>
      <c r="F163" s="234">
        <v>32</v>
      </c>
      <c r="G163" s="234">
        <v>1954.16</v>
      </c>
      <c r="H163" s="234">
        <v>50</v>
      </c>
      <c r="I163" s="234">
        <v>3053.38</v>
      </c>
      <c r="J163" s="234">
        <v>11114.31</v>
      </c>
      <c r="K163" s="234">
        <v>11114.31</v>
      </c>
      <c r="M163" s="239">
        <f t="shared" si="28"/>
        <v>18320.28</v>
      </c>
      <c r="N163" s="239">
        <f t="shared" si="29"/>
        <v>15022.619999999999</v>
      </c>
      <c r="O163" s="239">
        <f t="shared" si="30"/>
        <v>36640.559999999998</v>
      </c>
      <c r="P163" s="239">
        <f t="shared" si="31"/>
        <v>30045.239999999998</v>
      </c>
      <c r="Q163" s="239">
        <f t="shared" si="32"/>
        <v>54960.840000000004</v>
      </c>
      <c r="R163" s="239">
        <f t="shared" si="33"/>
        <v>45067.86</v>
      </c>
      <c r="S163" s="239">
        <f t="shared" si="34"/>
        <v>73281.119999999995</v>
      </c>
      <c r="T163" s="239">
        <f t="shared" si="35"/>
        <v>60090.479999999996</v>
      </c>
      <c r="U163" s="238">
        <f t="shared" si="36"/>
        <v>133371.59999999998</v>
      </c>
    </row>
    <row r="164" spans="2:21">
      <c r="B164" s="234" t="s">
        <v>600</v>
      </c>
      <c r="C164" s="234">
        <v>1</v>
      </c>
      <c r="D164" s="234">
        <v>28.64</v>
      </c>
      <c r="E164" s="234">
        <v>4756.53</v>
      </c>
      <c r="F164" s="234">
        <v>24</v>
      </c>
      <c r="G164" s="234">
        <v>1141.57</v>
      </c>
      <c r="H164" s="234">
        <v>50</v>
      </c>
      <c r="I164" s="234">
        <v>2378.27</v>
      </c>
      <c r="J164" s="234">
        <v>8276.36</v>
      </c>
      <c r="K164" s="234">
        <v>8276.36</v>
      </c>
      <c r="M164" s="239">
        <f t="shared" si="28"/>
        <v>14269.59</v>
      </c>
      <c r="N164" s="239">
        <f t="shared" si="29"/>
        <v>10559.52</v>
      </c>
      <c r="O164" s="239">
        <f t="shared" si="30"/>
        <v>28539.18</v>
      </c>
      <c r="P164" s="239">
        <f t="shared" si="31"/>
        <v>21119.040000000001</v>
      </c>
      <c r="Q164" s="239">
        <f t="shared" si="32"/>
        <v>42808.77</v>
      </c>
      <c r="R164" s="239">
        <f t="shared" si="33"/>
        <v>31678.560000000001</v>
      </c>
      <c r="S164" s="239">
        <f t="shared" si="34"/>
        <v>57078.36</v>
      </c>
      <c r="T164" s="239">
        <f t="shared" si="35"/>
        <v>42238.080000000002</v>
      </c>
      <c r="U164" s="238">
        <f t="shared" si="36"/>
        <v>99316.44</v>
      </c>
    </row>
    <row r="165" spans="2:21">
      <c r="B165" s="234" t="s">
        <v>601</v>
      </c>
      <c r="C165" s="234">
        <v>2</v>
      </c>
      <c r="D165" s="234">
        <v>32.15</v>
      </c>
      <c r="E165" s="234">
        <v>5339.47</v>
      </c>
      <c r="F165" s="234">
        <v>28</v>
      </c>
      <c r="G165" s="234">
        <v>1495.05</v>
      </c>
      <c r="H165" s="234">
        <v>50</v>
      </c>
      <c r="I165" s="234">
        <v>2669.74</v>
      </c>
      <c r="J165" s="234">
        <v>9504.2601599999998</v>
      </c>
      <c r="K165" s="234">
        <v>19008.52</v>
      </c>
      <c r="M165" s="239">
        <f t="shared" si="28"/>
        <v>32036.82</v>
      </c>
      <c r="N165" s="239">
        <f t="shared" si="29"/>
        <v>24988.739999999998</v>
      </c>
      <c r="O165" s="239">
        <f t="shared" si="30"/>
        <v>64073.64</v>
      </c>
      <c r="P165" s="239">
        <f t="shared" si="31"/>
        <v>49977.479999999996</v>
      </c>
      <c r="Q165" s="239">
        <f t="shared" si="32"/>
        <v>96110.46</v>
      </c>
      <c r="R165" s="239">
        <f t="shared" si="33"/>
        <v>74966.22</v>
      </c>
      <c r="S165" s="239">
        <f t="shared" si="34"/>
        <v>128147.28</v>
      </c>
      <c r="T165" s="239">
        <f t="shared" si="35"/>
        <v>99954.959999999992</v>
      </c>
      <c r="U165" s="238">
        <f t="shared" si="36"/>
        <v>228102.24</v>
      </c>
    </row>
    <row r="166" spans="2:21">
      <c r="B166" s="234" t="s">
        <v>602</v>
      </c>
      <c r="C166" s="234">
        <v>1</v>
      </c>
      <c r="D166" s="234">
        <v>42.97</v>
      </c>
      <c r="E166" s="234">
        <v>7136.46</v>
      </c>
      <c r="F166" s="234">
        <v>36</v>
      </c>
      <c r="G166" s="234">
        <v>2569.12</v>
      </c>
      <c r="H166" s="234">
        <v>50</v>
      </c>
      <c r="I166" s="234">
        <v>3568.23</v>
      </c>
      <c r="J166" s="234">
        <v>13273.81</v>
      </c>
      <c r="K166" s="234">
        <v>13273.81</v>
      </c>
      <c r="M166" s="239">
        <f t="shared" si="28"/>
        <v>21409.38</v>
      </c>
      <c r="N166" s="239">
        <f t="shared" si="29"/>
        <v>18412.050000000003</v>
      </c>
      <c r="O166" s="239">
        <f t="shared" si="30"/>
        <v>42818.76</v>
      </c>
      <c r="P166" s="239">
        <f t="shared" si="31"/>
        <v>36824.100000000006</v>
      </c>
      <c r="Q166" s="239">
        <f t="shared" si="32"/>
        <v>64228.14</v>
      </c>
      <c r="R166" s="239">
        <f t="shared" si="33"/>
        <v>55236.15</v>
      </c>
      <c r="S166" s="239">
        <f t="shared" si="34"/>
        <v>85637.52</v>
      </c>
      <c r="T166" s="239">
        <f t="shared" si="35"/>
        <v>73648.200000000012</v>
      </c>
      <c r="U166" s="238">
        <f t="shared" si="36"/>
        <v>159285.72000000003</v>
      </c>
    </row>
    <row r="167" spans="2:21">
      <c r="B167" s="234" t="s">
        <v>603</v>
      </c>
      <c r="C167" s="234">
        <v>1</v>
      </c>
      <c r="D167" s="234">
        <v>42.97</v>
      </c>
      <c r="E167" s="234">
        <v>7136.46</v>
      </c>
      <c r="F167" s="234">
        <v>36</v>
      </c>
      <c r="G167" s="234">
        <v>2569.12</v>
      </c>
      <c r="H167" s="234">
        <v>50</v>
      </c>
      <c r="I167" s="234">
        <v>3568.23</v>
      </c>
      <c r="J167" s="234">
        <v>13273.81</v>
      </c>
      <c r="K167" s="234">
        <v>13273.81</v>
      </c>
      <c r="M167" s="239">
        <f t="shared" si="28"/>
        <v>21409.38</v>
      </c>
      <c r="N167" s="239">
        <f t="shared" si="29"/>
        <v>18412.050000000003</v>
      </c>
      <c r="O167" s="239">
        <f t="shared" si="30"/>
        <v>42818.76</v>
      </c>
      <c r="P167" s="239">
        <f t="shared" si="31"/>
        <v>36824.100000000006</v>
      </c>
      <c r="Q167" s="239">
        <f t="shared" si="32"/>
        <v>64228.14</v>
      </c>
      <c r="R167" s="239">
        <f t="shared" si="33"/>
        <v>55236.15</v>
      </c>
      <c r="S167" s="239">
        <f t="shared" si="34"/>
        <v>85637.52</v>
      </c>
      <c r="T167" s="239">
        <f t="shared" si="35"/>
        <v>73648.200000000012</v>
      </c>
      <c r="U167" s="238">
        <f t="shared" si="36"/>
        <v>159285.72000000003</v>
      </c>
    </row>
    <row r="168" spans="2:21">
      <c r="B168" s="234" t="s">
        <v>604</v>
      </c>
      <c r="C168" s="234">
        <v>8</v>
      </c>
      <c r="D168" s="234">
        <v>36.770000000000003</v>
      </c>
      <c r="E168" s="234">
        <v>6106.76</v>
      </c>
      <c r="F168" s="234">
        <v>32</v>
      </c>
      <c r="G168" s="234">
        <v>1954.16</v>
      </c>
      <c r="H168" s="234">
        <v>50</v>
      </c>
      <c r="I168" s="234">
        <v>3053.38</v>
      </c>
      <c r="J168" s="234">
        <v>11114.31</v>
      </c>
      <c r="K168" s="234">
        <v>88914.45</v>
      </c>
      <c r="M168" s="239">
        <f t="shared" si="28"/>
        <v>146562.23999999999</v>
      </c>
      <c r="N168" s="239">
        <f t="shared" si="29"/>
        <v>120180.95999999999</v>
      </c>
      <c r="O168" s="239">
        <f t="shared" si="30"/>
        <v>293124.47999999998</v>
      </c>
      <c r="P168" s="239">
        <f t="shared" si="31"/>
        <v>240361.91999999998</v>
      </c>
      <c r="Q168" s="239">
        <f t="shared" si="32"/>
        <v>439686.72000000003</v>
      </c>
      <c r="R168" s="239">
        <f t="shared" si="33"/>
        <v>360542.88</v>
      </c>
      <c r="S168" s="239">
        <f t="shared" si="34"/>
        <v>586248.95999999996</v>
      </c>
      <c r="T168" s="239">
        <f t="shared" si="35"/>
        <v>480723.83999999997</v>
      </c>
      <c r="U168" s="238">
        <f t="shared" si="36"/>
        <v>1066972.7999999998</v>
      </c>
    </row>
    <row r="169" spans="2:21">
      <c r="B169" s="234" t="s">
        <v>472</v>
      </c>
      <c r="C169" s="234">
        <v>46</v>
      </c>
      <c r="D169" s="234"/>
      <c r="E169" s="234"/>
      <c r="F169" s="234"/>
      <c r="G169" s="234"/>
      <c r="H169" s="234"/>
      <c r="I169" s="234"/>
      <c r="J169" s="234"/>
      <c r="K169" s="234">
        <v>488360.27</v>
      </c>
      <c r="M169" s="239">
        <f t="shared" si="28"/>
        <v>0</v>
      </c>
      <c r="N169" s="239">
        <f t="shared" si="29"/>
        <v>0</v>
      </c>
      <c r="O169" s="239">
        <f t="shared" si="30"/>
        <v>0</v>
      </c>
      <c r="P169" s="239">
        <f t="shared" si="31"/>
        <v>0</v>
      </c>
      <c r="Q169" s="239">
        <f t="shared" si="32"/>
        <v>0</v>
      </c>
      <c r="R169" s="239">
        <f t="shared" si="33"/>
        <v>0</v>
      </c>
      <c r="S169" s="239">
        <f t="shared" si="34"/>
        <v>0</v>
      </c>
      <c r="T169" s="239">
        <f t="shared" si="35"/>
        <v>0</v>
      </c>
      <c r="U169" s="238">
        <f t="shared" si="36"/>
        <v>0</v>
      </c>
    </row>
    <row r="170" spans="2:21">
      <c r="B170" s="234" t="s">
        <v>605</v>
      </c>
      <c r="C170" s="234"/>
      <c r="D170" s="234"/>
      <c r="E170" s="234"/>
      <c r="F170" s="234"/>
      <c r="G170" s="234"/>
      <c r="H170" s="234"/>
      <c r="I170" s="234"/>
      <c r="J170" s="234"/>
      <c r="K170" s="234"/>
      <c r="M170" s="239">
        <f t="shared" si="28"/>
        <v>0</v>
      </c>
      <c r="N170" s="239">
        <f t="shared" si="29"/>
        <v>0</v>
      </c>
      <c r="O170" s="239">
        <f t="shared" si="30"/>
        <v>0</v>
      </c>
      <c r="P170" s="239">
        <f t="shared" si="31"/>
        <v>0</v>
      </c>
      <c r="Q170" s="239">
        <f t="shared" si="32"/>
        <v>0</v>
      </c>
      <c r="R170" s="239">
        <f t="shared" si="33"/>
        <v>0</v>
      </c>
      <c r="S170" s="239">
        <f t="shared" si="34"/>
        <v>0</v>
      </c>
      <c r="T170" s="239">
        <f t="shared" si="35"/>
        <v>0</v>
      </c>
      <c r="U170" s="238">
        <f t="shared" si="36"/>
        <v>0</v>
      </c>
    </row>
    <row r="171" spans="2:21">
      <c r="B171" s="234" t="s">
        <v>606</v>
      </c>
      <c r="C171" s="234">
        <v>1</v>
      </c>
      <c r="D171" s="234">
        <v>36.92</v>
      </c>
      <c r="E171" s="234">
        <v>6131.67</v>
      </c>
      <c r="F171" s="234">
        <v>24</v>
      </c>
      <c r="G171" s="234">
        <v>1471.601664</v>
      </c>
      <c r="H171" s="234">
        <v>50</v>
      </c>
      <c r="I171" s="234">
        <v>3065.84</v>
      </c>
      <c r="J171" s="234">
        <v>9197.51</v>
      </c>
      <c r="K171" s="234">
        <v>9197.51</v>
      </c>
      <c r="M171" s="239">
        <f t="shared" si="28"/>
        <v>18395.010000000002</v>
      </c>
      <c r="N171" s="239">
        <f t="shared" si="29"/>
        <v>13612.324992</v>
      </c>
      <c r="O171" s="239">
        <f t="shared" si="30"/>
        <v>36790.020000000004</v>
      </c>
      <c r="P171" s="239">
        <f t="shared" si="31"/>
        <v>27224.649984</v>
      </c>
      <c r="Q171" s="239">
        <f t="shared" si="32"/>
        <v>55185.03</v>
      </c>
      <c r="R171" s="239">
        <f t="shared" si="33"/>
        <v>40836.974975999998</v>
      </c>
      <c r="S171" s="239">
        <f t="shared" si="34"/>
        <v>73580.040000000008</v>
      </c>
      <c r="T171" s="239">
        <f t="shared" si="35"/>
        <v>54449.299967999999</v>
      </c>
      <c r="U171" s="238">
        <f t="shared" si="36"/>
        <v>128029.33996800001</v>
      </c>
    </row>
    <row r="172" spans="2:21">
      <c r="B172" s="234" t="s">
        <v>607</v>
      </c>
      <c r="C172" s="234">
        <v>1</v>
      </c>
      <c r="D172" s="234">
        <v>29.41</v>
      </c>
      <c r="E172" s="234">
        <v>4884.41</v>
      </c>
      <c r="F172" s="234">
        <v>28</v>
      </c>
      <c r="G172" s="234">
        <v>976.88</v>
      </c>
      <c r="H172" s="234">
        <v>50</v>
      </c>
      <c r="I172" s="234">
        <v>2442.21</v>
      </c>
      <c r="J172" s="234">
        <v>7326.62</v>
      </c>
      <c r="K172" s="234">
        <v>7326.62</v>
      </c>
      <c r="M172" s="239">
        <f t="shared" si="28"/>
        <v>14653.23</v>
      </c>
      <c r="N172" s="239">
        <f t="shared" si="29"/>
        <v>10257.27</v>
      </c>
      <c r="O172" s="239">
        <f t="shared" si="30"/>
        <v>29306.46</v>
      </c>
      <c r="P172" s="239">
        <f t="shared" si="31"/>
        <v>20514.54</v>
      </c>
      <c r="Q172" s="239">
        <f t="shared" si="32"/>
        <v>43959.69</v>
      </c>
      <c r="R172" s="239">
        <f t="shared" si="33"/>
        <v>30771.81</v>
      </c>
      <c r="S172" s="239">
        <f t="shared" si="34"/>
        <v>58612.92</v>
      </c>
      <c r="T172" s="239">
        <f t="shared" si="35"/>
        <v>41029.08</v>
      </c>
      <c r="U172" s="238">
        <f t="shared" si="36"/>
        <v>99642</v>
      </c>
    </row>
    <row r="173" spans="2:21">
      <c r="B173" s="234" t="s">
        <v>608</v>
      </c>
      <c r="C173" s="234">
        <v>1</v>
      </c>
      <c r="D173" s="234">
        <v>29.41</v>
      </c>
      <c r="E173" s="234">
        <v>4884.41</v>
      </c>
      <c r="F173" s="234">
        <v>20</v>
      </c>
      <c r="G173" s="234">
        <v>1367.64</v>
      </c>
      <c r="H173" s="234">
        <v>50</v>
      </c>
      <c r="I173" s="234">
        <v>2442.21</v>
      </c>
      <c r="J173" s="234">
        <v>7326.62</v>
      </c>
      <c r="K173" s="234">
        <v>7326.62</v>
      </c>
      <c r="M173" s="239">
        <f t="shared" si="28"/>
        <v>14653.23</v>
      </c>
      <c r="N173" s="239">
        <f t="shared" si="29"/>
        <v>11429.550000000001</v>
      </c>
      <c r="O173" s="239">
        <f t="shared" si="30"/>
        <v>29306.46</v>
      </c>
      <c r="P173" s="239">
        <f t="shared" si="31"/>
        <v>22859.100000000002</v>
      </c>
      <c r="Q173" s="239">
        <f t="shared" si="32"/>
        <v>43959.69</v>
      </c>
      <c r="R173" s="239">
        <f t="shared" si="33"/>
        <v>34288.65</v>
      </c>
      <c r="S173" s="239">
        <f t="shared" si="34"/>
        <v>58612.92</v>
      </c>
      <c r="T173" s="239">
        <f t="shared" si="35"/>
        <v>45718.200000000004</v>
      </c>
      <c r="U173" s="238">
        <f t="shared" si="36"/>
        <v>104331.12</v>
      </c>
    </row>
    <row r="174" spans="2:21">
      <c r="B174" s="234" t="s">
        <v>609</v>
      </c>
      <c r="C174" s="234">
        <v>1</v>
      </c>
      <c r="D174" s="234">
        <v>29.41</v>
      </c>
      <c r="E174" s="234">
        <v>4884.41</v>
      </c>
      <c r="F174" s="234">
        <v>20</v>
      </c>
      <c r="G174" s="234">
        <v>1367.64</v>
      </c>
      <c r="H174" s="234">
        <v>50</v>
      </c>
      <c r="I174" s="234">
        <v>2442.21</v>
      </c>
      <c r="J174" s="234">
        <v>7326.62</v>
      </c>
      <c r="K174" s="234">
        <v>7326.62</v>
      </c>
      <c r="M174" s="239">
        <f t="shared" si="28"/>
        <v>14653.23</v>
      </c>
      <c r="N174" s="239">
        <f t="shared" si="29"/>
        <v>11429.550000000001</v>
      </c>
      <c r="O174" s="239">
        <f t="shared" si="30"/>
        <v>29306.46</v>
      </c>
      <c r="P174" s="239">
        <f t="shared" si="31"/>
        <v>22859.100000000002</v>
      </c>
      <c r="Q174" s="239">
        <f t="shared" si="32"/>
        <v>43959.69</v>
      </c>
      <c r="R174" s="239">
        <f t="shared" si="33"/>
        <v>34288.65</v>
      </c>
      <c r="S174" s="239">
        <f t="shared" si="34"/>
        <v>58612.92</v>
      </c>
      <c r="T174" s="239">
        <f t="shared" si="35"/>
        <v>45718.200000000004</v>
      </c>
      <c r="U174" s="238">
        <f t="shared" si="36"/>
        <v>104331.12</v>
      </c>
    </row>
    <row r="175" spans="2:21">
      <c r="B175" s="234" t="s">
        <v>610</v>
      </c>
      <c r="C175" s="234">
        <v>1</v>
      </c>
      <c r="D175" s="234">
        <v>29.41</v>
      </c>
      <c r="E175" s="234">
        <v>4884.41</v>
      </c>
      <c r="F175" s="234">
        <v>20</v>
      </c>
      <c r="G175" s="234">
        <v>1367.64</v>
      </c>
      <c r="H175" s="234">
        <v>50</v>
      </c>
      <c r="I175" s="234">
        <v>2442.21</v>
      </c>
      <c r="J175" s="234">
        <v>7326.62</v>
      </c>
      <c r="K175" s="234">
        <v>7326.62</v>
      </c>
      <c r="M175" s="239">
        <f t="shared" si="28"/>
        <v>14653.23</v>
      </c>
      <c r="N175" s="239">
        <f t="shared" si="29"/>
        <v>11429.550000000001</v>
      </c>
      <c r="O175" s="239">
        <f t="shared" si="30"/>
        <v>29306.46</v>
      </c>
      <c r="P175" s="239">
        <f t="shared" si="31"/>
        <v>22859.100000000002</v>
      </c>
      <c r="Q175" s="239">
        <f t="shared" si="32"/>
        <v>43959.69</v>
      </c>
      <c r="R175" s="239">
        <f t="shared" si="33"/>
        <v>34288.65</v>
      </c>
      <c r="S175" s="239">
        <f t="shared" si="34"/>
        <v>58612.92</v>
      </c>
      <c r="T175" s="239">
        <f t="shared" si="35"/>
        <v>45718.200000000004</v>
      </c>
      <c r="U175" s="238">
        <f t="shared" si="36"/>
        <v>104331.12</v>
      </c>
    </row>
    <row r="176" spans="2:21">
      <c r="B176" s="234" t="s">
        <v>472</v>
      </c>
      <c r="C176" s="234">
        <v>5</v>
      </c>
      <c r="D176" s="234"/>
      <c r="E176" s="234"/>
      <c r="F176" s="234"/>
      <c r="G176" s="234"/>
      <c r="H176" s="234"/>
      <c r="I176" s="234"/>
      <c r="J176" s="234"/>
      <c r="K176" s="234">
        <v>38503.99</v>
      </c>
      <c r="M176" s="239">
        <f t="shared" si="28"/>
        <v>0</v>
      </c>
      <c r="N176" s="239">
        <f t="shared" si="29"/>
        <v>0</v>
      </c>
      <c r="O176" s="239">
        <f t="shared" si="30"/>
        <v>0</v>
      </c>
      <c r="P176" s="239">
        <f t="shared" si="31"/>
        <v>0</v>
      </c>
      <c r="Q176" s="239">
        <f t="shared" si="32"/>
        <v>0</v>
      </c>
      <c r="R176" s="239">
        <f t="shared" si="33"/>
        <v>0</v>
      </c>
      <c r="S176" s="239">
        <f t="shared" si="34"/>
        <v>0</v>
      </c>
      <c r="T176" s="239">
        <f t="shared" si="35"/>
        <v>0</v>
      </c>
      <c r="U176" s="238">
        <f t="shared" si="36"/>
        <v>0</v>
      </c>
    </row>
    <row r="177" spans="2:21">
      <c r="B177" s="234" t="s">
        <v>611</v>
      </c>
      <c r="C177" s="234"/>
      <c r="D177" s="234"/>
      <c r="E177" s="234"/>
      <c r="F177" s="234"/>
      <c r="G177" s="234"/>
      <c r="H177" s="234"/>
      <c r="I177" s="234"/>
      <c r="J177" s="234"/>
      <c r="K177" s="234"/>
      <c r="M177" s="239">
        <f t="shared" si="28"/>
        <v>0</v>
      </c>
      <c r="N177" s="239">
        <f t="shared" si="29"/>
        <v>0</v>
      </c>
      <c r="O177" s="239">
        <f t="shared" si="30"/>
        <v>0</v>
      </c>
      <c r="P177" s="239">
        <f t="shared" si="31"/>
        <v>0</v>
      </c>
      <c r="Q177" s="239">
        <f t="shared" si="32"/>
        <v>0</v>
      </c>
      <c r="R177" s="239">
        <f t="shared" si="33"/>
        <v>0</v>
      </c>
      <c r="S177" s="239">
        <f t="shared" si="34"/>
        <v>0</v>
      </c>
      <c r="T177" s="239">
        <f t="shared" si="35"/>
        <v>0</v>
      </c>
      <c r="U177" s="238">
        <f t="shared" si="36"/>
        <v>0</v>
      </c>
    </row>
    <row r="178" spans="2:21">
      <c r="B178" s="259" t="s">
        <v>612</v>
      </c>
      <c r="C178" s="234">
        <v>5</v>
      </c>
      <c r="D178" s="234">
        <v>29.41</v>
      </c>
      <c r="E178" s="234">
        <v>4884.41</v>
      </c>
      <c r="F178" s="234">
        <v>20</v>
      </c>
      <c r="G178" s="234">
        <v>976.88</v>
      </c>
      <c r="H178" s="234">
        <v>50</v>
      </c>
      <c r="I178" s="234">
        <v>2442.21</v>
      </c>
      <c r="J178" s="234">
        <v>7326.62</v>
      </c>
      <c r="K178" s="234">
        <v>36633.1</v>
      </c>
      <c r="M178" s="239">
        <f t="shared" si="28"/>
        <v>73266.149999999994</v>
      </c>
      <c r="N178" s="239">
        <f t="shared" si="29"/>
        <v>51286.350000000006</v>
      </c>
      <c r="O178" s="239">
        <f t="shared" si="30"/>
        <v>146532.29999999999</v>
      </c>
      <c r="P178" s="239">
        <f t="shared" si="31"/>
        <v>102572.70000000001</v>
      </c>
      <c r="Q178" s="239">
        <f t="shared" si="32"/>
        <v>219798.44999999998</v>
      </c>
      <c r="R178" s="239">
        <f t="shared" si="33"/>
        <v>153859.05000000002</v>
      </c>
      <c r="S178" s="239">
        <f t="shared" si="34"/>
        <v>293064.59999999998</v>
      </c>
      <c r="T178" s="239">
        <f t="shared" si="35"/>
        <v>205145.40000000002</v>
      </c>
      <c r="U178" s="238">
        <f t="shared" si="36"/>
        <v>498210</v>
      </c>
    </row>
    <row r="179" spans="2:21">
      <c r="B179" s="259" t="s">
        <v>612</v>
      </c>
      <c r="C179" s="234">
        <v>1</v>
      </c>
      <c r="D179" s="234">
        <v>34.380000000000003</v>
      </c>
      <c r="E179" s="234">
        <v>5709.83</v>
      </c>
      <c r="F179" s="234">
        <v>24</v>
      </c>
      <c r="G179" s="234">
        <v>1370.36</v>
      </c>
      <c r="H179" s="234">
        <v>50</v>
      </c>
      <c r="I179" s="234">
        <v>2854.92</v>
      </c>
      <c r="J179" s="234">
        <v>8564.75</v>
      </c>
      <c r="K179" s="234">
        <v>8564.75</v>
      </c>
      <c r="M179" s="239">
        <f t="shared" si="28"/>
        <v>17129.489999999998</v>
      </c>
      <c r="N179" s="239">
        <f t="shared" si="29"/>
        <v>12675.84</v>
      </c>
      <c r="O179" s="239">
        <f t="shared" si="30"/>
        <v>34258.979999999996</v>
      </c>
      <c r="P179" s="239">
        <f t="shared" si="31"/>
        <v>25351.68</v>
      </c>
      <c r="Q179" s="239">
        <f t="shared" si="32"/>
        <v>51388.47</v>
      </c>
      <c r="R179" s="239">
        <f t="shared" si="33"/>
        <v>38027.519999999997</v>
      </c>
      <c r="S179" s="239">
        <f t="shared" si="34"/>
        <v>68517.959999999992</v>
      </c>
      <c r="T179" s="239">
        <f t="shared" si="35"/>
        <v>50703.360000000001</v>
      </c>
      <c r="U179" s="238">
        <f t="shared" si="36"/>
        <v>119221.31999999999</v>
      </c>
    </row>
    <row r="180" spans="2:21">
      <c r="B180" s="259" t="s">
        <v>613</v>
      </c>
      <c r="C180" s="234">
        <v>1</v>
      </c>
      <c r="D180" s="234">
        <v>29.41</v>
      </c>
      <c r="E180" s="234">
        <v>4884.41</v>
      </c>
      <c r="F180" s="234">
        <v>20</v>
      </c>
      <c r="G180" s="234">
        <v>976.88</v>
      </c>
      <c r="H180" s="234">
        <v>50</v>
      </c>
      <c r="I180" s="234">
        <v>2442.21</v>
      </c>
      <c r="J180" s="234">
        <v>7326.62</v>
      </c>
      <c r="K180" s="234">
        <v>7326.62</v>
      </c>
      <c r="M180" s="239">
        <f t="shared" si="28"/>
        <v>14653.23</v>
      </c>
      <c r="N180" s="239">
        <f t="shared" si="29"/>
        <v>10257.27</v>
      </c>
      <c r="O180" s="239">
        <f t="shared" si="30"/>
        <v>29306.46</v>
      </c>
      <c r="P180" s="239">
        <f t="shared" si="31"/>
        <v>20514.54</v>
      </c>
      <c r="Q180" s="239">
        <f t="shared" si="32"/>
        <v>43959.69</v>
      </c>
      <c r="R180" s="239">
        <f t="shared" si="33"/>
        <v>30771.81</v>
      </c>
      <c r="S180" s="239">
        <f t="shared" si="34"/>
        <v>58612.92</v>
      </c>
      <c r="T180" s="239">
        <f t="shared" si="35"/>
        <v>41029.08</v>
      </c>
      <c r="U180" s="238">
        <f t="shared" si="36"/>
        <v>99642</v>
      </c>
    </row>
    <row r="181" spans="2:21">
      <c r="B181" s="259" t="s">
        <v>614</v>
      </c>
      <c r="C181" s="234">
        <v>1</v>
      </c>
      <c r="D181" s="234">
        <v>29.41</v>
      </c>
      <c r="E181" s="234">
        <v>4884.41</v>
      </c>
      <c r="F181" s="234">
        <v>28</v>
      </c>
      <c r="G181" s="234">
        <v>1367.64</v>
      </c>
      <c r="H181" s="234">
        <v>50</v>
      </c>
      <c r="I181" s="234">
        <v>2442.21</v>
      </c>
      <c r="J181" s="234">
        <v>7326.62</v>
      </c>
      <c r="K181" s="234">
        <v>7326.62</v>
      </c>
      <c r="M181" s="239">
        <f t="shared" si="28"/>
        <v>14653.23</v>
      </c>
      <c r="N181" s="239">
        <f t="shared" si="29"/>
        <v>11429.550000000001</v>
      </c>
      <c r="O181" s="239">
        <f t="shared" si="30"/>
        <v>29306.46</v>
      </c>
      <c r="P181" s="239">
        <f t="shared" si="31"/>
        <v>22859.100000000002</v>
      </c>
      <c r="Q181" s="239">
        <f t="shared" si="32"/>
        <v>43959.69</v>
      </c>
      <c r="R181" s="239">
        <f t="shared" si="33"/>
        <v>34288.65</v>
      </c>
      <c r="S181" s="239">
        <f t="shared" si="34"/>
        <v>58612.92</v>
      </c>
      <c r="T181" s="239">
        <f t="shared" si="35"/>
        <v>45718.200000000004</v>
      </c>
      <c r="U181" s="238">
        <f t="shared" si="36"/>
        <v>104331.12</v>
      </c>
    </row>
    <row r="182" spans="2:21">
      <c r="B182" s="259" t="s">
        <v>615</v>
      </c>
      <c r="C182" s="234">
        <v>1</v>
      </c>
      <c r="D182" s="234">
        <v>34.380000000000003</v>
      </c>
      <c r="E182" s="234">
        <v>5709.83</v>
      </c>
      <c r="F182" s="234">
        <v>32</v>
      </c>
      <c r="G182" s="234">
        <v>1598.75</v>
      </c>
      <c r="H182" s="234">
        <v>50</v>
      </c>
      <c r="I182" s="234">
        <v>2854.92</v>
      </c>
      <c r="J182" s="234">
        <v>8564.75</v>
      </c>
      <c r="K182" s="234">
        <v>8564.75</v>
      </c>
      <c r="M182" s="239">
        <f t="shared" si="28"/>
        <v>17129.489999999998</v>
      </c>
      <c r="N182" s="239">
        <f t="shared" si="29"/>
        <v>13361.01</v>
      </c>
      <c r="O182" s="239">
        <f t="shared" si="30"/>
        <v>34258.979999999996</v>
      </c>
      <c r="P182" s="239">
        <f t="shared" si="31"/>
        <v>26722.02</v>
      </c>
      <c r="Q182" s="239">
        <f t="shared" si="32"/>
        <v>51388.47</v>
      </c>
      <c r="R182" s="239">
        <f t="shared" si="33"/>
        <v>40083.03</v>
      </c>
      <c r="S182" s="239">
        <f t="shared" si="34"/>
        <v>68517.959999999992</v>
      </c>
      <c r="T182" s="239">
        <f t="shared" si="35"/>
        <v>53444.04</v>
      </c>
      <c r="U182" s="238">
        <f t="shared" si="36"/>
        <v>121962</v>
      </c>
    </row>
    <row r="183" spans="2:21">
      <c r="B183" s="259" t="s">
        <v>606</v>
      </c>
      <c r="C183" s="234">
        <v>1</v>
      </c>
      <c r="D183" s="234">
        <v>36.92</v>
      </c>
      <c r="E183" s="234">
        <v>6131.67</v>
      </c>
      <c r="F183" s="234">
        <v>24</v>
      </c>
      <c r="G183" s="234">
        <v>1471.6</v>
      </c>
      <c r="H183" s="234">
        <v>50</v>
      </c>
      <c r="I183" s="234">
        <v>3065.84</v>
      </c>
      <c r="J183" s="234">
        <v>9197.51</v>
      </c>
      <c r="K183" s="234">
        <v>9197.51</v>
      </c>
      <c r="M183" s="239">
        <f t="shared" si="28"/>
        <v>18395.010000000002</v>
      </c>
      <c r="N183" s="239">
        <f t="shared" si="29"/>
        <v>13612.320000000002</v>
      </c>
      <c r="O183" s="239">
        <f t="shared" si="30"/>
        <v>36790.020000000004</v>
      </c>
      <c r="P183" s="239">
        <f t="shared" si="31"/>
        <v>27224.640000000003</v>
      </c>
      <c r="Q183" s="239">
        <f t="shared" si="32"/>
        <v>55185.03</v>
      </c>
      <c r="R183" s="239">
        <f t="shared" si="33"/>
        <v>40836.960000000006</v>
      </c>
      <c r="S183" s="239">
        <f t="shared" si="34"/>
        <v>73580.040000000008</v>
      </c>
      <c r="T183" s="239">
        <f t="shared" si="35"/>
        <v>54449.280000000006</v>
      </c>
      <c r="U183" s="238">
        <f t="shared" si="36"/>
        <v>128029.32</v>
      </c>
    </row>
    <row r="184" spans="2:21">
      <c r="B184" s="259" t="s">
        <v>607</v>
      </c>
      <c r="C184" s="234">
        <v>1</v>
      </c>
      <c r="D184" s="234">
        <v>25.79</v>
      </c>
      <c r="E184" s="234">
        <v>4283.2</v>
      </c>
      <c r="F184" s="234">
        <v>24</v>
      </c>
      <c r="G184" s="234">
        <v>1027.97</v>
      </c>
      <c r="H184" s="234">
        <v>50</v>
      </c>
      <c r="I184" s="234">
        <v>2141.6</v>
      </c>
      <c r="J184" s="234">
        <v>6424.8</v>
      </c>
      <c r="K184" s="234">
        <v>6424.8</v>
      </c>
      <c r="M184" s="239">
        <f t="shared" si="28"/>
        <v>12849.599999999999</v>
      </c>
      <c r="N184" s="239">
        <f t="shared" si="29"/>
        <v>9508.7099999999991</v>
      </c>
      <c r="O184" s="239">
        <f t="shared" si="30"/>
        <v>25699.199999999997</v>
      </c>
      <c r="P184" s="239">
        <f t="shared" si="31"/>
        <v>19017.419999999998</v>
      </c>
      <c r="Q184" s="239">
        <f t="shared" si="32"/>
        <v>38548.799999999996</v>
      </c>
      <c r="R184" s="239">
        <f t="shared" si="33"/>
        <v>28526.129999999997</v>
      </c>
      <c r="S184" s="239">
        <f t="shared" si="34"/>
        <v>51398.399999999994</v>
      </c>
      <c r="T184" s="239">
        <f t="shared" si="35"/>
        <v>38034.839999999997</v>
      </c>
      <c r="U184" s="238">
        <f t="shared" si="36"/>
        <v>89433.239999999991</v>
      </c>
    </row>
    <row r="185" spans="2:21">
      <c r="B185" s="259" t="s">
        <v>607</v>
      </c>
      <c r="C185" s="234">
        <v>2</v>
      </c>
      <c r="D185" s="234">
        <v>29.41</v>
      </c>
      <c r="E185" s="234">
        <v>4884.41</v>
      </c>
      <c r="F185" s="234">
        <v>28</v>
      </c>
      <c r="G185" s="234">
        <v>1367.64</v>
      </c>
      <c r="H185" s="234">
        <v>50</v>
      </c>
      <c r="I185" s="234">
        <v>2442.21</v>
      </c>
      <c r="J185" s="234">
        <v>7326.62</v>
      </c>
      <c r="K185" s="234">
        <v>14653.24</v>
      </c>
      <c r="M185" s="239">
        <f t="shared" si="28"/>
        <v>29306.46</v>
      </c>
      <c r="N185" s="239">
        <f t="shared" si="29"/>
        <v>22859.100000000002</v>
      </c>
      <c r="O185" s="239">
        <f t="shared" si="30"/>
        <v>58612.92</v>
      </c>
      <c r="P185" s="239">
        <f t="shared" si="31"/>
        <v>45718.200000000004</v>
      </c>
      <c r="Q185" s="239">
        <f t="shared" si="32"/>
        <v>87919.38</v>
      </c>
      <c r="R185" s="239">
        <f t="shared" si="33"/>
        <v>68577.3</v>
      </c>
      <c r="S185" s="239">
        <f t="shared" si="34"/>
        <v>117225.84</v>
      </c>
      <c r="T185" s="239">
        <f t="shared" si="35"/>
        <v>91436.400000000009</v>
      </c>
      <c r="U185" s="238">
        <f t="shared" si="36"/>
        <v>208662.24</v>
      </c>
    </row>
    <row r="186" spans="2:21">
      <c r="B186" s="259" t="s">
        <v>616</v>
      </c>
      <c r="C186" s="234">
        <v>1</v>
      </c>
      <c r="D186" s="234">
        <v>29.41</v>
      </c>
      <c r="E186" s="234">
        <v>4884.41</v>
      </c>
      <c r="F186" s="234">
        <v>28</v>
      </c>
      <c r="G186" s="234">
        <v>1367.64</v>
      </c>
      <c r="H186" s="234">
        <v>50</v>
      </c>
      <c r="I186" s="234">
        <v>2442.21</v>
      </c>
      <c r="J186" s="234">
        <v>7326.62</v>
      </c>
      <c r="K186" s="234">
        <v>7326.62</v>
      </c>
      <c r="M186" s="239">
        <f t="shared" si="28"/>
        <v>14653.23</v>
      </c>
      <c r="N186" s="239">
        <f t="shared" si="29"/>
        <v>11429.550000000001</v>
      </c>
      <c r="O186" s="239">
        <f t="shared" si="30"/>
        <v>29306.46</v>
      </c>
      <c r="P186" s="239">
        <f t="shared" si="31"/>
        <v>22859.100000000002</v>
      </c>
      <c r="Q186" s="239">
        <f t="shared" si="32"/>
        <v>43959.69</v>
      </c>
      <c r="R186" s="239">
        <f t="shared" si="33"/>
        <v>34288.65</v>
      </c>
      <c r="S186" s="239">
        <f t="shared" si="34"/>
        <v>58612.92</v>
      </c>
      <c r="T186" s="239">
        <f t="shared" si="35"/>
        <v>45718.200000000004</v>
      </c>
      <c r="U186" s="238">
        <f t="shared" si="36"/>
        <v>104331.12</v>
      </c>
    </row>
    <row r="187" spans="2:21">
      <c r="B187" s="259" t="s">
        <v>617</v>
      </c>
      <c r="C187" s="234">
        <v>1</v>
      </c>
      <c r="D187" s="234">
        <v>29.41</v>
      </c>
      <c r="E187" s="234">
        <v>4884.41</v>
      </c>
      <c r="F187" s="234">
        <v>20</v>
      </c>
      <c r="G187" s="234">
        <v>976.88</v>
      </c>
      <c r="H187" s="234">
        <v>50</v>
      </c>
      <c r="I187" s="234">
        <v>2442.21</v>
      </c>
      <c r="J187" s="234">
        <v>7326.62</v>
      </c>
      <c r="K187" s="234">
        <v>7326.62</v>
      </c>
      <c r="M187" s="239">
        <f t="shared" si="28"/>
        <v>14653.23</v>
      </c>
      <c r="N187" s="239">
        <f t="shared" si="29"/>
        <v>10257.27</v>
      </c>
      <c r="O187" s="239">
        <f t="shared" si="30"/>
        <v>29306.46</v>
      </c>
      <c r="P187" s="239">
        <f t="shared" si="31"/>
        <v>20514.54</v>
      </c>
      <c r="Q187" s="239">
        <f t="shared" si="32"/>
        <v>43959.69</v>
      </c>
      <c r="R187" s="239">
        <f t="shared" si="33"/>
        <v>30771.81</v>
      </c>
      <c r="S187" s="239">
        <f t="shared" si="34"/>
        <v>58612.92</v>
      </c>
      <c r="T187" s="239">
        <f t="shared" si="35"/>
        <v>41029.08</v>
      </c>
      <c r="U187" s="238">
        <f t="shared" si="36"/>
        <v>99642</v>
      </c>
    </row>
    <row r="188" spans="2:21">
      <c r="B188" s="259" t="s">
        <v>472</v>
      </c>
      <c r="C188" s="234">
        <v>15</v>
      </c>
      <c r="D188" s="234"/>
      <c r="E188" s="234"/>
      <c r="F188" s="234"/>
      <c r="G188" s="234"/>
      <c r="H188" s="234"/>
      <c r="I188" s="234"/>
      <c r="J188" s="234"/>
      <c r="K188" s="234">
        <v>113344.62</v>
      </c>
      <c r="M188" s="239">
        <f t="shared" si="28"/>
        <v>0</v>
      </c>
      <c r="N188" s="239">
        <f t="shared" si="29"/>
        <v>0</v>
      </c>
      <c r="O188" s="239">
        <f t="shared" si="30"/>
        <v>0</v>
      </c>
      <c r="P188" s="239">
        <f t="shared" si="31"/>
        <v>0</v>
      </c>
      <c r="Q188" s="239">
        <f t="shared" si="32"/>
        <v>0</v>
      </c>
      <c r="R188" s="239">
        <f t="shared" si="33"/>
        <v>0</v>
      </c>
      <c r="S188" s="239">
        <f t="shared" si="34"/>
        <v>0</v>
      </c>
      <c r="T188" s="239">
        <f t="shared" si="35"/>
        <v>0</v>
      </c>
      <c r="U188" s="238">
        <f t="shared" si="36"/>
        <v>0</v>
      </c>
    </row>
    <row r="189" spans="2:21">
      <c r="B189" s="259" t="s">
        <v>618</v>
      </c>
      <c r="C189" s="234"/>
      <c r="D189" s="234"/>
      <c r="E189" s="234"/>
      <c r="F189" s="234"/>
      <c r="G189" s="234"/>
      <c r="H189" s="234"/>
      <c r="I189" s="234"/>
      <c r="J189" s="234"/>
      <c r="K189" s="234"/>
      <c r="M189" s="239">
        <f t="shared" si="28"/>
        <v>0</v>
      </c>
      <c r="N189" s="239">
        <f t="shared" si="29"/>
        <v>0</v>
      </c>
      <c r="O189" s="239">
        <f t="shared" si="30"/>
        <v>0</v>
      </c>
      <c r="P189" s="239">
        <f t="shared" si="31"/>
        <v>0</v>
      </c>
      <c r="Q189" s="239">
        <f t="shared" si="32"/>
        <v>0</v>
      </c>
      <c r="R189" s="239">
        <f t="shared" si="33"/>
        <v>0</v>
      </c>
      <c r="S189" s="239">
        <f t="shared" si="34"/>
        <v>0</v>
      </c>
      <c r="T189" s="239">
        <f t="shared" si="35"/>
        <v>0</v>
      </c>
      <c r="U189" s="238">
        <f t="shared" si="36"/>
        <v>0</v>
      </c>
    </row>
    <row r="190" spans="2:21">
      <c r="B190" s="259" t="s">
        <v>619</v>
      </c>
      <c r="C190" s="234">
        <v>1</v>
      </c>
      <c r="D190" s="234"/>
      <c r="E190" s="234">
        <v>3594</v>
      </c>
      <c r="F190" s="234"/>
      <c r="G190" s="234"/>
      <c r="H190" s="234">
        <v>50</v>
      </c>
      <c r="I190" s="234">
        <v>1797</v>
      </c>
      <c r="J190" s="234">
        <v>5391</v>
      </c>
      <c r="K190" s="234">
        <v>5391</v>
      </c>
      <c r="M190" s="239">
        <f t="shared" si="28"/>
        <v>10782</v>
      </c>
      <c r="N190" s="239">
        <f t="shared" si="29"/>
        <v>5391</v>
      </c>
      <c r="O190" s="239">
        <f t="shared" si="30"/>
        <v>21564</v>
      </c>
      <c r="P190" s="239">
        <f t="shared" si="31"/>
        <v>10782</v>
      </c>
      <c r="Q190" s="239">
        <f t="shared" si="32"/>
        <v>32346</v>
      </c>
      <c r="R190" s="239">
        <f t="shared" si="33"/>
        <v>16173</v>
      </c>
      <c r="S190" s="239">
        <f t="shared" si="34"/>
        <v>43128</v>
      </c>
      <c r="T190" s="239">
        <f t="shared" si="35"/>
        <v>21564</v>
      </c>
      <c r="U190" s="238">
        <f t="shared" si="36"/>
        <v>64692</v>
      </c>
    </row>
    <row r="191" spans="2:21">
      <c r="B191" s="259" t="s">
        <v>620</v>
      </c>
      <c r="C191" s="234">
        <v>8</v>
      </c>
      <c r="D191" s="234">
        <v>21.01</v>
      </c>
      <c r="E191" s="234">
        <v>3489.34</v>
      </c>
      <c r="F191" s="234">
        <v>14.7</v>
      </c>
      <c r="G191" s="234">
        <v>512.92999999999995</v>
      </c>
      <c r="H191" s="234">
        <v>50</v>
      </c>
      <c r="I191" s="234">
        <v>1744.67</v>
      </c>
      <c r="J191" s="234">
        <v>5746.94</v>
      </c>
      <c r="K191" s="234">
        <v>45975.55</v>
      </c>
      <c r="M191" s="239">
        <f t="shared" si="28"/>
        <v>83744.160000000003</v>
      </c>
      <c r="N191" s="239">
        <f t="shared" si="29"/>
        <v>54182.399999999994</v>
      </c>
      <c r="O191" s="239">
        <f t="shared" si="30"/>
        <v>167488.32000000001</v>
      </c>
      <c r="P191" s="239">
        <f t="shared" si="31"/>
        <v>108364.79999999999</v>
      </c>
      <c r="Q191" s="239">
        <f t="shared" si="32"/>
        <v>251232.48</v>
      </c>
      <c r="R191" s="239">
        <f t="shared" si="33"/>
        <v>162547.19999999998</v>
      </c>
      <c r="S191" s="239">
        <f t="shared" si="34"/>
        <v>334976.64000000001</v>
      </c>
      <c r="T191" s="239">
        <f t="shared" si="35"/>
        <v>216729.59999999998</v>
      </c>
      <c r="U191" s="238">
        <f t="shared" si="36"/>
        <v>551706.24</v>
      </c>
    </row>
    <row r="192" spans="2:21">
      <c r="B192" s="259" t="s">
        <v>621</v>
      </c>
      <c r="C192" s="234">
        <v>4</v>
      </c>
      <c r="D192" s="234">
        <v>20.37</v>
      </c>
      <c r="E192" s="234">
        <v>3383.05</v>
      </c>
      <c r="F192" s="234">
        <v>14.7</v>
      </c>
      <c r="G192" s="234">
        <v>497.31</v>
      </c>
      <c r="H192" s="234">
        <v>50</v>
      </c>
      <c r="I192" s="234">
        <v>1691.52</v>
      </c>
      <c r="J192" s="234">
        <v>5571.88</v>
      </c>
      <c r="K192" s="234">
        <v>22287.53</v>
      </c>
      <c r="M192" s="239">
        <f t="shared" si="28"/>
        <v>40596.600000000006</v>
      </c>
      <c r="N192" s="239">
        <f t="shared" si="29"/>
        <v>26265.96</v>
      </c>
      <c r="O192" s="239">
        <f t="shared" si="30"/>
        <v>81193.200000000012</v>
      </c>
      <c r="P192" s="239">
        <f t="shared" si="31"/>
        <v>52531.92</v>
      </c>
      <c r="Q192" s="239">
        <f t="shared" si="32"/>
        <v>121789.8</v>
      </c>
      <c r="R192" s="239">
        <f t="shared" si="33"/>
        <v>78797.88</v>
      </c>
      <c r="S192" s="239">
        <f t="shared" si="34"/>
        <v>162386.40000000002</v>
      </c>
      <c r="T192" s="239">
        <f t="shared" si="35"/>
        <v>105063.84</v>
      </c>
      <c r="U192" s="238">
        <f t="shared" si="36"/>
        <v>267450.23999999999</v>
      </c>
    </row>
    <row r="193" spans="2:21">
      <c r="B193" s="259" t="s">
        <v>472</v>
      </c>
      <c r="C193" s="234">
        <v>13</v>
      </c>
      <c r="D193" s="234"/>
      <c r="E193" s="234"/>
      <c r="F193" s="234"/>
      <c r="G193" s="234"/>
      <c r="H193" s="234"/>
      <c r="I193" s="234"/>
      <c r="J193" s="234"/>
      <c r="K193" s="234">
        <v>73654.09</v>
      </c>
      <c r="M193" s="239">
        <f t="shared" si="28"/>
        <v>0</v>
      </c>
      <c r="N193" s="239">
        <f t="shared" si="29"/>
        <v>0</v>
      </c>
      <c r="O193" s="239">
        <f t="shared" si="30"/>
        <v>0</v>
      </c>
      <c r="P193" s="239">
        <f t="shared" si="31"/>
        <v>0</v>
      </c>
      <c r="Q193" s="239">
        <f t="shared" si="32"/>
        <v>0</v>
      </c>
      <c r="R193" s="239">
        <f t="shared" si="33"/>
        <v>0</v>
      </c>
      <c r="S193" s="239">
        <f t="shared" si="34"/>
        <v>0</v>
      </c>
      <c r="T193" s="239">
        <f t="shared" si="35"/>
        <v>0</v>
      </c>
      <c r="U193" s="238">
        <f t="shared" si="36"/>
        <v>0</v>
      </c>
    </row>
    <row r="194" spans="2:21">
      <c r="B194" s="259" t="s">
        <v>622</v>
      </c>
      <c r="C194" s="234">
        <v>4</v>
      </c>
      <c r="D194" s="234">
        <v>22.03</v>
      </c>
      <c r="E194" s="234">
        <v>3658.74</v>
      </c>
      <c r="F194" s="234">
        <v>14.7</v>
      </c>
      <c r="G194" s="234">
        <v>537.84</v>
      </c>
      <c r="H194" s="234">
        <v>50</v>
      </c>
      <c r="I194" s="234">
        <v>1829.37</v>
      </c>
      <c r="J194" s="234">
        <v>6025.95</v>
      </c>
      <c r="K194" s="234">
        <v>24103.79</v>
      </c>
      <c r="M194" s="239">
        <f t="shared" si="28"/>
        <v>43904.88</v>
      </c>
      <c r="N194" s="239">
        <f t="shared" si="29"/>
        <v>28406.52</v>
      </c>
      <c r="O194" s="239">
        <f t="shared" si="30"/>
        <v>87809.76</v>
      </c>
      <c r="P194" s="239">
        <f t="shared" si="31"/>
        <v>56813.04</v>
      </c>
      <c r="Q194" s="239">
        <f t="shared" si="32"/>
        <v>131714.63999999998</v>
      </c>
      <c r="R194" s="239">
        <f t="shared" si="33"/>
        <v>85219.56</v>
      </c>
      <c r="S194" s="239">
        <f t="shared" si="34"/>
        <v>175619.52</v>
      </c>
      <c r="T194" s="239">
        <f t="shared" si="35"/>
        <v>113626.08</v>
      </c>
      <c r="U194" s="238">
        <f t="shared" si="36"/>
        <v>289245.59999999998</v>
      </c>
    </row>
    <row r="195" spans="2:21">
      <c r="C195">
        <f>C95+C106+C144+C169+C176+C188+C193+C194</f>
        <v>312</v>
      </c>
      <c r="D195">
        <f>C195*0.04</f>
        <v>12.48</v>
      </c>
      <c r="M195" s="240">
        <f>SUM(M87:M194)</f>
        <v>4240884.0299999984</v>
      </c>
      <c r="N195" s="240">
        <f t="shared" ref="N195:U195" si="37">SUM(N87:N194)</f>
        <v>4405746.7641599989</v>
      </c>
      <c r="O195" s="240">
        <f t="shared" si="37"/>
        <v>8481768.0599999968</v>
      </c>
      <c r="P195" s="240">
        <f t="shared" si="37"/>
        <v>8811493.5283199977</v>
      </c>
      <c r="Q195" s="240">
        <f t="shared" si="37"/>
        <v>12722652.089999998</v>
      </c>
      <c r="R195" s="240">
        <f t="shared" si="37"/>
        <v>13217240.292480011</v>
      </c>
      <c r="S195" s="240">
        <f t="shared" si="37"/>
        <v>16963536.119999994</v>
      </c>
      <c r="T195" s="240">
        <f t="shared" si="37"/>
        <v>17622987.056639995</v>
      </c>
      <c r="U195" s="240">
        <f t="shared" si="37"/>
        <v>34586523.176640011</v>
      </c>
    </row>
    <row r="197" spans="2:21" ht="213">
      <c r="B197" s="242" t="s">
        <v>518</v>
      </c>
      <c r="C197" s="248" t="s">
        <v>519</v>
      </c>
      <c r="D197" s="241" t="s">
        <v>520</v>
      </c>
      <c r="E197" s="241" t="s">
        <v>521</v>
      </c>
      <c r="F197" s="241" t="s">
        <v>522</v>
      </c>
      <c r="G197" s="241" t="s">
        <v>523</v>
      </c>
      <c r="H197" s="248" t="s">
        <v>524</v>
      </c>
      <c r="I197" s="241" t="s">
        <v>525</v>
      </c>
      <c r="J197" s="241" t="s">
        <v>526</v>
      </c>
      <c r="K197" s="241" t="s">
        <v>527</v>
      </c>
    </row>
    <row r="198" spans="2:21">
      <c r="B198" s="242">
        <v>1</v>
      </c>
      <c r="C198" s="243">
        <v>5</v>
      </c>
      <c r="D198" s="242">
        <v>7</v>
      </c>
      <c r="E198" s="242">
        <v>8</v>
      </c>
      <c r="F198" s="242">
        <v>9</v>
      </c>
      <c r="G198" s="242">
        <v>10</v>
      </c>
      <c r="H198" s="243">
        <v>11</v>
      </c>
      <c r="I198" s="242">
        <v>12</v>
      </c>
      <c r="J198" s="242">
        <v>13</v>
      </c>
      <c r="K198" s="242">
        <v>14</v>
      </c>
      <c r="M198" t="s">
        <v>380</v>
      </c>
      <c r="N198" t="s">
        <v>372</v>
      </c>
      <c r="O198" t="s">
        <v>373</v>
      </c>
      <c r="P198" t="s">
        <v>87</v>
      </c>
    </row>
    <row r="199" spans="2:21">
      <c r="B199" s="244"/>
      <c r="C199" s="245"/>
      <c r="D199" s="246"/>
      <c r="E199" s="246"/>
      <c r="F199" s="246"/>
      <c r="G199" s="246"/>
      <c r="H199" s="245"/>
      <c r="I199" s="246"/>
      <c r="J199" s="246"/>
      <c r="K199" s="247"/>
      <c r="L199" t="s">
        <v>625</v>
      </c>
      <c r="M199" s="239">
        <f>SUM(M87:N194)</f>
        <v>8646630.7941599954</v>
      </c>
      <c r="N199" s="239">
        <f>SUM(O87:P194)</f>
        <v>17293261.588319991</v>
      </c>
      <c r="O199" s="239">
        <f>SUM(Q87:R194)</f>
        <v>25939892.382479995</v>
      </c>
      <c r="P199" s="239">
        <f>SUM(S87:T194)</f>
        <v>34586523.176639982</v>
      </c>
    </row>
    <row r="200" spans="2:21" ht="13.5">
      <c r="B200" s="1105" t="s">
        <v>641</v>
      </c>
      <c r="C200" s="1106"/>
      <c r="D200" s="1106"/>
      <c r="E200" s="1106"/>
      <c r="F200" s="1106"/>
      <c r="G200" s="1106"/>
      <c r="H200" s="1106"/>
      <c r="I200" s="1106"/>
      <c r="J200" s="1106"/>
      <c r="K200" s="1107"/>
      <c r="L200" t="s">
        <v>626</v>
      </c>
      <c r="M200" s="239">
        <f>(M199-M205)*22%+M205*8.41%</f>
        <v>1876123.1946641786</v>
      </c>
      <c r="N200" s="239">
        <f>(N199-N205)*22%+N205*8.41%</f>
        <v>3752246.3893283573</v>
      </c>
      <c r="O200" s="239">
        <f>(O199-O205)*22%+O205*8.41%</f>
        <v>5628369.583992538</v>
      </c>
      <c r="P200" s="239">
        <f>(P199-P205)*22%+P205*8.41%</f>
        <v>7504492.7786567146</v>
      </c>
    </row>
    <row r="201" spans="2:21">
      <c r="B201" s="249" t="s">
        <v>642</v>
      </c>
      <c r="C201" s="243">
        <v>1</v>
      </c>
      <c r="D201" s="250">
        <v>24.51</v>
      </c>
      <c r="E201" s="250">
        <f t="shared" ref="E201:E207" si="38">D201*166.08</f>
        <v>4070.6208000000006</v>
      </c>
      <c r="F201" s="243">
        <v>12</v>
      </c>
      <c r="G201" s="251">
        <f>E201*0.12</f>
        <v>488.47449600000004</v>
      </c>
      <c r="H201" s="243">
        <v>70</v>
      </c>
      <c r="I201" s="250">
        <f>E201*0.7</f>
        <v>2849.4345600000001</v>
      </c>
      <c r="J201" s="250">
        <f>I201+G201+E201</f>
        <v>7408.529856000001</v>
      </c>
      <c r="K201" s="250">
        <f>J201*C201</f>
        <v>7408.529856000001</v>
      </c>
      <c r="M201" s="239"/>
      <c r="N201" s="239"/>
      <c r="O201" s="239"/>
      <c r="P201" s="239"/>
    </row>
    <row r="202" spans="2:21">
      <c r="B202" s="252" t="s">
        <v>621</v>
      </c>
      <c r="C202" s="243">
        <v>3</v>
      </c>
      <c r="D202" s="250">
        <v>23.76</v>
      </c>
      <c r="E202" s="250">
        <f t="shared" si="38"/>
        <v>3946.0608000000007</v>
      </c>
      <c r="F202" s="243">
        <v>14.7</v>
      </c>
      <c r="G202" s="250">
        <f>E202*0.147</f>
        <v>580.07093760000009</v>
      </c>
      <c r="H202" s="243">
        <v>20</v>
      </c>
      <c r="I202" s="250">
        <f>E202*0.2</f>
        <v>789.21216000000015</v>
      </c>
      <c r="J202" s="250">
        <f>I202+G202+E202</f>
        <v>5315.3438976000007</v>
      </c>
      <c r="K202" s="250">
        <f>C202*J202</f>
        <v>15946.031692800003</v>
      </c>
      <c r="L202" t="s">
        <v>627</v>
      </c>
      <c r="M202" s="239">
        <f>SUM(M8:N80)</f>
        <v>1987580.58</v>
      </c>
      <c r="N202" s="239">
        <f>SUM(O8:P80)</f>
        <v>3993863.52</v>
      </c>
      <c r="O202" s="239">
        <f>SUM(Q8:R80)</f>
        <v>6000146.46</v>
      </c>
      <c r="P202" s="239">
        <f>SUM(S8:T80)</f>
        <v>8006429.4000000004</v>
      </c>
    </row>
    <row r="203" spans="2:21">
      <c r="B203" s="253" t="s">
        <v>622</v>
      </c>
      <c r="C203" s="243">
        <v>1</v>
      </c>
      <c r="D203" s="250">
        <v>25.7</v>
      </c>
      <c r="E203" s="250">
        <f t="shared" si="38"/>
        <v>4268.2560000000003</v>
      </c>
      <c r="F203" s="243">
        <v>14.7</v>
      </c>
      <c r="G203" s="250">
        <f>E203*0.147</f>
        <v>627.43363199999999</v>
      </c>
      <c r="H203" s="243">
        <v>20</v>
      </c>
      <c r="I203" s="250">
        <f>E203*0.2</f>
        <v>853.65120000000013</v>
      </c>
      <c r="J203" s="250">
        <f>I203+G203+E203</f>
        <v>5749.3408319999999</v>
      </c>
      <c r="K203" s="250">
        <f t="shared" ref="K203:K208" si="39">J203*C203</f>
        <v>5749.3408319999999</v>
      </c>
      <c r="L203" t="s">
        <v>626</v>
      </c>
      <c r="M203" s="239">
        <f>(M202-M206)*22%+M206*8.41%</f>
        <v>433617.18180000002</v>
      </c>
      <c r="N203" s="239">
        <f>(N202-N206)*22%+N206*8.41%</f>
        <v>871348.88280000002</v>
      </c>
      <c r="O203" s="239">
        <f>(O202-O206)*22%+O206*8.41%</f>
        <v>1309080.5838000001</v>
      </c>
      <c r="P203" s="239">
        <f>(P202-P206)*22%+P206*8.41%</f>
        <v>1746812.2848</v>
      </c>
    </row>
    <row r="204" spans="2:21">
      <c r="B204" s="253" t="s">
        <v>612</v>
      </c>
      <c r="C204" s="243">
        <v>1</v>
      </c>
      <c r="D204" s="250">
        <v>37.74</v>
      </c>
      <c r="E204" s="250">
        <f t="shared" si="38"/>
        <v>6267.8592000000008</v>
      </c>
      <c r="F204" s="243">
        <v>20</v>
      </c>
      <c r="G204" s="250">
        <f>E204*0.2</f>
        <v>1253.5718400000003</v>
      </c>
      <c r="H204" s="243">
        <v>20</v>
      </c>
      <c r="I204" s="250">
        <f>E204*0.2</f>
        <v>1253.5718400000003</v>
      </c>
      <c r="J204" s="250">
        <f>E204+I204</f>
        <v>7521.4310400000013</v>
      </c>
      <c r="K204" s="250">
        <f t="shared" si="39"/>
        <v>7521.4310400000013</v>
      </c>
      <c r="M204" s="239"/>
      <c r="N204" s="239"/>
      <c r="O204" s="239"/>
      <c r="P204" s="239"/>
    </row>
    <row r="205" spans="2:21">
      <c r="B205" s="253" t="s">
        <v>613</v>
      </c>
      <c r="C205" s="243">
        <v>1</v>
      </c>
      <c r="D205" s="250">
        <v>37.74</v>
      </c>
      <c r="E205" s="250">
        <f t="shared" si="38"/>
        <v>6267.8592000000008</v>
      </c>
      <c r="F205" s="243">
        <v>20</v>
      </c>
      <c r="G205" s="250">
        <f>E205*0.2</f>
        <v>1253.5718400000003</v>
      </c>
      <c r="H205" s="243">
        <v>20</v>
      </c>
      <c r="I205" s="250">
        <f>E205*0.2</f>
        <v>1253.5718400000003</v>
      </c>
      <c r="J205" s="250">
        <f>E205+I205</f>
        <v>7521.4310400000013</v>
      </c>
      <c r="K205" s="250">
        <f t="shared" si="39"/>
        <v>7521.4310400000013</v>
      </c>
      <c r="L205" s="257" t="s">
        <v>628</v>
      </c>
      <c r="M205" s="258">
        <f>SUM($K$201:$K$207)*3</f>
        <v>192314.79066240005</v>
      </c>
      <c r="N205" s="258">
        <f>SUM($K$201:$K$207)*6</f>
        <v>384629.58132480009</v>
      </c>
      <c r="O205" s="258">
        <f>SUM($K$201:$K$207)*9</f>
        <v>576944.37198720011</v>
      </c>
      <c r="P205" s="258">
        <f>SUM($K$201:$K$207)*12</f>
        <v>769259.16264960018</v>
      </c>
    </row>
    <row r="206" spans="2:21">
      <c r="B206" s="254" t="s">
        <v>561</v>
      </c>
      <c r="C206" s="243">
        <v>1</v>
      </c>
      <c r="D206" s="250">
        <v>39.729999999999997</v>
      </c>
      <c r="E206" s="250">
        <f t="shared" si="38"/>
        <v>6598.3584000000001</v>
      </c>
      <c r="F206" s="243">
        <v>17</v>
      </c>
      <c r="G206" s="250">
        <f>E206*0.17</f>
        <v>1121.7209280000002</v>
      </c>
      <c r="H206" s="243">
        <v>25</v>
      </c>
      <c r="I206" s="250">
        <f>E206*0.25</f>
        <v>1649.5896</v>
      </c>
      <c r="J206" s="250">
        <f>I206+G206+E206</f>
        <v>9369.6689279999991</v>
      </c>
      <c r="K206" s="250">
        <f t="shared" si="39"/>
        <v>9369.6689279999991</v>
      </c>
      <c r="L206" s="257" t="s">
        <v>629</v>
      </c>
      <c r="M206" s="258">
        <f>K208*3</f>
        <v>26862</v>
      </c>
      <c r="N206" s="258">
        <f>K208*6</f>
        <v>53724</v>
      </c>
      <c r="O206" s="258">
        <f>K208*9</f>
        <v>80586</v>
      </c>
      <c r="P206" s="258">
        <f>K208*12</f>
        <v>107448</v>
      </c>
    </row>
    <row r="207" spans="2:21">
      <c r="B207" s="254" t="s">
        <v>562</v>
      </c>
      <c r="C207" s="243">
        <v>1</v>
      </c>
      <c r="D207" s="250">
        <v>36.020000000000003</v>
      </c>
      <c r="E207" s="250">
        <f t="shared" si="38"/>
        <v>5982.2016000000012</v>
      </c>
      <c r="F207" s="243">
        <v>52</v>
      </c>
      <c r="G207" s="250">
        <f>E207*0.52</f>
        <v>3110.7448320000008</v>
      </c>
      <c r="H207" s="243">
        <v>25</v>
      </c>
      <c r="I207" s="250">
        <f>E207*0.25</f>
        <v>1495.5504000000003</v>
      </c>
      <c r="J207" s="250">
        <f>I207+G207+E207</f>
        <v>10588.496832000003</v>
      </c>
      <c r="K207" s="250">
        <f t="shared" si="39"/>
        <v>10588.496832000003</v>
      </c>
      <c r="M207" s="239"/>
      <c r="N207" s="239"/>
      <c r="O207" s="239"/>
      <c r="P207" s="239"/>
    </row>
    <row r="208" spans="2:21">
      <c r="B208" s="254" t="s">
        <v>643</v>
      </c>
      <c r="C208" s="255">
        <v>1</v>
      </c>
      <c r="D208" s="254"/>
      <c r="E208" s="255">
        <v>8954</v>
      </c>
      <c r="F208" s="254"/>
      <c r="G208" s="254"/>
      <c r="H208" s="254"/>
      <c r="I208" s="250"/>
      <c r="J208" s="255">
        <f>E208</f>
        <v>8954</v>
      </c>
      <c r="K208" s="250">
        <f t="shared" si="39"/>
        <v>8954</v>
      </c>
    </row>
    <row r="209" spans="2:16">
      <c r="B209" s="254" t="s">
        <v>511</v>
      </c>
      <c r="C209" s="255">
        <f>SUM(C201:C208)</f>
        <v>10</v>
      </c>
      <c r="D209" s="254"/>
      <c r="E209" s="254"/>
      <c r="F209" s="254"/>
      <c r="G209" s="254"/>
      <c r="H209" s="254"/>
      <c r="I209" s="254"/>
      <c r="J209" s="254"/>
      <c r="K209" s="256">
        <f>SUM(K201:K208)</f>
        <v>73058.930220800015</v>
      </c>
    </row>
    <row r="210" spans="2:16">
      <c r="L210" t="s">
        <v>630</v>
      </c>
      <c r="M210" s="239">
        <f t="shared" ref="M210:P211" si="40">M199+M202</f>
        <v>10634211.374159995</v>
      </c>
      <c r="N210" s="239">
        <f t="shared" si="40"/>
        <v>21287125.10831999</v>
      </c>
      <c r="O210" s="239">
        <f t="shared" si="40"/>
        <v>31940038.842479996</v>
      </c>
      <c r="P210" s="239">
        <f t="shared" si="40"/>
        <v>42592952.57663998</v>
      </c>
    </row>
    <row r="211" spans="2:16">
      <c r="L211" t="s">
        <v>450</v>
      </c>
      <c r="M211" s="239">
        <f t="shared" si="40"/>
        <v>2309740.3764641788</v>
      </c>
      <c r="N211" s="239">
        <f t="shared" si="40"/>
        <v>4623595.2721283576</v>
      </c>
      <c r="O211" s="239">
        <f t="shared" si="40"/>
        <v>6937450.1677925382</v>
      </c>
      <c r="P211" s="239">
        <f t="shared" si="40"/>
        <v>9251305.0634567142</v>
      </c>
    </row>
    <row r="213" spans="2:16">
      <c r="L213" t="s">
        <v>631</v>
      </c>
    </row>
    <row r="215" spans="2:16">
      <c r="L215" t="s">
        <v>632</v>
      </c>
    </row>
    <row r="216" spans="2:16">
      <c r="L216" t="s">
        <v>272</v>
      </c>
      <c r="M216" s="164">
        <f>U8</f>
        <v>420881.4</v>
      </c>
    </row>
    <row r="217" spans="2:16">
      <c r="L217" t="s">
        <v>633</v>
      </c>
      <c r="M217" s="164">
        <f>P202-M216</f>
        <v>7585548</v>
      </c>
    </row>
    <row r="218" spans="2:16">
      <c r="L218" t="s">
        <v>273</v>
      </c>
      <c r="M218" s="164">
        <f>P199</f>
        <v>34586523.176639982</v>
      </c>
    </row>
    <row r="219" spans="2:16">
      <c r="M219" s="164"/>
    </row>
    <row r="220" spans="2:16">
      <c r="L220" t="s">
        <v>634</v>
      </c>
      <c r="M220" s="164"/>
    </row>
    <row r="221" spans="2:16">
      <c r="L221" t="s">
        <v>272</v>
      </c>
      <c r="M221" s="164">
        <f>M216*1.22</f>
        <v>513475.30800000002</v>
      </c>
    </row>
    <row r="222" spans="2:16">
      <c r="L222" t="s">
        <v>633</v>
      </c>
      <c r="M222" s="164">
        <f>P202+P203-M221</f>
        <v>9239766.3768000007</v>
      </c>
    </row>
    <row r="223" spans="2:16">
      <c r="L223" t="s">
        <v>273</v>
      </c>
      <c r="M223" s="164">
        <f>P199+P200</f>
        <v>42091015.955296695</v>
      </c>
    </row>
    <row r="224" spans="2:16">
      <c r="M224" s="164"/>
    </row>
    <row r="225" spans="12:13">
      <c r="L225" t="s">
        <v>635</v>
      </c>
      <c r="M225" s="164"/>
    </row>
    <row r="226" spans="12:13">
      <c r="L226" t="s">
        <v>272</v>
      </c>
      <c r="M226" s="164">
        <f>M216/12</f>
        <v>35073.450000000004</v>
      </c>
    </row>
    <row r="227" spans="12:13">
      <c r="L227" t="s">
        <v>633</v>
      </c>
      <c r="M227" s="164">
        <f>SUM(S9:S80)/12/65</f>
        <v>9719.4</v>
      </c>
    </row>
    <row r="228" spans="12:13">
      <c r="L228" t="s">
        <v>273</v>
      </c>
      <c r="M228" s="164">
        <f>SUM(S87:S194)/12/312</f>
        <v>4530.8590064102546</v>
      </c>
    </row>
    <row r="229" spans="12:13">
      <c r="M229" s="164"/>
    </row>
    <row r="230" spans="12:13">
      <c r="L230" t="s">
        <v>636</v>
      </c>
      <c r="M230" s="164"/>
    </row>
    <row r="231" spans="12:13">
      <c r="L231" t="s">
        <v>272</v>
      </c>
      <c r="M231" s="164">
        <f>M226</f>
        <v>35073.450000000004</v>
      </c>
    </row>
    <row r="232" spans="12:13">
      <c r="L232" t="s">
        <v>633</v>
      </c>
      <c r="M232" s="164">
        <f>SUM(S9:T80)/12/65</f>
        <v>9725.0615384615376</v>
      </c>
    </row>
    <row r="233" spans="12:13">
      <c r="L233" t="s">
        <v>273</v>
      </c>
      <c r="M233" s="164">
        <f>SUM(S87:T194)/12/312</f>
        <v>9237.8534125640981</v>
      </c>
    </row>
  </sheetData>
  <sheetProtection password="CF66" sheet="1" objects="1" scenarios="1"/>
  <mergeCells count="7">
    <mergeCell ref="B200:K200"/>
    <mergeCell ref="G5:G7"/>
    <mergeCell ref="B5:B7"/>
    <mergeCell ref="C5:C7"/>
    <mergeCell ref="D5:D7"/>
    <mergeCell ref="E5:F5"/>
    <mergeCell ref="E6:F6"/>
  </mergeCells>
  <phoneticPr fontId="6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indowProtection="1" workbookViewId="0">
      <selection activeCell="B23" sqref="B23"/>
    </sheetView>
  </sheetViews>
  <sheetFormatPr defaultRowHeight="12.75"/>
  <cols>
    <col min="1" max="1" width="29.7109375" customWidth="1"/>
    <col min="2" max="2" width="13.28515625" customWidth="1"/>
    <col min="3" max="3" width="0" hidden="1" customWidth="1"/>
    <col min="4" max="4" width="19" customWidth="1"/>
  </cols>
  <sheetData>
    <row r="1" spans="1:5" ht="25.5" customHeight="1">
      <c r="A1" s="1115" t="s">
        <v>856</v>
      </c>
      <c r="B1" s="1116"/>
      <c r="C1" s="430" t="s">
        <v>683</v>
      </c>
      <c r="D1" s="430"/>
      <c r="E1" s="430"/>
    </row>
    <row r="2" spans="1:5" ht="44.25" customHeight="1">
      <c r="A2" s="455" t="s">
        <v>1053</v>
      </c>
      <c r="B2" s="456">
        <f>1187.5*1.2</f>
        <v>1425</v>
      </c>
      <c r="C2" s="430"/>
      <c r="D2" s="430"/>
      <c r="E2" s="430"/>
    </row>
    <row r="3" spans="1:5" ht="29.25" customHeight="1">
      <c r="A3" s="466" t="s">
        <v>1054</v>
      </c>
      <c r="B3" s="467">
        <v>1517</v>
      </c>
      <c r="C3" s="430"/>
      <c r="D3" s="430"/>
      <c r="E3" s="430"/>
    </row>
    <row r="4" spans="1:5" ht="29.25" customHeight="1">
      <c r="A4" s="455"/>
      <c r="B4" s="456"/>
      <c r="C4" s="430"/>
      <c r="D4" s="430"/>
      <c r="E4" s="430"/>
    </row>
    <row r="5" spans="1:5" ht="29.25" customHeight="1" thickBot="1">
      <c r="A5" s="463" t="s">
        <v>1052</v>
      </c>
      <c r="B5" s="465">
        <v>1813</v>
      </c>
      <c r="C5" s="430"/>
      <c r="D5" s="430"/>
      <c r="E5" s="430"/>
    </row>
    <row r="6" spans="1:5" ht="13.5" thickBot="1">
      <c r="A6" s="430"/>
      <c r="B6" s="430"/>
      <c r="C6" s="430"/>
      <c r="D6" s="430"/>
      <c r="E6" s="430"/>
    </row>
    <row r="7" spans="1:5" ht="24" customHeight="1">
      <c r="A7" s="1115" t="s">
        <v>1059</v>
      </c>
      <c r="B7" s="1117"/>
      <c r="C7" s="457" t="s">
        <v>1058</v>
      </c>
      <c r="D7" s="458" t="s">
        <v>1057</v>
      </c>
      <c r="E7" s="176"/>
    </row>
    <row r="8" spans="1:5" ht="24.75" customHeight="1">
      <c r="A8" s="455" t="s">
        <v>1055</v>
      </c>
      <c r="B8" s="454">
        <f>605.63*1.2</f>
        <v>726.75599999999997</v>
      </c>
      <c r="C8" s="454">
        <f>B8*500</f>
        <v>363378</v>
      </c>
      <c r="D8" s="456">
        <f>1187.5*1.2</f>
        <v>1425</v>
      </c>
      <c r="E8" s="176"/>
    </row>
    <row r="9" spans="1:5">
      <c r="A9" s="455" t="s">
        <v>1056</v>
      </c>
      <c r="B9" s="454">
        <f>106.26*1.2</f>
        <v>127.512</v>
      </c>
      <c r="C9" s="454">
        <f>B9*500</f>
        <v>63756</v>
      </c>
      <c r="D9" s="456">
        <f>208.35*1.2</f>
        <v>250.01999999999998</v>
      </c>
      <c r="E9" s="176"/>
    </row>
    <row r="10" spans="1:5">
      <c r="A10" s="455"/>
      <c r="B10" s="454"/>
      <c r="C10" s="454"/>
      <c r="D10" s="456"/>
      <c r="E10" s="176"/>
    </row>
    <row r="11" spans="1:5" ht="25.5">
      <c r="A11" s="466" t="s">
        <v>1060</v>
      </c>
      <c r="B11" s="468">
        <f>860.91*1.2</f>
        <v>1033.0919999999999</v>
      </c>
      <c r="C11" s="454">
        <f>B11*500</f>
        <v>516545.99999999994</v>
      </c>
      <c r="D11" s="456"/>
      <c r="E11" s="176"/>
    </row>
    <row r="12" spans="1:5">
      <c r="A12" s="459"/>
      <c r="B12" s="176"/>
      <c r="C12" s="176">
        <f>7*500</f>
        <v>3500</v>
      </c>
      <c r="D12" s="460"/>
      <c r="E12" s="176"/>
    </row>
    <row r="13" spans="1:5">
      <c r="A13" s="459"/>
      <c r="B13" s="176"/>
      <c r="C13" s="176">
        <f>C8+C9+C11</f>
        <v>943680</v>
      </c>
      <c r="D13" s="460"/>
      <c r="E13" s="176"/>
    </row>
    <row r="14" spans="1:5" ht="25.5" customHeight="1" thickBot="1">
      <c r="A14" s="463" t="s">
        <v>1061</v>
      </c>
      <c r="B14" s="464">
        <v>1195.55</v>
      </c>
      <c r="C14" s="461"/>
      <c r="D14" s="462"/>
      <c r="E14" s="176"/>
    </row>
    <row r="15" spans="1:5">
      <c r="A15" s="176"/>
      <c r="B15" s="176"/>
      <c r="C15" s="176"/>
      <c r="D15" s="176"/>
      <c r="E15" s="176"/>
    </row>
    <row r="16" spans="1:5">
      <c r="A16" s="176"/>
      <c r="B16" s="176"/>
      <c r="C16" s="176"/>
      <c r="D16" s="176"/>
      <c r="E16" s="176"/>
    </row>
    <row r="17" spans="1:5">
      <c r="A17" s="176"/>
      <c r="B17" s="176"/>
      <c r="C17" s="176"/>
      <c r="D17" s="176"/>
      <c r="E17" s="176"/>
    </row>
    <row r="18" spans="1:5">
      <c r="A18" s="176"/>
      <c r="B18" s="176"/>
      <c r="C18" s="176"/>
      <c r="D18" s="176"/>
      <c r="E18" s="176"/>
    </row>
    <row r="19" spans="1:5">
      <c r="A19" s="176"/>
      <c r="B19" s="176"/>
      <c r="C19" s="176"/>
      <c r="D19" s="176"/>
      <c r="E19" s="176"/>
    </row>
    <row r="20" spans="1:5">
      <c r="A20" s="176"/>
      <c r="B20" s="176"/>
      <c r="C20" s="176"/>
      <c r="D20" s="176"/>
      <c r="E20" s="176"/>
    </row>
    <row r="21" spans="1:5">
      <c r="A21" s="453"/>
      <c r="B21" s="453"/>
      <c r="C21" s="453"/>
      <c r="D21" s="453"/>
      <c r="E21" s="453"/>
    </row>
  </sheetData>
  <mergeCells count="2">
    <mergeCell ref="A1:B1"/>
    <mergeCell ref="A7:B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windowProtection="1" topLeftCell="J1" workbookViewId="0">
      <selection activeCell="R18" sqref="R18"/>
    </sheetView>
  </sheetViews>
  <sheetFormatPr defaultRowHeight="12.75"/>
  <cols>
    <col min="1" max="1" width="42" hidden="1" customWidth="1"/>
    <col min="2" max="2" width="6.7109375" hidden="1" customWidth="1"/>
    <col min="3" max="5" width="12.7109375" hidden="1" customWidth="1"/>
    <col min="6" max="6" width="18" hidden="1" customWidth="1"/>
    <col min="7" max="7" width="12.7109375" hidden="1" customWidth="1"/>
    <col min="8" max="8" width="12.5703125" hidden="1" customWidth="1"/>
    <col min="9" max="9" width="10.140625" hidden="1" customWidth="1"/>
    <col min="10" max="10" width="9.28515625" bestFit="1" customWidth="1"/>
    <col min="11" max="13" width="10.140625" bestFit="1" customWidth="1"/>
    <col min="14" max="14" width="11.7109375" bestFit="1" customWidth="1"/>
    <col min="15" max="15" width="10.140625" bestFit="1" customWidth="1"/>
    <col min="16" max="16" width="12.7109375" bestFit="1" customWidth="1"/>
  </cols>
  <sheetData>
    <row r="1" spans="1:16">
      <c r="A1" t="s">
        <v>679</v>
      </c>
    </row>
    <row r="2" spans="1:16">
      <c r="A2" t="s">
        <v>678</v>
      </c>
      <c r="B2">
        <v>3611</v>
      </c>
      <c r="C2" s="285">
        <v>62279465.890000001</v>
      </c>
      <c r="D2" s="285">
        <v>-38588.230000000003</v>
      </c>
      <c r="E2" s="285">
        <v>-69213.34</v>
      </c>
      <c r="F2" s="285">
        <f>SUM(C2:E2)</f>
        <v>62171664.32</v>
      </c>
      <c r="G2" s="285">
        <f>F2/1.2</f>
        <v>51809720.266666666</v>
      </c>
      <c r="H2" s="285">
        <f t="shared" ref="H2:H8" si="0">G2/1000</f>
        <v>51809.720266666664</v>
      </c>
      <c r="I2" s="285">
        <v>51810</v>
      </c>
      <c r="J2" s="285"/>
      <c r="K2" s="285"/>
      <c r="L2" s="285"/>
      <c r="M2" s="285"/>
      <c r="N2" s="285"/>
      <c r="O2" s="285"/>
      <c r="P2" s="285"/>
    </row>
    <row r="3" spans="1:16">
      <c r="A3" t="s">
        <v>680</v>
      </c>
      <c r="C3" s="285">
        <v>19557.68</v>
      </c>
      <c r="D3" s="285"/>
      <c r="E3" s="285"/>
      <c r="F3" s="285">
        <f t="shared" ref="F3:F8" si="1">SUM(C3:E3)</f>
        <v>19557.68</v>
      </c>
      <c r="G3" s="285">
        <f t="shared" ref="G3:G8" si="2">F3/1.2</f>
        <v>16298.066666666668</v>
      </c>
      <c r="H3" s="285">
        <f t="shared" si="0"/>
        <v>16.298066666666667</v>
      </c>
      <c r="I3" s="285">
        <v>16</v>
      </c>
      <c r="J3" s="285"/>
      <c r="K3" s="285"/>
      <c r="L3" s="285"/>
      <c r="M3" s="285"/>
      <c r="N3" s="285"/>
      <c r="O3" s="285"/>
      <c r="P3" s="285"/>
    </row>
    <row r="4" spans="1:16">
      <c r="A4" t="s">
        <v>681</v>
      </c>
      <c r="B4">
        <v>3612</v>
      </c>
      <c r="C4" s="285">
        <v>2763842.42</v>
      </c>
      <c r="D4" s="285">
        <f>-E2</f>
        <v>69213.34</v>
      </c>
      <c r="E4" s="285">
        <v>6199704.0499999998</v>
      </c>
      <c r="F4" s="285">
        <f t="shared" si="1"/>
        <v>9032759.8099999987</v>
      </c>
      <c r="G4" s="285">
        <f t="shared" si="2"/>
        <v>7527299.8416666659</v>
      </c>
      <c r="H4" s="285">
        <f t="shared" si="0"/>
        <v>7527.299841666666</v>
      </c>
      <c r="I4" s="285">
        <v>7527</v>
      </c>
      <c r="J4" s="285"/>
      <c r="K4" s="285"/>
      <c r="L4" s="285"/>
      <c r="M4" s="285"/>
      <c r="N4" s="285"/>
      <c r="O4" s="285"/>
      <c r="P4" s="285"/>
    </row>
    <row r="5" spans="1:16">
      <c r="A5" t="s">
        <v>682</v>
      </c>
      <c r="B5">
        <v>3613</v>
      </c>
      <c r="C5" s="285">
        <v>220637.43</v>
      </c>
      <c r="D5" s="285"/>
      <c r="E5" s="285"/>
      <c r="F5" s="285">
        <f t="shared" si="1"/>
        <v>220637.43</v>
      </c>
      <c r="G5" s="285">
        <f t="shared" si="2"/>
        <v>183864.52499999999</v>
      </c>
      <c r="H5" s="285">
        <f t="shared" si="0"/>
        <v>183.86452499999999</v>
      </c>
      <c r="I5" s="285">
        <v>184</v>
      </c>
      <c r="J5" s="285"/>
      <c r="K5" s="285"/>
      <c r="L5" s="285"/>
      <c r="M5" s="285"/>
      <c r="N5" s="285"/>
      <c r="O5" s="285"/>
      <c r="P5" s="285"/>
    </row>
    <row r="6" spans="1:16">
      <c r="A6" t="s">
        <v>683</v>
      </c>
      <c r="B6">
        <v>3614</v>
      </c>
      <c r="C6" s="285">
        <v>2500917.89</v>
      </c>
      <c r="D6" s="285"/>
      <c r="E6" s="285"/>
      <c r="F6" s="285">
        <f t="shared" si="1"/>
        <v>2500917.89</v>
      </c>
      <c r="G6" s="285">
        <f t="shared" si="2"/>
        <v>2084098.2416666669</v>
      </c>
      <c r="H6" s="285">
        <f t="shared" si="0"/>
        <v>2084.098241666667</v>
      </c>
      <c r="I6" s="285">
        <v>2084</v>
      </c>
      <c r="J6" s="285"/>
      <c r="K6" s="285"/>
      <c r="L6" s="285"/>
      <c r="M6" s="285"/>
      <c r="N6" s="285"/>
      <c r="O6" s="285"/>
      <c r="P6" s="285"/>
    </row>
    <row r="7" spans="1:16">
      <c r="A7" t="s">
        <v>684</v>
      </c>
      <c r="B7">
        <v>3615</v>
      </c>
      <c r="C7" s="285">
        <f>1888424.33</f>
        <v>1888424.33</v>
      </c>
      <c r="D7" s="285">
        <f>-D2</f>
        <v>38588.230000000003</v>
      </c>
      <c r="E7" s="285"/>
      <c r="F7" s="285">
        <f t="shared" si="1"/>
        <v>1927012.56</v>
      </c>
      <c r="G7" s="285">
        <f t="shared" si="2"/>
        <v>1605843.8</v>
      </c>
      <c r="H7" s="285">
        <f t="shared" si="0"/>
        <v>1605.8438000000001</v>
      </c>
      <c r="I7" s="285">
        <v>1606</v>
      </c>
      <c r="J7" s="285"/>
      <c r="K7" s="285"/>
      <c r="L7" s="285"/>
      <c r="M7" s="285"/>
      <c r="N7" s="285"/>
      <c r="O7" s="285"/>
      <c r="P7" s="285"/>
    </row>
    <row r="8" spans="1:16">
      <c r="A8" t="s">
        <v>685</v>
      </c>
      <c r="B8">
        <v>3616</v>
      </c>
      <c r="C8" s="285">
        <v>58139.42</v>
      </c>
      <c r="D8" s="285"/>
      <c r="E8" s="285"/>
      <c r="F8" s="285">
        <f t="shared" si="1"/>
        <v>58139.42</v>
      </c>
      <c r="G8" s="285">
        <f t="shared" si="2"/>
        <v>48449.51666666667</v>
      </c>
      <c r="H8" s="285">
        <f t="shared" si="0"/>
        <v>48.449516666666668</v>
      </c>
      <c r="I8" s="285">
        <v>48</v>
      </c>
      <c r="J8" s="285"/>
      <c r="K8" s="285"/>
      <c r="L8" s="285"/>
      <c r="M8" s="285"/>
      <c r="N8" s="285"/>
      <c r="O8" s="285"/>
      <c r="P8" s="285"/>
    </row>
    <row r="9" spans="1:16">
      <c r="C9" s="285">
        <f>SUM(C2:C8)</f>
        <v>69730985.060000002</v>
      </c>
      <c r="D9" s="285"/>
      <c r="E9" s="285"/>
      <c r="F9" s="285">
        <f>SUM(F2:F8)</f>
        <v>75930689.110000014</v>
      </c>
      <c r="G9" s="285">
        <f>F9/1.2</f>
        <v>63275574.258333348</v>
      </c>
      <c r="H9" s="285">
        <f>SUM(H2:H8)</f>
        <v>63275.574258333334</v>
      </c>
      <c r="I9" s="285">
        <f>SUM(I2:I8)</f>
        <v>63275</v>
      </c>
      <c r="J9" s="285"/>
      <c r="K9" s="285"/>
      <c r="L9" s="285"/>
      <c r="M9" s="285"/>
      <c r="N9" s="285"/>
      <c r="O9" s="285"/>
      <c r="P9" s="285"/>
    </row>
    <row r="10" spans="1:16">
      <c r="C10" s="285"/>
      <c r="D10" s="285"/>
      <c r="E10" s="285"/>
      <c r="F10" s="285"/>
      <c r="G10" s="285"/>
      <c r="H10" s="285"/>
      <c r="I10" s="285"/>
      <c r="J10" s="285"/>
      <c r="K10" s="285"/>
      <c r="L10" s="285"/>
      <c r="M10" s="285"/>
      <c r="N10" s="285"/>
      <c r="O10" s="285"/>
      <c r="P10" s="285"/>
    </row>
    <row r="11" spans="1:16">
      <c r="C11" s="285">
        <f>C9/1.2</f>
        <v>58109154.216666669</v>
      </c>
      <c r="D11" s="285"/>
      <c r="E11" s="285"/>
      <c r="F11" s="285"/>
      <c r="G11" s="285"/>
      <c r="H11" s="285"/>
      <c r="I11" s="285"/>
      <c r="J11" s="285"/>
      <c r="K11" s="285"/>
      <c r="L11" s="285"/>
      <c r="M11" s="285"/>
      <c r="N11" s="285"/>
      <c r="O11" s="285"/>
      <c r="P11" s="285"/>
    </row>
    <row r="12" spans="1:16">
      <c r="C12" s="285"/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</row>
    <row r="14" spans="1:16">
      <c r="P14" s="285"/>
    </row>
    <row r="15" spans="1:16">
      <c r="P15" s="285"/>
    </row>
    <row r="16" spans="1:16">
      <c r="P16" s="285"/>
    </row>
    <row r="20" spans="3:16">
      <c r="C20" s="285"/>
      <c r="D20" s="285"/>
      <c r="E20" s="285"/>
      <c r="F20" s="285"/>
      <c r="G20" s="285"/>
      <c r="H20" s="285"/>
      <c r="I20" s="285"/>
      <c r="J20" s="285"/>
      <c r="K20" s="285"/>
      <c r="L20" s="285"/>
      <c r="M20" s="285"/>
      <c r="N20" s="285"/>
      <c r="O20" s="285"/>
      <c r="P20" s="285"/>
    </row>
    <row r="21" spans="3:16">
      <c r="C21" s="285"/>
      <c r="D21" s="285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5"/>
      <c r="P21" s="285"/>
    </row>
    <row r="22" spans="3:16">
      <c r="C22" s="285"/>
      <c r="D22" s="285"/>
      <c r="E22" s="285"/>
      <c r="F22" s="285"/>
      <c r="G22" s="285"/>
      <c r="H22" s="285"/>
      <c r="I22" s="285"/>
      <c r="J22" s="285"/>
      <c r="K22" s="285"/>
      <c r="L22" s="285"/>
      <c r="M22" s="285"/>
      <c r="N22" s="285"/>
      <c r="O22" s="285"/>
      <c r="P22" s="285"/>
    </row>
    <row r="23" spans="3:16">
      <c r="C23" s="285"/>
      <c r="D23" s="285"/>
      <c r="E23" s="285"/>
      <c r="F23" s="285"/>
      <c r="G23" s="285"/>
      <c r="H23" s="285"/>
      <c r="I23" s="285"/>
      <c r="J23" s="285"/>
      <c r="K23" s="285"/>
      <c r="L23" s="285"/>
      <c r="M23" s="285"/>
      <c r="N23" s="285"/>
      <c r="O23" s="285"/>
      <c r="P23" s="285"/>
    </row>
    <row r="24" spans="3:16">
      <c r="C24" s="285"/>
      <c r="D24" s="285"/>
      <c r="E24" s="285"/>
      <c r="F24" s="285"/>
      <c r="G24" s="285"/>
      <c r="H24" s="285"/>
      <c r="I24" s="285"/>
      <c r="J24" s="285"/>
      <c r="K24" s="285"/>
      <c r="L24" s="285"/>
      <c r="M24" s="285"/>
      <c r="N24" s="285"/>
      <c r="O24" s="285"/>
      <c r="P24" s="285"/>
    </row>
    <row r="25" spans="3:16">
      <c r="C25" s="285">
        <f>1864.8</f>
        <v>1864.8</v>
      </c>
      <c r="D25" s="285">
        <f>29.243/1240.6</f>
        <v>2.3571658874738031E-2</v>
      </c>
      <c r="E25" s="285"/>
      <c r="F25" s="285"/>
      <c r="G25" s="285"/>
      <c r="H25" s="285"/>
      <c r="I25" s="285"/>
      <c r="J25" s="285"/>
      <c r="K25" s="285"/>
      <c r="L25" s="285"/>
      <c r="M25" s="285"/>
      <c r="N25" s="285"/>
      <c r="O25" s="285"/>
      <c r="P25" s="285"/>
    </row>
    <row r="26" spans="3:16">
      <c r="C26" s="285">
        <v>17554</v>
      </c>
      <c r="D26" s="285"/>
      <c r="E26" s="285"/>
      <c r="F26" s="285"/>
      <c r="G26" s="285"/>
      <c r="H26" s="285"/>
      <c r="I26" s="285"/>
      <c r="J26" s="285"/>
      <c r="K26" s="285"/>
      <c r="L26" s="285"/>
      <c r="M26" s="285"/>
      <c r="N26" s="285"/>
      <c r="O26" s="285"/>
      <c r="P26" s="285"/>
    </row>
    <row r="27" spans="3:16">
      <c r="C27" s="285">
        <f>C25/C26</f>
        <v>0.10623219778967756</v>
      </c>
      <c r="D27" s="285"/>
      <c r="E27" s="285"/>
      <c r="F27" s="285"/>
      <c r="G27" s="285"/>
      <c r="H27" s="285"/>
      <c r="I27" s="285"/>
      <c r="J27" s="285"/>
      <c r="K27" s="285"/>
      <c r="L27" s="285"/>
      <c r="M27" s="285"/>
      <c r="N27" s="285"/>
      <c r="O27" s="285"/>
      <c r="P27" s="285"/>
    </row>
    <row r="28" spans="3:16">
      <c r="C28" s="285"/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5"/>
    </row>
    <row r="29" spans="3:16">
      <c r="C29" s="285"/>
      <c r="D29" s="285"/>
      <c r="E29" s="285"/>
      <c r="F29" s="285"/>
      <c r="G29" s="285"/>
      <c r="H29" s="285"/>
      <c r="I29" s="285"/>
      <c r="J29" s="285"/>
      <c r="K29" s="285"/>
      <c r="L29" s="285"/>
      <c r="M29" s="285"/>
      <c r="N29" s="285"/>
      <c r="O29" s="285"/>
      <c r="P29" s="285"/>
    </row>
    <row r="30" spans="3:16">
      <c r="C30" s="285"/>
      <c r="D30" s="285"/>
      <c r="E30" s="285"/>
      <c r="F30" s="285"/>
      <c r="G30" s="285"/>
      <c r="H30" s="285"/>
      <c r="I30" s="285"/>
      <c r="J30" s="285"/>
      <c r="K30" s="285"/>
      <c r="L30" s="285"/>
      <c r="M30" s="285"/>
      <c r="N30" s="285"/>
      <c r="O30" s="285"/>
      <c r="P30" s="285"/>
    </row>
    <row r="31" spans="3:16">
      <c r="C31" s="285"/>
      <c r="D31" s="285"/>
      <c r="E31" s="285"/>
      <c r="F31" s="285"/>
      <c r="G31" s="285"/>
      <c r="H31" s="285"/>
      <c r="I31" s="285"/>
      <c r="J31" s="285"/>
      <c r="K31" s="285"/>
      <c r="L31" s="285"/>
      <c r="M31" s="285"/>
      <c r="N31" s="285"/>
      <c r="O31" s="285"/>
      <c r="P31" s="285"/>
    </row>
    <row r="32" spans="3:16">
      <c r="C32" s="285"/>
      <c r="D32" s="285"/>
      <c r="E32" s="285"/>
      <c r="F32" s="285"/>
      <c r="G32" s="285"/>
      <c r="H32" s="285"/>
      <c r="I32" s="285"/>
      <c r="J32" s="285"/>
      <c r="K32" s="285"/>
      <c r="L32" s="285"/>
      <c r="M32" s="285"/>
      <c r="N32" s="285"/>
      <c r="O32" s="285"/>
      <c r="P32" s="285"/>
    </row>
    <row r="33" spans="3:16">
      <c r="C33" s="285"/>
      <c r="D33" s="285"/>
      <c r="E33" s="285"/>
      <c r="F33" s="285"/>
      <c r="G33" s="285"/>
      <c r="H33" s="285"/>
      <c r="I33" s="285"/>
      <c r="J33" s="285"/>
      <c r="K33" s="285"/>
      <c r="L33" s="285"/>
      <c r="M33" s="285"/>
      <c r="N33" s="285"/>
      <c r="O33" s="285"/>
      <c r="P33" s="285"/>
    </row>
    <row r="34" spans="3:16">
      <c r="D34" s="285"/>
      <c r="E34" s="285"/>
      <c r="F34" s="285"/>
      <c r="G34" s="285"/>
      <c r="H34" s="285"/>
      <c r="I34" s="285"/>
      <c r="J34" s="285"/>
      <c r="K34" s="285"/>
      <c r="L34" s="285"/>
      <c r="M34" s="285"/>
      <c r="N34" s="285"/>
      <c r="O34" s="285"/>
      <c r="P34" s="285"/>
    </row>
    <row r="35" spans="3:16">
      <c r="D35" s="285"/>
      <c r="E35" s="285"/>
      <c r="F35" s="285"/>
      <c r="G35" s="285"/>
      <c r="H35" s="285"/>
      <c r="I35" s="285"/>
      <c r="J35" s="285"/>
      <c r="K35" s="285"/>
      <c r="L35" s="285"/>
      <c r="M35" s="285"/>
      <c r="N35" s="285"/>
      <c r="O35" s="285"/>
      <c r="P35" s="285"/>
    </row>
    <row r="36" spans="3:16">
      <c r="D36" s="285"/>
      <c r="E36" s="285"/>
      <c r="F36" s="285"/>
      <c r="G36" s="285"/>
      <c r="H36" s="285"/>
      <c r="I36" s="285"/>
      <c r="J36" s="285"/>
      <c r="K36" s="285"/>
      <c r="L36" s="285"/>
      <c r="M36" s="285"/>
      <c r="N36" s="285"/>
      <c r="O36" s="285"/>
      <c r="P36" s="285"/>
    </row>
    <row r="37" spans="3:16">
      <c r="D37" s="285"/>
      <c r="E37" s="285"/>
      <c r="F37" s="285"/>
      <c r="G37" s="285"/>
      <c r="H37" s="285"/>
      <c r="I37" s="285"/>
      <c r="J37" s="285"/>
      <c r="K37" s="285"/>
      <c r="L37" s="285"/>
      <c r="M37" s="285"/>
      <c r="N37" s="285"/>
      <c r="O37" s="285"/>
      <c r="P37" s="285"/>
    </row>
    <row r="38" spans="3:16">
      <c r="D38" s="285"/>
      <c r="E38" s="285"/>
      <c r="F38" s="285"/>
      <c r="G38" s="285"/>
      <c r="H38" s="285"/>
      <c r="I38" s="285"/>
      <c r="J38" s="285"/>
      <c r="K38" s="285"/>
      <c r="L38" s="285"/>
      <c r="M38" s="285"/>
      <c r="N38" s="285"/>
      <c r="O38" s="285"/>
      <c r="P38" s="285"/>
    </row>
    <row r="39" spans="3:16">
      <c r="D39" s="285"/>
      <c r="E39" s="285"/>
      <c r="F39" s="285"/>
      <c r="G39" s="285"/>
      <c r="H39" s="285"/>
      <c r="I39" s="285"/>
      <c r="J39" s="285"/>
      <c r="K39" s="285"/>
      <c r="L39" s="285"/>
      <c r="M39" s="285"/>
      <c r="N39" s="285"/>
      <c r="O39" s="285"/>
      <c r="P39" s="285"/>
    </row>
  </sheetData>
  <sheetProtection password="CF66" sheet="1" objects="1" scenarios="1"/>
  <pageMargins left="0.7" right="0.7" top="0.75" bottom="0.75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3:U233"/>
  <sheetViews>
    <sheetView windowProtection="1" topLeftCell="X1" zoomScale="120" zoomScaleNormal="120" workbookViewId="0">
      <selection sqref="A1:W1048576"/>
    </sheetView>
  </sheetViews>
  <sheetFormatPr defaultRowHeight="12.75"/>
  <cols>
    <col min="1" max="1" width="0" hidden="1" customWidth="1"/>
    <col min="2" max="2" width="34.5703125" hidden="1" customWidth="1"/>
    <col min="3" max="3" width="7.5703125" hidden="1" customWidth="1"/>
    <col min="4" max="4" width="14" hidden="1" customWidth="1"/>
    <col min="5" max="9" width="0" hidden="1" customWidth="1"/>
    <col min="10" max="10" width="7.28515625" hidden="1" customWidth="1"/>
    <col min="11" max="11" width="0" hidden="1" customWidth="1"/>
    <col min="12" max="12" width="13" hidden="1" customWidth="1"/>
    <col min="13" max="13" width="13.42578125" hidden="1" customWidth="1"/>
    <col min="14" max="14" width="13.5703125" hidden="1" customWidth="1"/>
    <col min="15" max="15" width="13.7109375" hidden="1" customWidth="1"/>
    <col min="16" max="16" width="14.5703125" hidden="1" customWidth="1"/>
    <col min="17" max="17" width="13.140625" hidden="1" customWidth="1"/>
    <col min="18" max="20" width="13.28515625" hidden="1" customWidth="1"/>
    <col min="21" max="21" width="13.42578125" hidden="1" customWidth="1"/>
    <col min="22" max="23" width="0" hidden="1" customWidth="1"/>
  </cols>
  <sheetData>
    <row r="3" spans="2:21" ht="15.75">
      <c r="B3" s="222"/>
    </row>
    <row r="4" spans="2:21" ht="16.5" thickBot="1">
      <c r="B4" s="223"/>
      <c r="I4" t="s">
        <v>652</v>
      </c>
      <c r="K4">
        <v>27280.799999999999</v>
      </c>
      <c r="L4" t="s">
        <v>653</v>
      </c>
      <c r="M4">
        <v>36631.980000000003</v>
      </c>
    </row>
    <row r="5" spans="2:21" ht="61.5" customHeight="1">
      <c r="B5" s="1108" t="s">
        <v>455</v>
      </c>
      <c r="C5" s="1108" t="s">
        <v>456</v>
      </c>
      <c r="D5" s="1108" t="s">
        <v>457</v>
      </c>
      <c r="E5" s="1111" t="s">
        <v>458</v>
      </c>
      <c r="F5" s="1112"/>
      <c r="G5" s="1108" t="s">
        <v>460</v>
      </c>
    </row>
    <row r="6" spans="2:21" ht="16.5" thickBot="1">
      <c r="B6" s="1109"/>
      <c r="C6" s="1109"/>
      <c r="D6" s="1109"/>
      <c r="E6" s="1113" t="s">
        <v>459</v>
      </c>
      <c r="F6" s="1114"/>
      <c r="G6" s="1109"/>
    </row>
    <row r="7" spans="2:21" ht="32.25" thickBot="1">
      <c r="B7" s="1110"/>
      <c r="C7" s="1110"/>
      <c r="D7" s="1110"/>
      <c r="E7" s="451" t="s">
        <v>461</v>
      </c>
      <c r="F7" s="451" t="s">
        <v>462</v>
      </c>
      <c r="G7" s="1110"/>
      <c r="M7" t="s">
        <v>380</v>
      </c>
      <c r="N7" t="s">
        <v>623</v>
      </c>
      <c r="O7" t="s">
        <v>372</v>
      </c>
      <c r="P7" t="s">
        <v>623</v>
      </c>
      <c r="Q7" t="s">
        <v>373</v>
      </c>
      <c r="R7" t="s">
        <v>623</v>
      </c>
      <c r="S7" t="s">
        <v>87</v>
      </c>
      <c r="T7" t="s">
        <v>623</v>
      </c>
      <c r="U7" s="237" t="s">
        <v>624</v>
      </c>
    </row>
    <row r="8" spans="2:21" ht="16.5" thickBot="1">
      <c r="B8" s="450" t="s">
        <v>463</v>
      </c>
      <c r="C8" s="451">
        <v>1</v>
      </c>
      <c r="D8" s="451">
        <v>27280.799999999999</v>
      </c>
      <c r="E8" s="451"/>
      <c r="F8" s="451"/>
      <c r="G8" s="451">
        <f>D8</f>
        <v>27280.799999999999</v>
      </c>
      <c r="M8">
        <f>D8*C8*2+M4</f>
        <v>91193.58</v>
      </c>
      <c r="N8">
        <f>F8*C8*3</f>
        <v>0</v>
      </c>
      <c r="O8">
        <f>M8+M4*3</f>
        <v>201089.52000000002</v>
      </c>
      <c r="P8">
        <f>F8*6*C8</f>
        <v>0</v>
      </c>
      <c r="Q8">
        <f>O8+M4*3</f>
        <v>310985.46000000002</v>
      </c>
      <c r="R8">
        <f>F8*C8*9</f>
        <v>0</v>
      </c>
      <c r="S8">
        <f>Q8+M4*3</f>
        <v>420881.4</v>
      </c>
      <c r="T8">
        <f>F8*12*C8</f>
        <v>0</v>
      </c>
      <c r="U8" s="237">
        <f>S8+T8</f>
        <v>420881.4</v>
      </c>
    </row>
    <row r="9" spans="2:21" ht="48" thickBot="1">
      <c r="B9" s="226" t="s">
        <v>464</v>
      </c>
      <c r="C9" s="451">
        <v>1</v>
      </c>
      <c r="D9" s="451">
        <v>19188</v>
      </c>
      <c r="E9" s="451"/>
      <c r="F9" s="451"/>
      <c r="G9" s="227">
        <v>19188</v>
      </c>
      <c r="M9">
        <f t="shared" ref="M9:M72" si="0">D9*C9*3</f>
        <v>57564</v>
      </c>
      <c r="N9">
        <f t="shared" ref="N9:N72" si="1">F9*C9*3</f>
        <v>0</v>
      </c>
      <c r="O9">
        <f t="shared" ref="O9:O72" si="2">D9*6*C9</f>
        <v>115128</v>
      </c>
      <c r="P9">
        <f t="shared" ref="P9:P72" si="3">F9*6*C9</f>
        <v>0</v>
      </c>
      <c r="Q9">
        <f t="shared" ref="Q9:Q72" si="4">D9*C9*9</f>
        <v>172692</v>
      </c>
      <c r="R9">
        <f t="shared" ref="R9:R72" si="5">F9*C9*9</f>
        <v>0</v>
      </c>
      <c r="S9">
        <f t="shared" ref="S9:S72" si="6">D9*12*C9</f>
        <v>230256</v>
      </c>
      <c r="T9">
        <f t="shared" ref="T9:T72" si="7">F9*12*C9</f>
        <v>0</v>
      </c>
      <c r="U9" s="237">
        <f t="shared" ref="U9:U72" si="8">S9+T9</f>
        <v>230256</v>
      </c>
    </row>
    <row r="10" spans="2:21" ht="32.25" thickBot="1">
      <c r="B10" s="226" t="s">
        <v>465</v>
      </c>
      <c r="C10" s="451">
        <v>1</v>
      </c>
      <c r="D10" s="451">
        <v>19188</v>
      </c>
      <c r="E10" s="451"/>
      <c r="F10" s="451"/>
      <c r="G10" s="227">
        <v>19188</v>
      </c>
      <c r="M10">
        <f t="shared" si="0"/>
        <v>57564</v>
      </c>
      <c r="N10">
        <f t="shared" si="1"/>
        <v>0</v>
      </c>
      <c r="O10">
        <f t="shared" si="2"/>
        <v>115128</v>
      </c>
      <c r="P10">
        <f t="shared" si="3"/>
        <v>0</v>
      </c>
      <c r="Q10">
        <f t="shared" si="4"/>
        <v>172692</v>
      </c>
      <c r="R10">
        <f t="shared" si="5"/>
        <v>0</v>
      </c>
      <c r="S10">
        <f t="shared" si="6"/>
        <v>230256</v>
      </c>
      <c r="T10">
        <f t="shared" si="7"/>
        <v>0</v>
      </c>
      <c r="U10" s="237">
        <f t="shared" si="8"/>
        <v>230256</v>
      </c>
    </row>
    <row r="11" spans="2:21" ht="16.5" thickBot="1">
      <c r="B11" s="450" t="s">
        <v>466</v>
      </c>
      <c r="C11" s="451">
        <v>1</v>
      </c>
      <c r="D11" s="451">
        <v>19188</v>
      </c>
      <c r="E11" s="451"/>
      <c r="F11" s="451"/>
      <c r="G11" s="227">
        <v>19188</v>
      </c>
      <c r="M11">
        <f t="shared" si="0"/>
        <v>57564</v>
      </c>
      <c r="N11">
        <f t="shared" si="1"/>
        <v>0</v>
      </c>
      <c r="O11">
        <f t="shared" si="2"/>
        <v>115128</v>
      </c>
      <c r="P11">
        <f t="shared" si="3"/>
        <v>0</v>
      </c>
      <c r="Q11">
        <f t="shared" si="4"/>
        <v>172692</v>
      </c>
      <c r="R11">
        <f t="shared" si="5"/>
        <v>0</v>
      </c>
      <c r="S11">
        <f t="shared" si="6"/>
        <v>230256</v>
      </c>
      <c r="T11">
        <f t="shared" si="7"/>
        <v>0</v>
      </c>
      <c r="U11" s="237">
        <f t="shared" si="8"/>
        <v>230256</v>
      </c>
    </row>
    <row r="12" spans="2:21" ht="16.5" thickBot="1">
      <c r="B12" s="450" t="s">
        <v>467</v>
      </c>
      <c r="C12" s="451">
        <v>1</v>
      </c>
      <c r="D12" s="451">
        <v>11513</v>
      </c>
      <c r="E12" s="451"/>
      <c r="F12" s="451"/>
      <c r="G12" s="227">
        <v>11513</v>
      </c>
      <c r="M12">
        <f t="shared" si="0"/>
        <v>34539</v>
      </c>
      <c r="N12">
        <f t="shared" si="1"/>
        <v>0</v>
      </c>
      <c r="O12">
        <f t="shared" si="2"/>
        <v>69078</v>
      </c>
      <c r="P12">
        <f t="shared" si="3"/>
        <v>0</v>
      </c>
      <c r="Q12">
        <f t="shared" si="4"/>
        <v>103617</v>
      </c>
      <c r="R12">
        <f t="shared" si="5"/>
        <v>0</v>
      </c>
      <c r="S12">
        <f t="shared" si="6"/>
        <v>138156</v>
      </c>
      <c r="T12">
        <f t="shared" si="7"/>
        <v>0</v>
      </c>
      <c r="U12" s="237">
        <f t="shared" si="8"/>
        <v>138156</v>
      </c>
    </row>
    <row r="13" spans="2:21" ht="32.25" thickBot="1">
      <c r="B13" s="226" t="s">
        <v>468</v>
      </c>
      <c r="C13" s="451">
        <v>1</v>
      </c>
      <c r="D13" s="451">
        <v>8722</v>
      </c>
      <c r="E13" s="451"/>
      <c r="F13" s="451"/>
      <c r="G13" s="227">
        <v>8722</v>
      </c>
      <c r="M13">
        <f t="shared" si="0"/>
        <v>26166</v>
      </c>
      <c r="N13">
        <f t="shared" si="1"/>
        <v>0</v>
      </c>
      <c r="O13">
        <f t="shared" si="2"/>
        <v>52332</v>
      </c>
      <c r="P13">
        <f t="shared" si="3"/>
        <v>0</v>
      </c>
      <c r="Q13">
        <f t="shared" si="4"/>
        <v>78498</v>
      </c>
      <c r="R13">
        <f t="shared" si="5"/>
        <v>0</v>
      </c>
      <c r="S13">
        <f t="shared" si="6"/>
        <v>104664</v>
      </c>
      <c r="T13">
        <f t="shared" si="7"/>
        <v>0</v>
      </c>
      <c r="U13" s="237">
        <f t="shared" si="8"/>
        <v>104664</v>
      </c>
    </row>
    <row r="14" spans="2:21" ht="32.25" thickBot="1">
      <c r="B14" s="226" t="s">
        <v>469</v>
      </c>
      <c r="C14" s="451">
        <v>1</v>
      </c>
      <c r="D14" s="451">
        <v>7326</v>
      </c>
      <c r="E14" s="451"/>
      <c r="F14" s="451"/>
      <c r="G14" s="227">
        <v>7326</v>
      </c>
      <c r="M14">
        <f t="shared" si="0"/>
        <v>21978</v>
      </c>
      <c r="N14">
        <f t="shared" si="1"/>
        <v>0</v>
      </c>
      <c r="O14">
        <f t="shared" si="2"/>
        <v>43956</v>
      </c>
      <c r="P14">
        <f t="shared" si="3"/>
        <v>0</v>
      </c>
      <c r="Q14">
        <f t="shared" si="4"/>
        <v>65934</v>
      </c>
      <c r="R14">
        <f t="shared" si="5"/>
        <v>0</v>
      </c>
      <c r="S14">
        <f t="shared" si="6"/>
        <v>87912</v>
      </c>
      <c r="T14">
        <f t="shared" si="7"/>
        <v>0</v>
      </c>
      <c r="U14" s="237">
        <f t="shared" si="8"/>
        <v>87912</v>
      </c>
    </row>
    <row r="15" spans="2:21" ht="16.5" thickBot="1">
      <c r="B15" s="450" t="s">
        <v>470</v>
      </c>
      <c r="C15" s="451">
        <v>1</v>
      </c>
      <c r="D15" s="451">
        <v>5233</v>
      </c>
      <c r="E15" s="451"/>
      <c r="F15" s="451"/>
      <c r="G15" s="227">
        <v>5233</v>
      </c>
      <c r="M15">
        <f t="shared" si="0"/>
        <v>15699</v>
      </c>
      <c r="N15">
        <f t="shared" si="1"/>
        <v>0</v>
      </c>
      <c r="O15">
        <f t="shared" si="2"/>
        <v>31398</v>
      </c>
      <c r="P15">
        <f t="shared" si="3"/>
        <v>0</v>
      </c>
      <c r="Q15">
        <f t="shared" si="4"/>
        <v>47097</v>
      </c>
      <c r="R15">
        <f t="shared" si="5"/>
        <v>0</v>
      </c>
      <c r="S15">
        <f t="shared" si="6"/>
        <v>62796</v>
      </c>
      <c r="T15">
        <f t="shared" si="7"/>
        <v>0</v>
      </c>
      <c r="U15" s="237">
        <f t="shared" si="8"/>
        <v>62796</v>
      </c>
    </row>
    <row r="16" spans="2:21" ht="32.25" thickBot="1">
      <c r="B16" s="450" t="s">
        <v>471</v>
      </c>
      <c r="C16" s="451">
        <v>1</v>
      </c>
      <c r="D16" s="451">
        <v>3066</v>
      </c>
      <c r="E16" s="451">
        <v>12</v>
      </c>
      <c r="F16" s="451">
        <v>368</v>
      </c>
      <c r="G16" s="227">
        <v>4090</v>
      </c>
      <c r="M16">
        <f t="shared" si="0"/>
        <v>9198</v>
      </c>
      <c r="N16">
        <f>F16*C16*3</f>
        <v>1104</v>
      </c>
      <c r="O16">
        <f t="shared" si="2"/>
        <v>18396</v>
      </c>
      <c r="P16">
        <f t="shared" si="3"/>
        <v>2208</v>
      </c>
      <c r="Q16">
        <f t="shared" si="4"/>
        <v>27594</v>
      </c>
      <c r="R16">
        <f t="shared" si="5"/>
        <v>3312</v>
      </c>
      <c r="S16">
        <f t="shared" si="6"/>
        <v>36792</v>
      </c>
      <c r="T16">
        <f t="shared" si="7"/>
        <v>4416</v>
      </c>
      <c r="U16" s="237">
        <f t="shared" si="8"/>
        <v>41208</v>
      </c>
    </row>
    <row r="17" spans="2:21" ht="16.5" thickBot="1">
      <c r="B17" s="450" t="s">
        <v>472</v>
      </c>
      <c r="C17" s="451">
        <v>9</v>
      </c>
      <c r="D17" s="451"/>
      <c r="E17" s="451"/>
      <c r="F17" s="451"/>
      <c r="G17" s="227">
        <v>94448</v>
      </c>
      <c r="M17">
        <f t="shared" si="0"/>
        <v>0</v>
      </c>
      <c r="N17">
        <f t="shared" si="1"/>
        <v>0</v>
      </c>
      <c r="O17">
        <f t="shared" si="2"/>
        <v>0</v>
      </c>
      <c r="P17">
        <f t="shared" si="3"/>
        <v>0</v>
      </c>
      <c r="Q17">
        <f t="shared" si="4"/>
        <v>0</v>
      </c>
      <c r="R17">
        <f t="shared" si="5"/>
        <v>0</v>
      </c>
      <c r="S17">
        <f t="shared" si="6"/>
        <v>0</v>
      </c>
      <c r="T17">
        <f t="shared" si="7"/>
        <v>0</v>
      </c>
      <c r="U17" s="237">
        <f t="shared" si="8"/>
        <v>0</v>
      </c>
    </row>
    <row r="18" spans="2:21" ht="16.5" thickBot="1">
      <c r="B18" s="228" t="s">
        <v>473</v>
      </c>
      <c r="M18">
        <f t="shared" si="0"/>
        <v>0</v>
      </c>
      <c r="N18">
        <f t="shared" si="1"/>
        <v>0</v>
      </c>
      <c r="O18">
        <f t="shared" si="2"/>
        <v>0</v>
      </c>
      <c r="P18">
        <f t="shared" si="3"/>
        <v>0</v>
      </c>
      <c r="Q18">
        <f t="shared" si="4"/>
        <v>0</v>
      </c>
      <c r="R18">
        <f t="shared" si="5"/>
        <v>0</v>
      </c>
      <c r="S18">
        <f t="shared" si="6"/>
        <v>0</v>
      </c>
      <c r="T18">
        <f t="shared" si="7"/>
        <v>0</v>
      </c>
      <c r="U18" s="237">
        <f t="shared" si="8"/>
        <v>0</v>
      </c>
    </row>
    <row r="19" spans="2:21" ht="16.5" thickBot="1">
      <c r="B19" s="229" t="s">
        <v>474</v>
      </c>
      <c r="C19" s="230">
        <v>1</v>
      </c>
      <c r="D19" s="230">
        <v>11000</v>
      </c>
      <c r="E19" s="230"/>
      <c r="F19" s="230"/>
      <c r="G19" s="230">
        <v>11000</v>
      </c>
      <c r="M19">
        <f t="shared" si="0"/>
        <v>33000</v>
      </c>
      <c r="N19">
        <f t="shared" si="1"/>
        <v>0</v>
      </c>
      <c r="O19">
        <f t="shared" si="2"/>
        <v>66000</v>
      </c>
      <c r="P19">
        <f t="shared" si="3"/>
        <v>0</v>
      </c>
      <c r="Q19">
        <f t="shared" si="4"/>
        <v>99000</v>
      </c>
      <c r="R19">
        <f t="shared" si="5"/>
        <v>0</v>
      </c>
      <c r="S19">
        <f t="shared" si="6"/>
        <v>132000</v>
      </c>
      <c r="T19">
        <f t="shared" si="7"/>
        <v>0</v>
      </c>
      <c r="U19" s="237">
        <f t="shared" si="8"/>
        <v>132000</v>
      </c>
    </row>
    <row r="20" spans="2:21" ht="16.5" thickBot="1">
      <c r="B20" s="450" t="s">
        <v>475</v>
      </c>
      <c r="C20" s="451">
        <v>1</v>
      </c>
      <c r="D20" s="451">
        <v>7000</v>
      </c>
      <c r="E20" s="451"/>
      <c r="F20" s="451"/>
      <c r="G20" s="451">
        <v>7000</v>
      </c>
      <c r="M20">
        <f t="shared" si="0"/>
        <v>21000</v>
      </c>
      <c r="N20">
        <f t="shared" si="1"/>
        <v>0</v>
      </c>
      <c r="O20">
        <f t="shared" si="2"/>
        <v>42000</v>
      </c>
      <c r="P20">
        <f t="shared" si="3"/>
        <v>0</v>
      </c>
      <c r="Q20">
        <f t="shared" si="4"/>
        <v>63000</v>
      </c>
      <c r="R20">
        <f t="shared" si="5"/>
        <v>0</v>
      </c>
      <c r="S20">
        <f t="shared" si="6"/>
        <v>84000</v>
      </c>
      <c r="T20">
        <f t="shared" si="7"/>
        <v>0</v>
      </c>
      <c r="U20" s="237">
        <f t="shared" si="8"/>
        <v>84000</v>
      </c>
    </row>
    <row r="21" spans="2:21" ht="16.5" thickBot="1">
      <c r="B21" s="450" t="s">
        <v>472</v>
      </c>
      <c r="C21" s="451">
        <v>2</v>
      </c>
      <c r="D21" s="451"/>
      <c r="E21" s="451"/>
      <c r="F21" s="451"/>
      <c r="G21" s="451">
        <v>18000</v>
      </c>
      <c r="M21">
        <f t="shared" si="0"/>
        <v>0</v>
      </c>
      <c r="N21">
        <f t="shared" si="1"/>
        <v>0</v>
      </c>
      <c r="O21">
        <f t="shared" si="2"/>
        <v>0</v>
      </c>
      <c r="P21">
        <f t="shared" si="3"/>
        <v>0</v>
      </c>
      <c r="Q21">
        <f t="shared" si="4"/>
        <v>0</v>
      </c>
      <c r="R21">
        <f t="shared" si="5"/>
        <v>0</v>
      </c>
      <c r="S21">
        <f t="shared" si="6"/>
        <v>0</v>
      </c>
      <c r="T21">
        <f t="shared" si="7"/>
        <v>0</v>
      </c>
      <c r="U21" s="237">
        <f t="shared" si="8"/>
        <v>0</v>
      </c>
    </row>
    <row r="22" spans="2:21" ht="32.25" thickBot="1">
      <c r="B22" s="228" t="s">
        <v>476</v>
      </c>
      <c r="M22">
        <f t="shared" si="0"/>
        <v>0</v>
      </c>
      <c r="N22">
        <f t="shared" si="1"/>
        <v>0</v>
      </c>
      <c r="O22">
        <f t="shared" si="2"/>
        <v>0</v>
      </c>
      <c r="P22">
        <f t="shared" si="3"/>
        <v>0</v>
      </c>
      <c r="Q22">
        <f t="shared" si="4"/>
        <v>0</v>
      </c>
      <c r="R22">
        <f t="shared" si="5"/>
        <v>0</v>
      </c>
      <c r="S22">
        <f t="shared" si="6"/>
        <v>0</v>
      </c>
      <c r="T22">
        <f t="shared" si="7"/>
        <v>0</v>
      </c>
      <c r="U22" s="237">
        <f t="shared" si="8"/>
        <v>0</v>
      </c>
    </row>
    <row r="23" spans="2:21" ht="16.5" thickBot="1">
      <c r="B23" s="229" t="s">
        <v>477</v>
      </c>
      <c r="C23" s="230">
        <v>1</v>
      </c>
      <c r="D23" s="230">
        <v>11000</v>
      </c>
      <c r="E23" s="231"/>
      <c r="F23" s="231"/>
      <c r="G23" s="230">
        <v>11000</v>
      </c>
      <c r="M23">
        <f t="shared" si="0"/>
        <v>33000</v>
      </c>
      <c r="N23">
        <f t="shared" si="1"/>
        <v>0</v>
      </c>
      <c r="O23">
        <f t="shared" si="2"/>
        <v>66000</v>
      </c>
      <c r="P23">
        <f t="shared" si="3"/>
        <v>0</v>
      </c>
      <c r="Q23">
        <f t="shared" si="4"/>
        <v>99000</v>
      </c>
      <c r="R23">
        <f t="shared" si="5"/>
        <v>0</v>
      </c>
      <c r="S23">
        <f t="shared" si="6"/>
        <v>132000</v>
      </c>
      <c r="T23">
        <f t="shared" si="7"/>
        <v>0</v>
      </c>
      <c r="U23" s="237">
        <f t="shared" si="8"/>
        <v>132000</v>
      </c>
    </row>
    <row r="24" spans="2:21" ht="16.5" thickBot="1">
      <c r="B24" s="450" t="s">
        <v>478</v>
      </c>
      <c r="C24" s="451">
        <v>1</v>
      </c>
      <c r="D24" s="451">
        <v>7675</v>
      </c>
      <c r="E24" s="451"/>
      <c r="F24" s="451"/>
      <c r="G24" s="451">
        <v>7675</v>
      </c>
      <c r="M24">
        <f t="shared" si="0"/>
        <v>23025</v>
      </c>
      <c r="N24">
        <f t="shared" si="1"/>
        <v>0</v>
      </c>
      <c r="O24">
        <f t="shared" si="2"/>
        <v>46050</v>
      </c>
      <c r="P24">
        <f t="shared" si="3"/>
        <v>0</v>
      </c>
      <c r="Q24">
        <f t="shared" si="4"/>
        <v>69075</v>
      </c>
      <c r="R24">
        <f t="shared" si="5"/>
        <v>0</v>
      </c>
      <c r="S24">
        <f t="shared" si="6"/>
        <v>92100</v>
      </c>
      <c r="T24">
        <f t="shared" si="7"/>
        <v>0</v>
      </c>
      <c r="U24" s="237">
        <f t="shared" si="8"/>
        <v>92100</v>
      </c>
    </row>
    <row r="25" spans="2:21" ht="48" thickBot="1">
      <c r="B25" s="450" t="s">
        <v>479</v>
      </c>
      <c r="C25" s="451">
        <v>1</v>
      </c>
      <c r="D25" s="451">
        <v>5233</v>
      </c>
      <c r="E25" s="451"/>
      <c r="F25" s="451"/>
      <c r="G25" s="451">
        <v>5233</v>
      </c>
      <c r="M25">
        <f t="shared" si="0"/>
        <v>15699</v>
      </c>
      <c r="N25">
        <f t="shared" si="1"/>
        <v>0</v>
      </c>
      <c r="O25">
        <f t="shared" si="2"/>
        <v>31398</v>
      </c>
      <c r="P25">
        <f t="shared" si="3"/>
        <v>0</v>
      </c>
      <c r="Q25">
        <f t="shared" si="4"/>
        <v>47097</v>
      </c>
      <c r="R25">
        <f t="shared" si="5"/>
        <v>0</v>
      </c>
      <c r="S25">
        <f t="shared" si="6"/>
        <v>62796</v>
      </c>
      <c r="T25">
        <f t="shared" si="7"/>
        <v>0</v>
      </c>
      <c r="U25" s="237">
        <f t="shared" si="8"/>
        <v>62796</v>
      </c>
    </row>
    <row r="26" spans="2:21" ht="16.5" thickBot="1">
      <c r="B26" s="450" t="s">
        <v>480</v>
      </c>
      <c r="C26" s="451">
        <v>1</v>
      </c>
      <c r="D26" s="451">
        <v>8500</v>
      </c>
      <c r="E26" s="451"/>
      <c r="F26" s="451"/>
      <c r="G26" s="451">
        <v>8500</v>
      </c>
      <c r="M26">
        <f t="shared" si="0"/>
        <v>25500</v>
      </c>
      <c r="N26">
        <f t="shared" si="1"/>
        <v>0</v>
      </c>
      <c r="O26">
        <f t="shared" si="2"/>
        <v>51000</v>
      </c>
      <c r="P26">
        <f t="shared" si="3"/>
        <v>0</v>
      </c>
      <c r="Q26">
        <f t="shared" si="4"/>
        <v>76500</v>
      </c>
      <c r="R26">
        <f t="shared" si="5"/>
        <v>0</v>
      </c>
      <c r="S26">
        <f t="shared" si="6"/>
        <v>102000</v>
      </c>
      <c r="T26">
        <f t="shared" si="7"/>
        <v>0</v>
      </c>
      <c r="U26" s="237">
        <f t="shared" si="8"/>
        <v>102000</v>
      </c>
    </row>
    <row r="27" spans="2:21" ht="16.5" thickBot="1">
      <c r="B27" s="450" t="s">
        <v>472</v>
      </c>
      <c r="C27" s="451">
        <v>4</v>
      </c>
      <c r="D27" s="451"/>
      <c r="E27" s="451"/>
      <c r="F27" s="451"/>
      <c r="G27" s="451">
        <v>32408</v>
      </c>
      <c r="M27">
        <f t="shared" si="0"/>
        <v>0</v>
      </c>
      <c r="N27">
        <f t="shared" si="1"/>
        <v>0</v>
      </c>
      <c r="O27">
        <f t="shared" si="2"/>
        <v>0</v>
      </c>
      <c r="P27">
        <f t="shared" si="3"/>
        <v>0</v>
      </c>
      <c r="Q27">
        <f t="shared" si="4"/>
        <v>0</v>
      </c>
      <c r="R27">
        <f t="shared" si="5"/>
        <v>0</v>
      </c>
      <c r="S27">
        <f t="shared" si="6"/>
        <v>0</v>
      </c>
      <c r="T27">
        <f t="shared" si="7"/>
        <v>0</v>
      </c>
      <c r="U27" s="237">
        <f t="shared" si="8"/>
        <v>0</v>
      </c>
    </row>
    <row r="28" spans="2:21" ht="32.25" thickBot="1">
      <c r="B28" s="223" t="s">
        <v>481</v>
      </c>
      <c r="M28">
        <f t="shared" si="0"/>
        <v>0</v>
      </c>
      <c r="N28">
        <f t="shared" si="1"/>
        <v>0</v>
      </c>
      <c r="O28">
        <f t="shared" si="2"/>
        <v>0</v>
      </c>
      <c r="P28">
        <f t="shared" si="3"/>
        <v>0</v>
      </c>
      <c r="Q28">
        <f t="shared" si="4"/>
        <v>0</v>
      </c>
      <c r="R28">
        <f t="shared" si="5"/>
        <v>0</v>
      </c>
      <c r="S28">
        <f t="shared" si="6"/>
        <v>0</v>
      </c>
      <c r="T28">
        <f t="shared" si="7"/>
        <v>0</v>
      </c>
      <c r="U28" s="237">
        <f t="shared" si="8"/>
        <v>0</v>
      </c>
    </row>
    <row r="29" spans="2:21" ht="16.5" thickBot="1">
      <c r="B29" s="229" t="s">
        <v>477</v>
      </c>
      <c r="C29" s="230">
        <v>1</v>
      </c>
      <c r="D29" s="230">
        <v>11000</v>
      </c>
      <c r="E29" s="230"/>
      <c r="F29" s="230"/>
      <c r="G29" s="230">
        <v>11000</v>
      </c>
      <c r="M29">
        <f t="shared" si="0"/>
        <v>33000</v>
      </c>
      <c r="N29">
        <f t="shared" si="1"/>
        <v>0</v>
      </c>
      <c r="O29">
        <f t="shared" si="2"/>
        <v>66000</v>
      </c>
      <c r="P29">
        <f t="shared" si="3"/>
        <v>0</v>
      </c>
      <c r="Q29">
        <f t="shared" si="4"/>
        <v>99000</v>
      </c>
      <c r="R29">
        <f t="shared" si="5"/>
        <v>0</v>
      </c>
      <c r="S29">
        <f t="shared" si="6"/>
        <v>132000</v>
      </c>
      <c r="T29">
        <f t="shared" si="7"/>
        <v>0</v>
      </c>
      <c r="U29" s="237">
        <f t="shared" si="8"/>
        <v>132000</v>
      </c>
    </row>
    <row r="30" spans="2:21" ht="32.25" thickBot="1">
      <c r="B30" s="226" t="s">
        <v>482</v>
      </c>
      <c r="C30" s="451">
        <v>1</v>
      </c>
      <c r="D30" s="451">
        <v>9943</v>
      </c>
      <c r="E30" s="451"/>
      <c r="F30" s="451"/>
      <c r="G30" s="451">
        <v>9943</v>
      </c>
      <c r="M30">
        <f t="shared" si="0"/>
        <v>29829</v>
      </c>
      <c r="N30">
        <f t="shared" si="1"/>
        <v>0</v>
      </c>
      <c r="O30">
        <f t="shared" si="2"/>
        <v>59658</v>
      </c>
      <c r="P30">
        <f t="shared" si="3"/>
        <v>0</v>
      </c>
      <c r="Q30">
        <f t="shared" si="4"/>
        <v>89487</v>
      </c>
      <c r="R30">
        <f t="shared" si="5"/>
        <v>0</v>
      </c>
      <c r="S30">
        <f t="shared" si="6"/>
        <v>119316</v>
      </c>
      <c r="T30">
        <f t="shared" si="7"/>
        <v>0</v>
      </c>
      <c r="U30" s="237">
        <f t="shared" si="8"/>
        <v>119316</v>
      </c>
    </row>
    <row r="31" spans="2:21" ht="16.5" thickBot="1">
      <c r="B31" s="450" t="s">
        <v>472</v>
      </c>
      <c r="C31" s="451">
        <v>2</v>
      </c>
      <c r="D31" s="451"/>
      <c r="E31" s="451"/>
      <c r="F31" s="451"/>
      <c r="G31" s="451">
        <v>20943</v>
      </c>
      <c r="M31">
        <f t="shared" si="0"/>
        <v>0</v>
      </c>
      <c r="N31">
        <f t="shared" si="1"/>
        <v>0</v>
      </c>
      <c r="O31">
        <f t="shared" si="2"/>
        <v>0</v>
      </c>
      <c r="P31">
        <f t="shared" si="3"/>
        <v>0</v>
      </c>
      <c r="Q31">
        <f t="shared" si="4"/>
        <v>0</v>
      </c>
      <c r="R31">
        <f t="shared" si="5"/>
        <v>0</v>
      </c>
      <c r="S31">
        <f t="shared" si="6"/>
        <v>0</v>
      </c>
      <c r="T31">
        <f t="shared" si="7"/>
        <v>0</v>
      </c>
      <c r="U31" s="237">
        <f t="shared" si="8"/>
        <v>0</v>
      </c>
    </row>
    <row r="32" spans="2:21" ht="16.5" thickBot="1">
      <c r="B32" s="228" t="s">
        <v>483</v>
      </c>
      <c r="M32">
        <f t="shared" si="0"/>
        <v>0</v>
      </c>
      <c r="N32">
        <f t="shared" si="1"/>
        <v>0</v>
      </c>
      <c r="O32">
        <f t="shared" si="2"/>
        <v>0</v>
      </c>
      <c r="P32">
        <f t="shared" si="3"/>
        <v>0</v>
      </c>
      <c r="Q32">
        <f t="shared" si="4"/>
        <v>0</v>
      </c>
      <c r="R32">
        <f t="shared" si="5"/>
        <v>0</v>
      </c>
      <c r="S32">
        <f t="shared" si="6"/>
        <v>0</v>
      </c>
      <c r="T32">
        <f t="shared" si="7"/>
        <v>0</v>
      </c>
      <c r="U32" s="237">
        <f t="shared" si="8"/>
        <v>0</v>
      </c>
    </row>
    <row r="33" spans="2:21" ht="16.5" thickBot="1">
      <c r="B33" s="229" t="s">
        <v>477</v>
      </c>
      <c r="C33" s="230">
        <v>1</v>
      </c>
      <c r="D33" s="230">
        <v>11000</v>
      </c>
      <c r="E33" s="230"/>
      <c r="F33" s="230"/>
      <c r="G33" s="230">
        <v>11000</v>
      </c>
      <c r="M33">
        <f t="shared" si="0"/>
        <v>33000</v>
      </c>
      <c r="N33">
        <f t="shared" si="1"/>
        <v>0</v>
      </c>
      <c r="O33">
        <f t="shared" si="2"/>
        <v>66000</v>
      </c>
      <c r="P33">
        <f t="shared" si="3"/>
        <v>0</v>
      </c>
      <c r="Q33">
        <f t="shared" si="4"/>
        <v>99000</v>
      </c>
      <c r="R33">
        <f t="shared" si="5"/>
        <v>0</v>
      </c>
      <c r="S33">
        <f t="shared" si="6"/>
        <v>132000</v>
      </c>
      <c r="T33">
        <f t="shared" si="7"/>
        <v>0</v>
      </c>
      <c r="U33" s="237">
        <f t="shared" si="8"/>
        <v>132000</v>
      </c>
    </row>
    <row r="34" spans="2:21" ht="16.5" thickBot="1">
      <c r="B34" s="450" t="s">
        <v>484</v>
      </c>
      <c r="C34" s="451">
        <v>1</v>
      </c>
      <c r="D34" s="451">
        <v>8500</v>
      </c>
      <c r="E34" s="451"/>
      <c r="F34" s="451"/>
      <c r="G34" s="451">
        <v>8500</v>
      </c>
      <c r="M34">
        <f t="shared" si="0"/>
        <v>25500</v>
      </c>
      <c r="N34">
        <f t="shared" si="1"/>
        <v>0</v>
      </c>
      <c r="O34">
        <f t="shared" si="2"/>
        <v>51000</v>
      </c>
      <c r="P34">
        <f t="shared" si="3"/>
        <v>0</v>
      </c>
      <c r="Q34">
        <f t="shared" si="4"/>
        <v>76500</v>
      </c>
      <c r="R34">
        <f t="shared" si="5"/>
        <v>0</v>
      </c>
      <c r="S34">
        <f t="shared" si="6"/>
        <v>102000</v>
      </c>
      <c r="T34">
        <f t="shared" si="7"/>
        <v>0</v>
      </c>
      <c r="U34" s="237">
        <f t="shared" si="8"/>
        <v>102000</v>
      </c>
    </row>
    <row r="35" spans="2:21" ht="16.5" thickBot="1">
      <c r="B35" s="450" t="s">
        <v>485</v>
      </c>
      <c r="C35" s="451">
        <v>3</v>
      </c>
      <c r="D35" s="451">
        <v>7802</v>
      </c>
      <c r="E35" s="451"/>
      <c r="F35" s="451"/>
      <c r="G35" s="451">
        <v>23406</v>
      </c>
      <c r="M35">
        <f t="shared" si="0"/>
        <v>70218</v>
      </c>
      <c r="N35">
        <f t="shared" si="1"/>
        <v>0</v>
      </c>
      <c r="O35">
        <f t="shared" si="2"/>
        <v>140436</v>
      </c>
      <c r="P35">
        <f t="shared" si="3"/>
        <v>0</v>
      </c>
      <c r="Q35">
        <f t="shared" si="4"/>
        <v>210654</v>
      </c>
      <c r="R35">
        <f t="shared" si="5"/>
        <v>0</v>
      </c>
      <c r="S35">
        <f t="shared" si="6"/>
        <v>280872</v>
      </c>
      <c r="T35">
        <f t="shared" si="7"/>
        <v>0</v>
      </c>
      <c r="U35" s="237">
        <f t="shared" si="8"/>
        <v>280872</v>
      </c>
    </row>
    <row r="36" spans="2:21" ht="32.25" thickBot="1">
      <c r="B36" s="226" t="s">
        <v>486</v>
      </c>
      <c r="C36" s="451">
        <v>1</v>
      </c>
      <c r="D36" s="451">
        <v>7802</v>
      </c>
      <c r="E36" s="451"/>
      <c r="F36" s="451"/>
      <c r="G36" s="451">
        <v>7802</v>
      </c>
      <c r="M36">
        <f t="shared" si="0"/>
        <v>23406</v>
      </c>
      <c r="N36">
        <f t="shared" si="1"/>
        <v>0</v>
      </c>
      <c r="O36">
        <f t="shared" si="2"/>
        <v>46812</v>
      </c>
      <c r="P36">
        <f t="shared" si="3"/>
        <v>0</v>
      </c>
      <c r="Q36">
        <f t="shared" si="4"/>
        <v>70218</v>
      </c>
      <c r="R36">
        <f t="shared" si="5"/>
        <v>0</v>
      </c>
      <c r="S36">
        <f t="shared" si="6"/>
        <v>93624</v>
      </c>
      <c r="T36">
        <f t="shared" si="7"/>
        <v>0</v>
      </c>
      <c r="U36" s="237">
        <f t="shared" si="8"/>
        <v>93624</v>
      </c>
    </row>
    <row r="37" spans="2:21" ht="16.5" thickBot="1">
      <c r="B37" s="450" t="s">
        <v>472</v>
      </c>
      <c r="C37" s="451">
        <v>6</v>
      </c>
      <c r="D37" s="451"/>
      <c r="E37" s="451"/>
      <c r="F37" s="451"/>
      <c r="G37" s="451">
        <v>50708</v>
      </c>
      <c r="M37">
        <f t="shared" si="0"/>
        <v>0</v>
      </c>
      <c r="N37">
        <f t="shared" si="1"/>
        <v>0</v>
      </c>
      <c r="O37">
        <f t="shared" si="2"/>
        <v>0</v>
      </c>
      <c r="P37">
        <f t="shared" si="3"/>
        <v>0</v>
      </c>
      <c r="Q37">
        <f t="shared" si="4"/>
        <v>0</v>
      </c>
      <c r="R37">
        <f t="shared" si="5"/>
        <v>0</v>
      </c>
      <c r="S37">
        <f t="shared" si="6"/>
        <v>0</v>
      </c>
      <c r="T37">
        <f t="shared" si="7"/>
        <v>0</v>
      </c>
      <c r="U37" s="237">
        <f t="shared" si="8"/>
        <v>0</v>
      </c>
    </row>
    <row r="38" spans="2:21" ht="16.5" thickBot="1">
      <c r="B38" s="228" t="s">
        <v>487</v>
      </c>
      <c r="M38">
        <f t="shared" si="0"/>
        <v>0</v>
      </c>
      <c r="N38">
        <f t="shared" si="1"/>
        <v>0</v>
      </c>
      <c r="O38">
        <f t="shared" si="2"/>
        <v>0</v>
      </c>
      <c r="P38">
        <f t="shared" si="3"/>
        <v>0</v>
      </c>
      <c r="Q38">
        <f t="shared" si="4"/>
        <v>0</v>
      </c>
      <c r="R38">
        <f t="shared" si="5"/>
        <v>0</v>
      </c>
      <c r="S38">
        <f t="shared" si="6"/>
        <v>0</v>
      </c>
      <c r="T38">
        <f t="shared" si="7"/>
        <v>0</v>
      </c>
      <c r="U38" s="237">
        <f t="shared" si="8"/>
        <v>0</v>
      </c>
    </row>
    <row r="39" spans="2:21" ht="16.5" thickBot="1">
      <c r="B39" s="229" t="s">
        <v>488</v>
      </c>
      <c r="C39" s="230">
        <v>1</v>
      </c>
      <c r="D39" s="230">
        <v>19188</v>
      </c>
      <c r="E39" s="230"/>
      <c r="F39" s="230"/>
      <c r="G39" s="232">
        <v>19188</v>
      </c>
      <c r="M39">
        <f t="shared" si="0"/>
        <v>57564</v>
      </c>
      <c r="N39">
        <f t="shared" si="1"/>
        <v>0</v>
      </c>
      <c r="O39">
        <f t="shared" si="2"/>
        <v>115128</v>
      </c>
      <c r="P39">
        <f t="shared" si="3"/>
        <v>0</v>
      </c>
      <c r="Q39">
        <f t="shared" si="4"/>
        <v>172692</v>
      </c>
      <c r="R39">
        <f t="shared" si="5"/>
        <v>0</v>
      </c>
      <c r="S39">
        <f t="shared" si="6"/>
        <v>230256</v>
      </c>
      <c r="T39">
        <f t="shared" si="7"/>
        <v>0</v>
      </c>
      <c r="U39" s="237">
        <f t="shared" si="8"/>
        <v>230256</v>
      </c>
    </row>
    <row r="40" spans="2:21" ht="16.5" thickBot="1">
      <c r="B40" s="450" t="s">
        <v>489</v>
      </c>
      <c r="C40" s="451">
        <v>1</v>
      </c>
      <c r="D40" s="451">
        <v>14130</v>
      </c>
      <c r="E40" s="451"/>
      <c r="F40" s="451"/>
      <c r="G40" s="451">
        <v>14130</v>
      </c>
      <c r="M40">
        <f t="shared" si="0"/>
        <v>42390</v>
      </c>
      <c r="N40">
        <f t="shared" si="1"/>
        <v>0</v>
      </c>
      <c r="O40">
        <f t="shared" si="2"/>
        <v>84780</v>
      </c>
      <c r="P40">
        <f t="shared" si="3"/>
        <v>0</v>
      </c>
      <c r="Q40">
        <f t="shared" si="4"/>
        <v>127170</v>
      </c>
      <c r="R40">
        <f t="shared" si="5"/>
        <v>0</v>
      </c>
      <c r="S40">
        <f t="shared" si="6"/>
        <v>169560</v>
      </c>
      <c r="T40">
        <f t="shared" si="7"/>
        <v>0</v>
      </c>
      <c r="U40" s="237">
        <f t="shared" si="8"/>
        <v>169560</v>
      </c>
    </row>
    <row r="41" spans="2:21" ht="16.5" thickBot="1">
      <c r="B41" s="450" t="s">
        <v>490</v>
      </c>
      <c r="C41" s="451">
        <v>4</v>
      </c>
      <c r="D41" s="451">
        <v>8500</v>
      </c>
      <c r="E41" s="451"/>
      <c r="F41" s="451"/>
      <c r="G41" s="451">
        <v>34000</v>
      </c>
      <c r="M41">
        <f t="shared" si="0"/>
        <v>102000</v>
      </c>
      <c r="N41">
        <f t="shared" si="1"/>
        <v>0</v>
      </c>
      <c r="O41">
        <f t="shared" si="2"/>
        <v>204000</v>
      </c>
      <c r="P41">
        <f t="shared" si="3"/>
        <v>0</v>
      </c>
      <c r="Q41">
        <f t="shared" si="4"/>
        <v>306000</v>
      </c>
      <c r="R41">
        <f t="shared" si="5"/>
        <v>0</v>
      </c>
      <c r="S41">
        <f t="shared" si="6"/>
        <v>408000</v>
      </c>
      <c r="T41">
        <f t="shared" si="7"/>
        <v>0</v>
      </c>
      <c r="U41" s="237">
        <f t="shared" si="8"/>
        <v>408000</v>
      </c>
    </row>
    <row r="42" spans="2:21" ht="16.5" thickBot="1">
      <c r="B42" s="450" t="s">
        <v>472</v>
      </c>
      <c r="C42" s="451">
        <v>6</v>
      </c>
      <c r="D42" s="451"/>
      <c r="E42" s="451"/>
      <c r="F42" s="451"/>
      <c r="G42" s="451">
        <v>67318</v>
      </c>
      <c r="M42">
        <f t="shared" si="0"/>
        <v>0</v>
      </c>
      <c r="N42">
        <f t="shared" si="1"/>
        <v>0</v>
      </c>
      <c r="O42">
        <f t="shared" si="2"/>
        <v>0</v>
      </c>
      <c r="P42">
        <f t="shared" si="3"/>
        <v>0</v>
      </c>
      <c r="Q42">
        <f t="shared" si="4"/>
        <v>0</v>
      </c>
      <c r="R42">
        <f t="shared" si="5"/>
        <v>0</v>
      </c>
      <c r="S42">
        <f t="shared" si="6"/>
        <v>0</v>
      </c>
      <c r="T42">
        <f t="shared" si="7"/>
        <v>0</v>
      </c>
      <c r="U42" s="237">
        <f t="shared" si="8"/>
        <v>0</v>
      </c>
    </row>
    <row r="43" spans="2:21" ht="32.25" thickBot="1">
      <c r="B43" s="228" t="s">
        <v>491</v>
      </c>
      <c r="M43">
        <f t="shared" si="0"/>
        <v>0</v>
      </c>
      <c r="N43">
        <f t="shared" si="1"/>
        <v>0</v>
      </c>
      <c r="O43">
        <f t="shared" si="2"/>
        <v>0</v>
      </c>
      <c r="P43">
        <f t="shared" si="3"/>
        <v>0</v>
      </c>
      <c r="Q43">
        <f t="shared" si="4"/>
        <v>0</v>
      </c>
      <c r="R43">
        <f t="shared" si="5"/>
        <v>0</v>
      </c>
      <c r="S43">
        <f t="shared" si="6"/>
        <v>0</v>
      </c>
      <c r="T43">
        <f t="shared" si="7"/>
        <v>0</v>
      </c>
      <c r="U43" s="237">
        <f t="shared" si="8"/>
        <v>0</v>
      </c>
    </row>
    <row r="44" spans="2:21" ht="16.5" thickBot="1">
      <c r="B44" s="229" t="s">
        <v>477</v>
      </c>
      <c r="C44" s="230">
        <v>1</v>
      </c>
      <c r="D44" s="230">
        <v>11000</v>
      </c>
      <c r="E44" s="230"/>
      <c r="F44" s="230"/>
      <c r="G44" s="230">
        <v>11000</v>
      </c>
      <c r="M44">
        <f t="shared" si="0"/>
        <v>33000</v>
      </c>
      <c r="N44">
        <f t="shared" si="1"/>
        <v>0</v>
      </c>
      <c r="O44">
        <f t="shared" si="2"/>
        <v>66000</v>
      </c>
      <c r="P44">
        <f t="shared" si="3"/>
        <v>0</v>
      </c>
      <c r="Q44">
        <f t="shared" si="4"/>
        <v>99000</v>
      </c>
      <c r="R44">
        <f t="shared" si="5"/>
        <v>0</v>
      </c>
      <c r="S44">
        <f t="shared" si="6"/>
        <v>132000</v>
      </c>
      <c r="T44">
        <f t="shared" si="7"/>
        <v>0</v>
      </c>
      <c r="U44" s="237">
        <f t="shared" si="8"/>
        <v>132000</v>
      </c>
    </row>
    <row r="45" spans="2:21" ht="16.5" thickBot="1">
      <c r="B45" s="450" t="s">
        <v>492</v>
      </c>
      <c r="C45" s="451">
        <v>1</v>
      </c>
      <c r="D45" s="451">
        <v>7800</v>
      </c>
      <c r="E45" s="451"/>
      <c r="F45" s="451"/>
      <c r="G45" s="451">
        <v>7800</v>
      </c>
      <c r="M45">
        <f t="shared" si="0"/>
        <v>23400</v>
      </c>
      <c r="N45">
        <f t="shared" si="1"/>
        <v>0</v>
      </c>
      <c r="O45">
        <f t="shared" si="2"/>
        <v>46800</v>
      </c>
      <c r="P45">
        <f t="shared" si="3"/>
        <v>0</v>
      </c>
      <c r="Q45">
        <f t="shared" si="4"/>
        <v>70200</v>
      </c>
      <c r="R45">
        <f t="shared" si="5"/>
        <v>0</v>
      </c>
      <c r="S45">
        <f t="shared" si="6"/>
        <v>93600</v>
      </c>
      <c r="T45">
        <f t="shared" si="7"/>
        <v>0</v>
      </c>
      <c r="U45" s="237">
        <f t="shared" si="8"/>
        <v>93600</v>
      </c>
    </row>
    <row r="46" spans="2:21" ht="16.5" thickBot="1">
      <c r="B46" s="450" t="s">
        <v>493</v>
      </c>
      <c r="C46" s="451">
        <v>2</v>
      </c>
      <c r="D46" s="451">
        <v>4954</v>
      </c>
      <c r="E46" s="451"/>
      <c r="F46" s="451"/>
      <c r="G46" s="451">
        <v>9908</v>
      </c>
      <c r="M46">
        <f t="shared" si="0"/>
        <v>29724</v>
      </c>
      <c r="N46">
        <f t="shared" si="1"/>
        <v>0</v>
      </c>
      <c r="O46">
        <f t="shared" si="2"/>
        <v>59448</v>
      </c>
      <c r="P46">
        <f t="shared" si="3"/>
        <v>0</v>
      </c>
      <c r="Q46">
        <f t="shared" si="4"/>
        <v>89172</v>
      </c>
      <c r="R46">
        <f t="shared" si="5"/>
        <v>0</v>
      </c>
      <c r="S46">
        <f t="shared" si="6"/>
        <v>118896</v>
      </c>
      <c r="T46">
        <f t="shared" si="7"/>
        <v>0</v>
      </c>
      <c r="U46" s="237">
        <f t="shared" si="8"/>
        <v>118896</v>
      </c>
    </row>
    <row r="47" spans="2:21" ht="16.5" thickBot="1">
      <c r="B47" s="450" t="s">
        <v>472</v>
      </c>
      <c r="C47" s="451">
        <v>4</v>
      </c>
      <c r="D47" s="451"/>
      <c r="E47" s="451"/>
      <c r="F47" s="451"/>
      <c r="G47" s="451">
        <v>28708</v>
      </c>
      <c r="M47">
        <f t="shared" si="0"/>
        <v>0</v>
      </c>
      <c r="N47">
        <f t="shared" si="1"/>
        <v>0</v>
      </c>
      <c r="O47">
        <f t="shared" si="2"/>
        <v>0</v>
      </c>
      <c r="P47">
        <f t="shared" si="3"/>
        <v>0</v>
      </c>
      <c r="Q47">
        <f t="shared" si="4"/>
        <v>0</v>
      </c>
      <c r="R47">
        <f t="shared" si="5"/>
        <v>0</v>
      </c>
      <c r="S47">
        <f t="shared" si="6"/>
        <v>0</v>
      </c>
      <c r="T47">
        <f t="shared" si="7"/>
        <v>0</v>
      </c>
      <c r="U47" s="237">
        <f t="shared" si="8"/>
        <v>0</v>
      </c>
    </row>
    <row r="48" spans="2:21" ht="32.25" thickBot="1">
      <c r="B48" s="228" t="s">
        <v>494</v>
      </c>
      <c r="M48">
        <f t="shared" si="0"/>
        <v>0</v>
      </c>
      <c r="N48">
        <f t="shared" si="1"/>
        <v>0</v>
      </c>
      <c r="O48">
        <f t="shared" si="2"/>
        <v>0</v>
      </c>
      <c r="P48">
        <f t="shared" si="3"/>
        <v>0</v>
      </c>
      <c r="Q48">
        <f t="shared" si="4"/>
        <v>0</v>
      </c>
      <c r="R48">
        <f t="shared" si="5"/>
        <v>0</v>
      </c>
      <c r="S48">
        <f t="shared" si="6"/>
        <v>0</v>
      </c>
      <c r="T48">
        <f t="shared" si="7"/>
        <v>0</v>
      </c>
      <c r="U48" s="237">
        <f t="shared" si="8"/>
        <v>0</v>
      </c>
    </row>
    <row r="49" spans="2:21" ht="16.5" thickBot="1">
      <c r="B49" s="229" t="s">
        <v>495</v>
      </c>
      <c r="C49" s="230">
        <v>1</v>
      </c>
      <c r="D49" s="230">
        <v>11101</v>
      </c>
      <c r="E49" s="230"/>
      <c r="F49" s="230"/>
      <c r="G49" s="230">
        <v>11101</v>
      </c>
      <c r="M49">
        <f t="shared" si="0"/>
        <v>33303</v>
      </c>
      <c r="N49">
        <f t="shared" si="1"/>
        <v>0</v>
      </c>
      <c r="O49">
        <f t="shared" si="2"/>
        <v>66606</v>
      </c>
      <c r="P49">
        <f t="shared" si="3"/>
        <v>0</v>
      </c>
      <c r="Q49">
        <f t="shared" si="4"/>
        <v>99909</v>
      </c>
      <c r="R49">
        <f t="shared" si="5"/>
        <v>0</v>
      </c>
      <c r="S49">
        <f t="shared" si="6"/>
        <v>133212</v>
      </c>
      <c r="T49">
        <f t="shared" si="7"/>
        <v>0</v>
      </c>
      <c r="U49" s="237">
        <f t="shared" si="8"/>
        <v>133212</v>
      </c>
    </row>
    <row r="50" spans="2:21" ht="32.25" thickBot="1">
      <c r="B50" s="450" t="s">
        <v>496</v>
      </c>
      <c r="C50" s="451">
        <v>1</v>
      </c>
      <c r="D50" s="451">
        <v>7800</v>
      </c>
      <c r="E50" s="451"/>
      <c r="F50" s="451"/>
      <c r="G50" s="451">
        <v>7800</v>
      </c>
      <c r="M50">
        <f t="shared" si="0"/>
        <v>23400</v>
      </c>
      <c r="N50">
        <f t="shared" si="1"/>
        <v>0</v>
      </c>
      <c r="O50">
        <f t="shared" si="2"/>
        <v>46800</v>
      </c>
      <c r="P50">
        <f t="shared" si="3"/>
        <v>0</v>
      </c>
      <c r="Q50">
        <f t="shared" si="4"/>
        <v>70200</v>
      </c>
      <c r="R50">
        <f t="shared" si="5"/>
        <v>0</v>
      </c>
      <c r="S50">
        <f t="shared" si="6"/>
        <v>93600</v>
      </c>
      <c r="T50">
        <f t="shared" si="7"/>
        <v>0</v>
      </c>
      <c r="U50" s="237">
        <f t="shared" si="8"/>
        <v>93600</v>
      </c>
    </row>
    <row r="51" spans="2:21" ht="16.5" thickBot="1">
      <c r="B51" s="450" t="s">
        <v>472</v>
      </c>
      <c r="C51" s="451">
        <v>2</v>
      </c>
      <c r="D51" s="451">
        <v>18333</v>
      </c>
      <c r="E51" s="451"/>
      <c r="F51" s="451"/>
      <c r="G51" s="451">
        <v>18901</v>
      </c>
      <c r="M51">
        <f t="shared" si="0"/>
        <v>109998</v>
      </c>
      <c r="N51">
        <f t="shared" si="1"/>
        <v>0</v>
      </c>
      <c r="O51">
        <f t="shared" si="2"/>
        <v>219996</v>
      </c>
      <c r="P51">
        <f t="shared" si="3"/>
        <v>0</v>
      </c>
      <c r="Q51">
        <f t="shared" si="4"/>
        <v>329994</v>
      </c>
      <c r="R51">
        <f t="shared" si="5"/>
        <v>0</v>
      </c>
      <c r="S51">
        <f t="shared" si="6"/>
        <v>439992</v>
      </c>
      <c r="T51">
        <f t="shared" si="7"/>
        <v>0</v>
      </c>
      <c r="U51" s="237">
        <f t="shared" si="8"/>
        <v>439992</v>
      </c>
    </row>
    <row r="52" spans="2:21" ht="16.5" thickBot="1">
      <c r="B52" s="228" t="s">
        <v>497</v>
      </c>
      <c r="M52">
        <f t="shared" si="0"/>
        <v>0</v>
      </c>
      <c r="N52">
        <f t="shared" si="1"/>
        <v>0</v>
      </c>
      <c r="O52">
        <f t="shared" si="2"/>
        <v>0</v>
      </c>
      <c r="P52">
        <f t="shared" si="3"/>
        <v>0</v>
      </c>
      <c r="Q52">
        <f t="shared" si="4"/>
        <v>0</v>
      </c>
      <c r="R52">
        <f t="shared" si="5"/>
        <v>0</v>
      </c>
      <c r="S52">
        <f t="shared" si="6"/>
        <v>0</v>
      </c>
      <c r="T52">
        <f t="shared" si="7"/>
        <v>0</v>
      </c>
      <c r="U52" s="237">
        <f t="shared" si="8"/>
        <v>0</v>
      </c>
    </row>
    <row r="53" spans="2:21" ht="16.5" thickBot="1">
      <c r="B53" s="229" t="s">
        <v>498</v>
      </c>
      <c r="C53" s="230">
        <v>1</v>
      </c>
      <c r="D53" s="230">
        <v>15000</v>
      </c>
      <c r="E53" s="230"/>
      <c r="F53" s="230"/>
      <c r="G53" s="230">
        <v>15000</v>
      </c>
      <c r="M53">
        <f t="shared" si="0"/>
        <v>45000</v>
      </c>
      <c r="N53">
        <f t="shared" si="1"/>
        <v>0</v>
      </c>
      <c r="O53">
        <f t="shared" si="2"/>
        <v>90000</v>
      </c>
      <c r="P53">
        <f t="shared" si="3"/>
        <v>0</v>
      </c>
      <c r="Q53">
        <f t="shared" si="4"/>
        <v>135000</v>
      </c>
      <c r="R53">
        <f t="shared" si="5"/>
        <v>0</v>
      </c>
      <c r="S53">
        <f t="shared" si="6"/>
        <v>180000</v>
      </c>
      <c r="T53">
        <f t="shared" si="7"/>
        <v>0</v>
      </c>
      <c r="U53" s="237">
        <f t="shared" si="8"/>
        <v>180000</v>
      </c>
    </row>
    <row r="54" spans="2:21" ht="32.25" thickBot="1">
      <c r="B54" s="226" t="s">
        <v>499</v>
      </c>
      <c r="C54" s="451">
        <v>1</v>
      </c>
      <c r="D54" s="451">
        <v>11101</v>
      </c>
      <c r="E54" s="451"/>
      <c r="F54" s="451"/>
      <c r="G54" s="451">
        <v>11101</v>
      </c>
      <c r="M54">
        <f t="shared" si="0"/>
        <v>33303</v>
      </c>
      <c r="N54">
        <f t="shared" si="1"/>
        <v>0</v>
      </c>
      <c r="O54">
        <f t="shared" si="2"/>
        <v>66606</v>
      </c>
      <c r="P54">
        <f t="shared" si="3"/>
        <v>0</v>
      </c>
      <c r="Q54">
        <f t="shared" si="4"/>
        <v>99909</v>
      </c>
      <c r="R54">
        <f t="shared" si="5"/>
        <v>0</v>
      </c>
      <c r="S54">
        <f t="shared" si="6"/>
        <v>133212</v>
      </c>
      <c r="T54">
        <f t="shared" si="7"/>
        <v>0</v>
      </c>
      <c r="U54" s="237">
        <f t="shared" si="8"/>
        <v>133212</v>
      </c>
    </row>
    <row r="55" spans="2:21" ht="16.5" thickBot="1">
      <c r="B55" s="450" t="s">
        <v>500</v>
      </c>
      <c r="C55" s="451">
        <v>1</v>
      </c>
      <c r="D55" s="451">
        <v>11101</v>
      </c>
      <c r="E55" s="451"/>
      <c r="F55" s="451"/>
      <c r="G55" s="451">
        <v>11101</v>
      </c>
      <c r="M55">
        <f t="shared" si="0"/>
        <v>33303</v>
      </c>
      <c r="N55">
        <f t="shared" si="1"/>
        <v>0</v>
      </c>
      <c r="O55">
        <f t="shared" si="2"/>
        <v>66606</v>
      </c>
      <c r="P55">
        <f t="shared" si="3"/>
        <v>0</v>
      </c>
      <c r="Q55">
        <f t="shared" si="4"/>
        <v>99909</v>
      </c>
      <c r="R55">
        <f t="shared" si="5"/>
        <v>0</v>
      </c>
      <c r="S55">
        <f t="shared" si="6"/>
        <v>133212</v>
      </c>
      <c r="T55">
        <f t="shared" si="7"/>
        <v>0</v>
      </c>
      <c r="U55" s="237">
        <f t="shared" si="8"/>
        <v>133212</v>
      </c>
    </row>
    <row r="56" spans="2:21" ht="16.5" thickBot="1">
      <c r="B56" s="450" t="s">
        <v>501</v>
      </c>
      <c r="C56" s="451">
        <v>1</v>
      </c>
      <c r="D56" s="451">
        <v>8500</v>
      </c>
      <c r="E56" s="451"/>
      <c r="F56" s="451"/>
      <c r="G56" s="451">
        <v>8500</v>
      </c>
      <c r="M56">
        <f t="shared" si="0"/>
        <v>25500</v>
      </c>
      <c r="N56">
        <f t="shared" si="1"/>
        <v>0</v>
      </c>
      <c r="O56">
        <f t="shared" si="2"/>
        <v>51000</v>
      </c>
      <c r="P56">
        <f t="shared" si="3"/>
        <v>0</v>
      </c>
      <c r="Q56">
        <f t="shared" si="4"/>
        <v>76500</v>
      </c>
      <c r="R56">
        <f t="shared" si="5"/>
        <v>0</v>
      </c>
      <c r="S56">
        <f t="shared" si="6"/>
        <v>102000</v>
      </c>
      <c r="T56">
        <f t="shared" si="7"/>
        <v>0</v>
      </c>
      <c r="U56" s="237">
        <f t="shared" si="8"/>
        <v>102000</v>
      </c>
    </row>
    <row r="57" spans="2:21" ht="16.5" thickBot="1">
      <c r="B57" s="450" t="s">
        <v>502</v>
      </c>
      <c r="C57" s="451">
        <v>1</v>
      </c>
      <c r="D57" s="451">
        <v>10000</v>
      </c>
      <c r="E57" s="451"/>
      <c r="F57" s="451"/>
      <c r="G57" s="451">
        <v>10000</v>
      </c>
      <c r="M57">
        <f t="shared" si="0"/>
        <v>30000</v>
      </c>
      <c r="N57">
        <f t="shared" si="1"/>
        <v>0</v>
      </c>
      <c r="O57">
        <f t="shared" si="2"/>
        <v>60000</v>
      </c>
      <c r="P57">
        <f t="shared" si="3"/>
        <v>0</v>
      </c>
      <c r="Q57">
        <f t="shared" si="4"/>
        <v>90000</v>
      </c>
      <c r="R57">
        <f t="shared" si="5"/>
        <v>0</v>
      </c>
      <c r="S57">
        <f t="shared" si="6"/>
        <v>120000</v>
      </c>
      <c r="T57">
        <f t="shared" si="7"/>
        <v>0</v>
      </c>
      <c r="U57" s="237">
        <f t="shared" si="8"/>
        <v>120000</v>
      </c>
    </row>
    <row r="58" spans="2:21" ht="32.25" thickBot="1">
      <c r="B58" s="226" t="s">
        <v>503</v>
      </c>
      <c r="C58" s="451">
        <v>1</v>
      </c>
      <c r="D58" s="451">
        <v>8500</v>
      </c>
      <c r="E58" s="451"/>
      <c r="F58" s="451"/>
      <c r="G58" s="451">
        <v>8500</v>
      </c>
      <c r="M58">
        <f t="shared" si="0"/>
        <v>25500</v>
      </c>
      <c r="N58">
        <f t="shared" si="1"/>
        <v>0</v>
      </c>
      <c r="O58">
        <f t="shared" si="2"/>
        <v>51000</v>
      </c>
      <c r="P58">
        <f t="shared" si="3"/>
        <v>0</v>
      </c>
      <c r="Q58">
        <f t="shared" si="4"/>
        <v>76500</v>
      </c>
      <c r="R58">
        <f t="shared" si="5"/>
        <v>0</v>
      </c>
      <c r="S58">
        <f t="shared" si="6"/>
        <v>102000</v>
      </c>
      <c r="T58">
        <f t="shared" si="7"/>
        <v>0</v>
      </c>
      <c r="U58" s="237">
        <f t="shared" si="8"/>
        <v>102000</v>
      </c>
    </row>
    <row r="59" spans="2:21" ht="16.5" thickBot="1">
      <c r="B59" s="450" t="s">
        <v>504</v>
      </c>
      <c r="C59" s="451">
        <v>1</v>
      </c>
      <c r="D59" s="451">
        <v>8722</v>
      </c>
      <c r="E59" s="451"/>
      <c r="F59" s="451"/>
      <c r="G59" s="451">
        <v>8722</v>
      </c>
      <c r="M59">
        <f t="shared" si="0"/>
        <v>26166</v>
      </c>
      <c r="N59">
        <f t="shared" si="1"/>
        <v>0</v>
      </c>
      <c r="O59">
        <f t="shared" si="2"/>
        <v>52332</v>
      </c>
      <c r="P59">
        <f t="shared" si="3"/>
        <v>0</v>
      </c>
      <c r="Q59">
        <f t="shared" si="4"/>
        <v>78498</v>
      </c>
      <c r="R59">
        <f t="shared" si="5"/>
        <v>0</v>
      </c>
      <c r="S59">
        <f t="shared" si="6"/>
        <v>104664</v>
      </c>
      <c r="T59">
        <f t="shared" si="7"/>
        <v>0</v>
      </c>
      <c r="U59" s="237">
        <f t="shared" si="8"/>
        <v>104664</v>
      </c>
    </row>
    <row r="60" spans="2:21" ht="16.5" thickBot="1">
      <c r="B60" s="450" t="s">
        <v>505</v>
      </c>
      <c r="C60" s="451">
        <v>1</v>
      </c>
      <c r="D60" s="451">
        <v>8722</v>
      </c>
      <c r="E60" s="451"/>
      <c r="F60" s="451"/>
      <c r="G60" s="451">
        <v>8722</v>
      </c>
      <c r="M60">
        <f t="shared" si="0"/>
        <v>26166</v>
      </c>
      <c r="N60">
        <f t="shared" si="1"/>
        <v>0</v>
      </c>
      <c r="O60">
        <f t="shared" si="2"/>
        <v>52332</v>
      </c>
      <c r="P60">
        <f t="shared" si="3"/>
        <v>0</v>
      </c>
      <c r="Q60">
        <f t="shared" si="4"/>
        <v>78498</v>
      </c>
      <c r="R60">
        <f t="shared" si="5"/>
        <v>0</v>
      </c>
      <c r="S60">
        <f t="shared" si="6"/>
        <v>104664</v>
      </c>
      <c r="T60">
        <f t="shared" si="7"/>
        <v>0</v>
      </c>
      <c r="U60" s="237">
        <f t="shared" si="8"/>
        <v>104664</v>
      </c>
    </row>
    <row r="61" spans="2:21" ht="16.5" thickBot="1">
      <c r="B61" s="450" t="s">
        <v>506</v>
      </c>
      <c r="C61" s="451">
        <v>1</v>
      </c>
      <c r="D61" s="451">
        <v>7675</v>
      </c>
      <c r="E61" s="451"/>
      <c r="F61" s="451"/>
      <c r="G61" s="451">
        <v>7675</v>
      </c>
      <c r="M61">
        <f t="shared" si="0"/>
        <v>23025</v>
      </c>
      <c r="N61">
        <f t="shared" si="1"/>
        <v>0</v>
      </c>
      <c r="O61">
        <f t="shared" si="2"/>
        <v>46050</v>
      </c>
      <c r="P61">
        <f t="shared" si="3"/>
        <v>0</v>
      </c>
      <c r="Q61">
        <f t="shared" si="4"/>
        <v>69075</v>
      </c>
      <c r="R61">
        <f t="shared" si="5"/>
        <v>0</v>
      </c>
      <c r="S61">
        <f t="shared" si="6"/>
        <v>92100</v>
      </c>
      <c r="T61">
        <f t="shared" si="7"/>
        <v>0</v>
      </c>
      <c r="U61" s="237">
        <f t="shared" si="8"/>
        <v>92100</v>
      </c>
    </row>
    <row r="62" spans="2:21" ht="16.5" thickBot="1">
      <c r="B62" s="450" t="s">
        <v>507</v>
      </c>
      <c r="C62" s="451">
        <v>3</v>
      </c>
      <c r="D62" s="451">
        <v>7326</v>
      </c>
      <c r="E62" s="451"/>
      <c r="F62" s="451"/>
      <c r="G62" s="451">
        <v>21978</v>
      </c>
      <c r="M62">
        <f t="shared" si="0"/>
        <v>65934</v>
      </c>
      <c r="N62">
        <f t="shared" si="1"/>
        <v>0</v>
      </c>
      <c r="O62">
        <f t="shared" si="2"/>
        <v>131868</v>
      </c>
      <c r="P62">
        <f t="shared" si="3"/>
        <v>0</v>
      </c>
      <c r="Q62">
        <f t="shared" si="4"/>
        <v>197802</v>
      </c>
      <c r="R62">
        <f t="shared" si="5"/>
        <v>0</v>
      </c>
      <c r="S62">
        <f t="shared" si="6"/>
        <v>263736</v>
      </c>
      <c r="T62">
        <f t="shared" si="7"/>
        <v>0</v>
      </c>
      <c r="U62" s="237">
        <f t="shared" si="8"/>
        <v>263736</v>
      </c>
    </row>
    <row r="63" spans="2:21" ht="16.5" thickBot="1">
      <c r="B63" s="450" t="s">
        <v>508</v>
      </c>
      <c r="C63" s="451">
        <v>3</v>
      </c>
      <c r="D63" s="451">
        <v>6326</v>
      </c>
      <c r="E63" s="451"/>
      <c r="F63" s="451"/>
      <c r="G63" s="451">
        <v>18978</v>
      </c>
      <c r="M63">
        <f t="shared" si="0"/>
        <v>56934</v>
      </c>
      <c r="N63">
        <f t="shared" si="1"/>
        <v>0</v>
      </c>
      <c r="O63">
        <f t="shared" si="2"/>
        <v>113868</v>
      </c>
      <c r="P63">
        <f t="shared" si="3"/>
        <v>0</v>
      </c>
      <c r="Q63">
        <f t="shared" si="4"/>
        <v>170802</v>
      </c>
      <c r="R63">
        <f t="shared" si="5"/>
        <v>0</v>
      </c>
      <c r="S63">
        <f t="shared" si="6"/>
        <v>227736</v>
      </c>
      <c r="T63">
        <f t="shared" si="7"/>
        <v>0</v>
      </c>
      <c r="U63" s="237">
        <f t="shared" si="8"/>
        <v>227736</v>
      </c>
    </row>
    <row r="64" spans="2:21" ht="16.5" thickBot="1">
      <c r="B64" s="450" t="s">
        <v>509</v>
      </c>
      <c r="C64" s="451">
        <v>3</v>
      </c>
      <c r="D64" s="451">
        <v>6326</v>
      </c>
      <c r="E64" s="451"/>
      <c r="F64" s="451"/>
      <c r="G64" s="451">
        <v>18978</v>
      </c>
      <c r="M64">
        <f t="shared" si="0"/>
        <v>56934</v>
      </c>
      <c r="N64">
        <f t="shared" si="1"/>
        <v>0</v>
      </c>
      <c r="O64">
        <f t="shared" si="2"/>
        <v>113868</v>
      </c>
      <c r="P64">
        <f t="shared" si="3"/>
        <v>0</v>
      </c>
      <c r="Q64">
        <f t="shared" si="4"/>
        <v>170802</v>
      </c>
      <c r="R64">
        <f t="shared" si="5"/>
        <v>0</v>
      </c>
      <c r="S64">
        <f t="shared" si="6"/>
        <v>227736</v>
      </c>
      <c r="T64">
        <f t="shared" si="7"/>
        <v>0</v>
      </c>
      <c r="U64" s="237">
        <f t="shared" si="8"/>
        <v>227736</v>
      </c>
    </row>
    <row r="65" spans="2:21" ht="16.5" thickBot="1">
      <c r="B65" s="236" t="s">
        <v>510</v>
      </c>
      <c r="C65" s="451">
        <v>1</v>
      </c>
      <c r="D65" s="451">
        <v>8722</v>
      </c>
      <c r="E65" s="451"/>
      <c r="F65" s="451"/>
      <c r="G65" s="451">
        <v>8722</v>
      </c>
      <c r="M65">
        <f t="shared" si="0"/>
        <v>26166</v>
      </c>
      <c r="N65">
        <f t="shared" si="1"/>
        <v>0</v>
      </c>
      <c r="O65">
        <f t="shared" si="2"/>
        <v>52332</v>
      </c>
      <c r="P65">
        <f t="shared" si="3"/>
        <v>0</v>
      </c>
      <c r="Q65">
        <f t="shared" si="4"/>
        <v>78498</v>
      </c>
      <c r="R65">
        <f t="shared" si="5"/>
        <v>0</v>
      </c>
      <c r="S65">
        <f t="shared" si="6"/>
        <v>104664</v>
      </c>
      <c r="T65">
        <f t="shared" si="7"/>
        <v>0</v>
      </c>
      <c r="U65" s="237">
        <f t="shared" si="8"/>
        <v>104664</v>
      </c>
    </row>
    <row r="66" spans="2:21" ht="16.5" thickBot="1">
      <c r="B66" s="450" t="s">
        <v>511</v>
      </c>
      <c r="C66" s="451">
        <v>19</v>
      </c>
      <c r="D66" s="451"/>
      <c r="E66" s="451"/>
      <c r="F66" s="451"/>
      <c r="G66" s="451">
        <v>157977</v>
      </c>
      <c r="M66">
        <f t="shared" si="0"/>
        <v>0</v>
      </c>
      <c r="N66">
        <f t="shared" si="1"/>
        <v>0</v>
      </c>
      <c r="O66">
        <f t="shared" si="2"/>
        <v>0</v>
      </c>
      <c r="P66">
        <f t="shared" si="3"/>
        <v>0</v>
      </c>
      <c r="Q66">
        <f t="shared" si="4"/>
        <v>0</v>
      </c>
      <c r="R66">
        <f t="shared" si="5"/>
        <v>0</v>
      </c>
      <c r="S66">
        <f t="shared" si="6"/>
        <v>0</v>
      </c>
      <c r="T66">
        <f t="shared" si="7"/>
        <v>0</v>
      </c>
      <c r="U66" s="237">
        <f t="shared" si="8"/>
        <v>0</v>
      </c>
    </row>
    <row r="67" spans="2:21" ht="32.25" thickBot="1">
      <c r="B67" s="228" t="s">
        <v>512</v>
      </c>
      <c r="M67">
        <f t="shared" si="0"/>
        <v>0</v>
      </c>
      <c r="N67">
        <f t="shared" si="1"/>
        <v>0</v>
      </c>
      <c r="O67">
        <f t="shared" si="2"/>
        <v>0</v>
      </c>
      <c r="P67">
        <f t="shared" si="3"/>
        <v>0</v>
      </c>
      <c r="Q67">
        <f t="shared" si="4"/>
        <v>0</v>
      </c>
      <c r="R67">
        <f t="shared" si="5"/>
        <v>0</v>
      </c>
      <c r="S67">
        <f t="shared" si="6"/>
        <v>0</v>
      </c>
      <c r="T67">
        <f t="shared" si="7"/>
        <v>0</v>
      </c>
      <c r="U67" s="237">
        <f t="shared" si="8"/>
        <v>0</v>
      </c>
    </row>
    <row r="68" spans="2:21" ht="16.5" thickBot="1">
      <c r="B68" s="229" t="s">
        <v>477</v>
      </c>
      <c r="C68" s="230">
        <v>1</v>
      </c>
      <c r="D68" s="230">
        <v>11000</v>
      </c>
      <c r="E68" s="230"/>
      <c r="F68" s="230"/>
      <c r="G68" s="230">
        <v>11000</v>
      </c>
      <c r="M68">
        <f t="shared" si="0"/>
        <v>33000</v>
      </c>
      <c r="N68">
        <f t="shared" si="1"/>
        <v>0</v>
      </c>
      <c r="O68">
        <f t="shared" si="2"/>
        <v>66000</v>
      </c>
      <c r="P68">
        <f t="shared" si="3"/>
        <v>0</v>
      </c>
      <c r="Q68">
        <f t="shared" si="4"/>
        <v>99000</v>
      </c>
      <c r="R68">
        <f t="shared" si="5"/>
        <v>0</v>
      </c>
      <c r="S68">
        <f t="shared" si="6"/>
        <v>132000</v>
      </c>
      <c r="T68">
        <f t="shared" si="7"/>
        <v>0</v>
      </c>
      <c r="U68" s="237">
        <f t="shared" si="8"/>
        <v>132000</v>
      </c>
    </row>
    <row r="69" spans="2:21" ht="16.5" thickBot="1">
      <c r="B69" s="450" t="s">
        <v>513</v>
      </c>
      <c r="C69" s="451">
        <v>1</v>
      </c>
      <c r="D69" s="451">
        <v>8500</v>
      </c>
      <c r="E69" s="451"/>
      <c r="F69" s="451"/>
      <c r="G69" s="451">
        <v>8500</v>
      </c>
      <c r="M69">
        <f t="shared" si="0"/>
        <v>25500</v>
      </c>
      <c r="N69">
        <f t="shared" si="1"/>
        <v>0</v>
      </c>
      <c r="O69">
        <f t="shared" si="2"/>
        <v>51000</v>
      </c>
      <c r="P69">
        <f t="shared" si="3"/>
        <v>0</v>
      </c>
      <c r="Q69">
        <f t="shared" si="4"/>
        <v>76500</v>
      </c>
      <c r="R69">
        <f t="shared" si="5"/>
        <v>0</v>
      </c>
      <c r="S69">
        <f t="shared" si="6"/>
        <v>102000</v>
      </c>
      <c r="T69">
        <f t="shared" si="7"/>
        <v>0</v>
      </c>
      <c r="U69" s="237">
        <f t="shared" si="8"/>
        <v>102000</v>
      </c>
    </row>
    <row r="70" spans="2:21" ht="16.5" thickBot="1">
      <c r="B70" s="450" t="s">
        <v>514</v>
      </c>
      <c r="C70" s="451">
        <v>1</v>
      </c>
      <c r="D70" s="451">
        <v>8500</v>
      </c>
      <c r="E70" s="451"/>
      <c r="F70" s="451"/>
      <c r="G70" s="451">
        <v>8500</v>
      </c>
      <c r="M70">
        <f t="shared" si="0"/>
        <v>25500</v>
      </c>
      <c r="N70">
        <f t="shared" si="1"/>
        <v>0</v>
      </c>
      <c r="O70">
        <f t="shared" si="2"/>
        <v>51000</v>
      </c>
      <c r="P70">
        <f t="shared" si="3"/>
        <v>0</v>
      </c>
      <c r="Q70">
        <f t="shared" si="4"/>
        <v>76500</v>
      </c>
      <c r="R70">
        <f t="shared" si="5"/>
        <v>0</v>
      </c>
      <c r="S70">
        <f t="shared" si="6"/>
        <v>102000</v>
      </c>
      <c r="T70">
        <f t="shared" si="7"/>
        <v>0</v>
      </c>
      <c r="U70" s="237">
        <f t="shared" si="8"/>
        <v>102000</v>
      </c>
    </row>
    <row r="71" spans="2:21" ht="16.5" thickBot="1">
      <c r="B71" s="450" t="s">
        <v>515</v>
      </c>
      <c r="C71" s="451">
        <v>1</v>
      </c>
      <c r="D71" s="451">
        <v>7802</v>
      </c>
      <c r="E71" s="451"/>
      <c r="F71" s="451"/>
      <c r="G71" s="451">
        <v>7802</v>
      </c>
      <c r="M71">
        <f t="shared" si="0"/>
        <v>23406</v>
      </c>
      <c r="N71">
        <f t="shared" si="1"/>
        <v>0</v>
      </c>
      <c r="O71">
        <f t="shared" si="2"/>
        <v>46812</v>
      </c>
      <c r="P71">
        <f t="shared" si="3"/>
        <v>0</v>
      </c>
      <c r="Q71">
        <f t="shared" si="4"/>
        <v>70218</v>
      </c>
      <c r="R71">
        <f t="shared" si="5"/>
        <v>0</v>
      </c>
      <c r="S71">
        <f t="shared" si="6"/>
        <v>93624</v>
      </c>
      <c r="T71">
        <f t="shared" si="7"/>
        <v>0</v>
      </c>
      <c r="U71" s="237">
        <f t="shared" si="8"/>
        <v>93624</v>
      </c>
    </row>
    <row r="72" spans="2:21" ht="16.5" thickBot="1">
      <c r="B72" s="450" t="s">
        <v>472</v>
      </c>
      <c r="C72" s="451">
        <v>4</v>
      </c>
      <c r="D72" s="451"/>
      <c r="E72" s="451"/>
      <c r="F72" s="451"/>
      <c r="G72" s="451">
        <v>35802</v>
      </c>
      <c r="M72">
        <f t="shared" si="0"/>
        <v>0</v>
      </c>
      <c r="N72">
        <f t="shared" si="1"/>
        <v>0</v>
      </c>
      <c r="O72">
        <f t="shared" si="2"/>
        <v>0</v>
      </c>
      <c r="P72">
        <f t="shared" si="3"/>
        <v>0</v>
      </c>
      <c r="Q72">
        <f t="shared" si="4"/>
        <v>0</v>
      </c>
      <c r="R72">
        <f t="shared" si="5"/>
        <v>0</v>
      </c>
      <c r="S72">
        <f t="shared" si="6"/>
        <v>0</v>
      </c>
      <c r="T72">
        <f t="shared" si="7"/>
        <v>0</v>
      </c>
      <c r="U72" s="237">
        <f t="shared" si="8"/>
        <v>0</v>
      </c>
    </row>
    <row r="73" spans="2:21" ht="32.25" thickBot="1">
      <c r="B73" s="228" t="s">
        <v>516</v>
      </c>
      <c r="M73">
        <f t="shared" ref="M73:M80" si="9">D73*C73*3</f>
        <v>0</v>
      </c>
      <c r="N73">
        <f t="shared" ref="N73:N80" si="10">F73*C73*3</f>
        <v>0</v>
      </c>
      <c r="O73">
        <f t="shared" ref="O73:O80" si="11">D73*6*C73</f>
        <v>0</v>
      </c>
      <c r="P73">
        <f t="shared" ref="P73:P80" si="12">F73*6*C73</f>
        <v>0</v>
      </c>
      <c r="Q73">
        <f t="shared" ref="Q73:Q80" si="13">D73*C73*9</f>
        <v>0</v>
      </c>
      <c r="R73">
        <f t="shared" ref="R73:R80" si="14">F73*C73*9</f>
        <v>0</v>
      </c>
      <c r="S73">
        <f t="shared" ref="S73:S80" si="15">D73*12*C73</f>
        <v>0</v>
      </c>
      <c r="T73">
        <f t="shared" ref="T73:T80" si="16">F73*12*C73</f>
        <v>0</v>
      </c>
      <c r="U73" s="237">
        <f t="shared" ref="U73:U80" si="17">S73+T73</f>
        <v>0</v>
      </c>
    </row>
    <row r="74" spans="2:21" ht="16.5" thickBot="1">
      <c r="B74" s="229" t="s">
        <v>477</v>
      </c>
      <c r="C74" s="230">
        <v>1</v>
      </c>
      <c r="D74" s="230">
        <v>11000</v>
      </c>
      <c r="E74" s="230"/>
      <c r="F74" s="230"/>
      <c r="G74" s="230">
        <v>11000</v>
      </c>
      <c r="M74">
        <f t="shared" si="9"/>
        <v>33000</v>
      </c>
      <c r="N74">
        <f t="shared" si="10"/>
        <v>0</v>
      </c>
      <c r="O74">
        <f t="shared" si="11"/>
        <v>66000</v>
      </c>
      <c r="P74">
        <f t="shared" si="12"/>
        <v>0</v>
      </c>
      <c r="Q74">
        <f t="shared" si="13"/>
        <v>99000</v>
      </c>
      <c r="R74">
        <f t="shared" si="14"/>
        <v>0</v>
      </c>
      <c r="S74">
        <f t="shared" si="15"/>
        <v>132000</v>
      </c>
      <c r="T74">
        <f t="shared" si="16"/>
        <v>0</v>
      </c>
      <c r="U74" s="237">
        <f t="shared" si="17"/>
        <v>132000</v>
      </c>
    </row>
    <row r="75" spans="2:21" ht="16.5" thickBot="1">
      <c r="B75" s="450" t="s">
        <v>485</v>
      </c>
      <c r="C75" s="451">
        <v>3</v>
      </c>
      <c r="D75" s="451">
        <v>7802</v>
      </c>
      <c r="E75" s="451"/>
      <c r="F75" s="451"/>
      <c r="G75" s="451">
        <v>23406</v>
      </c>
      <c r="M75">
        <f t="shared" si="9"/>
        <v>70218</v>
      </c>
      <c r="N75">
        <f t="shared" si="10"/>
        <v>0</v>
      </c>
      <c r="O75">
        <f t="shared" si="11"/>
        <v>140436</v>
      </c>
      <c r="P75">
        <f t="shared" si="12"/>
        <v>0</v>
      </c>
      <c r="Q75">
        <f t="shared" si="13"/>
        <v>210654</v>
      </c>
      <c r="R75">
        <f t="shared" si="14"/>
        <v>0</v>
      </c>
      <c r="S75">
        <f t="shared" si="15"/>
        <v>280872</v>
      </c>
      <c r="T75">
        <f t="shared" si="16"/>
        <v>0</v>
      </c>
      <c r="U75" s="237">
        <f t="shared" si="17"/>
        <v>280872</v>
      </c>
    </row>
    <row r="76" spans="2:21" ht="16.5" thickBot="1">
      <c r="B76" s="450" t="s">
        <v>472</v>
      </c>
      <c r="C76" s="451">
        <v>4</v>
      </c>
      <c r="D76" s="451"/>
      <c r="E76" s="451"/>
      <c r="F76" s="451"/>
      <c r="G76" s="451">
        <v>34406</v>
      </c>
      <c r="M76">
        <f t="shared" si="9"/>
        <v>0</v>
      </c>
      <c r="N76">
        <f t="shared" si="10"/>
        <v>0</v>
      </c>
      <c r="O76">
        <f t="shared" si="11"/>
        <v>0</v>
      </c>
      <c r="P76">
        <f t="shared" si="12"/>
        <v>0</v>
      </c>
      <c r="Q76">
        <f t="shared" si="13"/>
        <v>0</v>
      </c>
      <c r="R76">
        <f t="shared" si="14"/>
        <v>0</v>
      </c>
      <c r="S76">
        <f t="shared" si="15"/>
        <v>0</v>
      </c>
      <c r="T76">
        <f t="shared" si="16"/>
        <v>0</v>
      </c>
      <c r="U76" s="237">
        <f t="shared" si="17"/>
        <v>0</v>
      </c>
    </row>
    <row r="77" spans="2:21" ht="32.25" thickBot="1">
      <c r="B77" s="228" t="s">
        <v>517</v>
      </c>
      <c r="M77">
        <f t="shared" si="9"/>
        <v>0</v>
      </c>
      <c r="N77">
        <f t="shared" si="10"/>
        <v>0</v>
      </c>
      <c r="O77">
        <f t="shared" si="11"/>
        <v>0</v>
      </c>
      <c r="P77">
        <f t="shared" si="12"/>
        <v>0</v>
      </c>
      <c r="Q77">
        <f t="shared" si="13"/>
        <v>0</v>
      </c>
      <c r="R77">
        <f t="shared" si="14"/>
        <v>0</v>
      </c>
      <c r="S77">
        <f t="shared" si="15"/>
        <v>0</v>
      </c>
      <c r="T77">
        <f t="shared" si="16"/>
        <v>0</v>
      </c>
      <c r="U77" s="237">
        <f t="shared" si="17"/>
        <v>0</v>
      </c>
    </row>
    <row r="78" spans="2:21" ht="16.5" thickBot="1">
      <c r="B78" s="229" t="s">
        <v>477</v>
      </c>
      <c r="C78" s="230">
        <v>1</v>
      </c>
      <c r="D78" s="230">
        <v>11000</v>
      </c>
      <c r="E78" s="230"/>
      <c r="F78" s="230"/>
      <c r="G78" s="230">
        <v>11000</v>
      </c>
      <c r="M78">
        <f t="shared" si="9"/>
        <v>33000</v>
      </c>
      <c r="N78">
        <f t="shared" si="10"/>
        <v>0</v>
      </c>
      <c r="O78">
        <f t="shared" si="11"/>
        <v>66000</v>
      </c>
      <c r="P78">
        <f t="shared" si="12"/>
        <v>0</v>
      </c>
      <c r="Q78">
        <f t="shared" si="13"/>
        <v>99000</v>
      </c>
      <c r="R78">
        <f t="shared" si="14"/>
        <v>0</v>
      </c>
      <c r="S78">
        <f t="shared" si="15"/>
        <v>132000</v>
      </c>
      <c r="T78">
        <f t="shared" si="16"/>
        <v>0</v>
      </c>
      <c r="U78" s="237">
        <f t="shared" si="17"/>
        <v>132000</v>
      </c>
    </row>
    <row r="79" spans="2:21" ht="16.5" thickBot="1">
      <c r="B79" s="450" t="s">
        <v>484</v>
      </c>
      <c r="C79" s="451">
        <v>3</v>
      </c>
      <c r="D79" s="451">
        <v>8500</v>
      </c>
      <c r="E79" s="451"/>
      <c r="F79" s="451"/>
      <c r="G79" s="451">
        <v>25500</v>
      </c>
      <c r="M79">
        <f t="shared" si="9"/>
        <v>76500</v>
      </c>
      <c r="N79">
        <f t="shared" si="10"/>
        <v>0</v>
      </c>
      <c r="O79">
        <f t="shared" si="11"/>
        <v>153000</v>
      </c>
      <c r="P79">
        <f t="shared" si="12"/>
        <v>0</v>
      </c>
      <c r="Q79">
        <f t="shared" si="13"/>
        <v>229500</v>
      </c>
      <c r="R79">
        <f t="shared" si="14"/>
        <v>0</v>
      </c>
      <c r="S79">
        <f t="shared" si="15"/>
        <v>306000</v>
      </c>
      <c r="T79">
        <f t="shared" si="16"/>
        <v>0</v>
      </c>
      <c r="U79" s="237">
        <f t="shared" si="17"/>
        <v>306000</v>
      </c>
    </row>
    <row r="80" spans="2:21" ht="16.5" thickBot="1">
      <c r="B80" s="450" t="s">
        <v>472</v>
      </c>
      <c r="C80" s="451">
        <v>4</v>
      </c>
      <c r="D80" s="451"/>
      <c r="E80" s="451"/>
      <c r="F80" s="451"/>
      <c r="G80" s="451">
        <v>36500</v>
      </c>
      <c r="M80">
        <f t="shared" si="9"/>
        <v>0</v>
      </c>
      <c r="N80">
        <f t="shared" si="10"/>
        <v>0</v>
      </c>
      <c r="O80">
        <f t="shared" si="11"/>
        <v>0</v>
      </c>
      <c r="P80">
        <f t="shared" si="12"/>
        <v>0</v>
      </c>
      <c r="Q80">
        <f t="shared" si="13"/>
        <v>0</v>
      </c>
      <c r="R80">
        <f t="shared" si="14"/>
        <v>0</v>
      </c>
      <c r="S80">
        <f t="shared" si="15"/>
        <v>0</v>
      </c>
      <c r="T80">
        <f t="shared" si="16"/>
        <v>0</v>
      </c>
      <c r="U80" s="237">
        <f t="shared" si="17"/>
        <v>0</v>
      </c>
    </row>
    <row r="81" spans="2:21" ht="15.75">
      <c r="B81" s="228"/>
      <c r="C81">
        <f>C17+C21+C27+C31+C37+C42+C47+C51+C66+C72+C76+C80</f>
        <v>66</v>
      </c>
      <c r="M81" s="238">
        <f>SUM(M8:M80)</f>
        <v>1986476.58</v>
      </c>
      <c r="N81" s="238">
        <f t="shared" ref="N81:T81" si="18">SUM(N8:N80)</f>
        <v>1104</v>
      </c>
      <c r="O81" s="238">
        <f t="shared" si="18"/>
        <v>3991655.52</v>
      </c>
      <c r="P81" s="238">
        <f t="shared" si="18"/>
        <v>2208</v>
      </c>
      <c r="Q81" s="238">
        <f t="shared" si="18"/>
        <v>5996834.46</v>
      </c>
      <c r="R81" s="238">
        <f t="shared" si="18"/>
        <v>3312</v>
      </c>
      <c r="S81" s="238">
        <f t="shared" si="18"/>
        <v>8002013.4000000004</v>
      </c>
      <c r="T81" s="238">
        <f t="shared" si="18"/>
        <v>4416</v>
      </c>
      <c r="U81" s="238">
        <f>SUM(U8:U80)</f>
        <v>8006429.4000000004</v>
      </c>
    </row>
    <row r="83" spans="2:21" ht="127.5">
      <c r="B83" s="233" t="s">
        <v>518</v>
      </c>
      <c r="C83" s="234" t="s">
        <v>519</v>
      </c>
      <c r="D83" s="233" t="s">
        <v>520</v>
      </c>
      <c r="E83" s="233" t="s">
        <v>521</v>
      </c>
      <c r="F83" s="233" t="s">
        <v>522</v>
      </c>
      <c r="G83" s="233" t="s">
        <v>523</v>
      </c>
      <c r="H83" s="233" t="s">
        <v>524</v>
      </c>
      <c r="I83" s="233" t="s">
        <v>525</v>
      </c>
      <c r="J83" s="233" t="s">
        <v>526</v>
      </c>
      <c r="K83" s="233" t="s">
        <v>527</v>
      </c>
      <c r="M83" t="s">
        <v>380</v>
      </c>
      <c r="N83" t="s">
        <v>623</v>
      </c>
      <c r="O83" t="s">
        <v>372</v>
      </c>
      <c r="P83" t="s">
        <v>623</v>
      </c>
      <c r="Q83" t="s">
        <v>373</v>
      </c>
      <c r="R83" t="s">
        <v>623</v>
      </c>
      <c r="S83" t="s">
        <v>87</v>
      </c>
      <c r="T83" t="s">
        <v>623</v>
      </c>
      <c r="U83" s="237" t="s">
        <v>624</v>
      </c>
    </row>
    <row r="84" spans="2:21">
      <c r="B84" s="234">
        <v>1</v>
      </c>
      <c r="C84" s="234">
        <v>5</v>
      </c>
      <c r="D84" s="234">
        <v>7</v>
      </c>
      <c r="E84" s="234">
        <v>8</v>
      </c>
      <c r="F84" s="234">
        <v>9</v>
      </c>
      <c r="G84" s="234">
        <v>10</v>
      </c>
      <c r="H84" s="234">
        <v>11</v>
      </c>
      <c r="I84" s="234">
        <v>12</v>
      </c>
      <c r="J84" s="234">
        <v>13</v>
      </c>
      <c r="K84" s="234">
        <v>14</v>
      </c>
      <c r="U84" s="237"/>
    </row>
    <row r="85" spans="2:21">
      <c r="B85" s="234"/>
      <c r="C85" s="234"/>
      <c r="D85" s="234"/>
      <c r="E85" s="234"/>
      <c r="F85" s="234"/>
      <c r="G85" s="234"/>
      <c r="H85" s="234"/>
      <c r="I85" s="234"/>
      <c r="J85" s="234"/>
      <c r="K85" s="234"/>
      <c r="U85" s="237"/>
    </row>
    <row r="86" spans="2:21">
      <c r="B86" s="234" t="s">
        <v>528</v>
      </c>
      <c r="C86" s="234"/>
      <c r="D86" s="234"/>
      <c r="E86" s="234"/>
      <c r="F86" s="234"/>
      <c r="G86" s="234"/>
      <c r="H86" s="234"/>
      <c r="I86" s="234"/>
      <c r="J86" s="234"/>
      <c r="K86" s="234"/>
      <c r="U86" s="237"/>
    </row>
    <row r="87" spans="2:21">
      <c r="B87" s="259" t="s">
        <v>529</v>
      </c>
      <c r="C87" s="234">
        <v>1</v>
      </c>
      <c r="D87" s="234">
        <v>21.01</v>
      </c>
      <c r="E87" s="234">
        <v>3489.34</v>
      </c>
      <c r="F87" s="234">
        <v>47</v>
      </c>
      <c r="G87" s="235">
        <v>1639.99</v>
      </c>
      <c r="H87" s="234">
        <v>100</v>
      </c>
      <c r="I87" s="234">
        <v>3489.34</v>
      </c>
      <c r="J87" s="234">
        <v>8618.67</v>
      </c>
      <c r="K87" s="234">
        <v>8618.67</v>
      </c>
      <c r="M87" s="239">
        <f>E87*3*C87</f>
        <v>10468.02</v>
      </c>
      <c r="N87" s="239">
        <f>(G87+I87)*C87*3</f>
        <v>15387.99</v>
      </c>
      <c r="O87" s="239">
        <f>E87*C87*6</f>
        <v>20936.04</v>
      </c>
      <c r="P87" s="239">
        <f>(G87+I87)*C87*6</f>
        <v>30775.98</v>
      </c>
      <c r="Q87" s="239">
        <f>E87*C87*9</f>
        <v>31404.06</v>
      </c>
      <c r="R87" s="239">
        <f>(G87+I87)*C87*9</f>
        <v>46163.97</v>
      </c>
      <c r="S87" s="239">
        <f>E87*C87*12</f>
        <v>41872.080000000002</v>
      </c>
      <c r="T87" s="239">
        <f>(G87+I87)*C87*12</f>
        <v>61551.96</v>
      </c>
      <c r="U87" s="238">
        <f>S87+T87</f>
        <v>103424.04000000001</v>
      </c>
    </row>
    <row r="88" spans="2:21">
      <c r="B88" s="259" t="s">
        <v>530</v>
      </c>
      <c r="C88" s="234">
        <v>11</v>
      </c>
      <c r="D88" s="234">
        <v>21.01</v>
      </c>
      <c r="E88" s="234">
        <v>3489.34</v>
      </c>
      <c r="F88" s="234">
        <v>12</v>
      </c>
      <c r="G88" s="234">
        <v>418.72</v>
      </c>
      <c r="H88" s="234">
        <v>100</v>
      </c>
      <c r="I88" s="234">
        <v>3489.34</v>
      </c>
      <c r="J88" s="234">
        <v>7397.4</v>
      </c>
      <c r="K88" s="234">
        <v>81371.429999999993</v>
      </c>
      <c r="M88" s="239">
        <f t="shared" ref="M88:M151" si="19">E88*3*C88</f>
        <v>115148.22</v>
      </c>
      <c r="N88" s="239">
        <f t="shared" ref="N88:N151" si="20">(G88+I88)*C88*3</f>
        <v>128965.98000000001</v>
      </c>
      <c r="O88" s="239">
        <f t="shared" ref="O88:O151" si="21">E88*C88*6</f>
        <v>230296.44000000003</v>
      </c>
      <c r="P88" s="239">
        <f t="shared" ref="P88:P151" si="22">(G88+I88)*C88*6</f>
        <v>257931.96000000002</v>
      </c>
      <c r="Q88" s="239">
        <f t="shared" ref="Q88:Q151" si="23">E88*C88*9</f>
        <v>345444.66000000003</v>
      </c>
      <c r="R88" s="239">
        <f t="shared" ref="R88:R151" si="24">(G88+I88)*C88*9</f>
        <v>386897.94000000006</v>
      </c>
      <c r="S88" s="239">
        <f t="shared" ref="S88:S151" si="25">E88*C88*12</f>
        <v>460592.88000000006</v>
      </c>
      <c r="T88" s="239">
        <f t="shared" ref="T88:T151" si="26">(G88+I88)*C88*12</f>
        <v>515863.92000000004</v>
      </c>
      <c r="U88" s="238">
        <f t="shared" ref="U88:U151" si="27">S88+T88</f>
        <v>976456.8</v>
      </c>
    </row>
    <row r="89" spans="2:21">
      <c r="B89" s="259" t="s">
        <v>531</v>
      </c>
      <c r="C89" s="234">
        <v>1</v>
      </c>
      <c r="D89" s="234">
        <v>21.01</v>
      </c>
      <c r="E89" s="234">
        <v>3489.34</v>
      </c>
      <c r="F89" s="234">
        <v>47</v>
      </c>
      <c r="G89" s="235">
        <v>1639.99</v>
      </c>
      <c r="H89" s="234">
        <v>100</v>
      </c>
      <c r="I89" s="234">
        <v>3489.34</v>
      </c>
      <c r="J89" s="234">
        <v>8618.67</v>
      </c>
      <c r="K89" s="234">
        <v>8618.67</v>
      </c>
      <c r="M89" s="239">
        <f t="shared" si="19"/>
        <v>10468.02</v>
      </c>
      <c r="N89" s="239">
        <f t="shared" si="20"/>
        <v>15387.99</v>
      </c>
      <c r="O89" s="239">
        <f t="shared" si="21"/>
        <v>20936.04</v>
      </c>
      <c r="P89" s="239">
        <f t="shared" si="22"/>
        <v>30775.98</v>
      </c>
      <c r="Q89" s="239">
        <f t="shared" si="23"/>
        <v>31404.06</v>
      </c>
      <c r="R89" s="239">
        <f t="shared" si="24"/>
        <v>46163.97</v>
      </c>
      <c r="S89" s="239">
        <f t="shared" si="25"/>
        <v>41872.080000000002</v>
      </c>
      <c r="T89" s="239">
        <f t="shared" si="26"/>
        <v>61551.96</v>
      </c>
      <c r="U89" s="238">
        <f t="shared" si="27"/>
        <v>103424.04000000001</v>
      </c>
    </row>
    <row r="90" spans="2:21">
      <c r="B90" s="259" t="s">
        <v>532</v>
      </c>
      <c r="C90" s="234">
        <v>22</v>
      </c>
      <c r="D90" s="234">
        <v>21.01</v>
      </c>
      <c r="E90" s="234">
        <v>3489.34</v>
      </c>
      <c r="F90" s="234">
        <v>12</v>
      </c>
      <c r="G90" s="234">
        <v>418.72</v>
      </c>
      <c r="H90" s="234">
        <v>100</v>
      </c>
      <c r="I90" s="234">
        <v>3489.34</v>
      </c>
      <c r="J90" s="234">
        <v>7397.4</v>
      </c>
      <c r="K90" s="234">
        <v>162742.85</v>
      </c>
      <c r="M90" s="239">
        <f t="shared" si="19"/>
        <v>230296.44</v>
      </c>
      <c r="N90" s="239">
        <f t="shared" si="20"/>
        <v>257931.96000000002</v>
      </c>
      <c r="O90" s="239">
        <f t="shared" si="21"/>
        <v>460592.88000000006</v>
      </c>
      <c r="P90" s="239">
        <f t="shared" si="22"/>
        <v>515863.92000000004</v>
      </c>
      <c r="Q90" s="239">
        <f t="shared" si="23"/>
        <v>690889.32000000007</v>
      </c>
      <c r="R90" s="239">
        <f t="shared" si="24"/>
        <v>773795.88000000012</v>
      </c>
      <c r="S90" s="239">
        <f t="shared" si="25"/>
        <v>921185.76000000013</v>
      </c>
      <c r="T90" s="239">
        <f t="shared" si="26"/>
        <v>1031727.8400000001</v>
      </c>
      <c r="U90" s="238">
        <f t="shared" si="27"/>
        <v>1952913.6</v>
      </c>
    </row>
    <row r="91" spans="2:21">
      <c r="B91" s="259" t="s">
        <v>533</v>
      </c>
      <c r="C91" s="234">
        <v>1</v>
      </c>
      <c r="D91" s="234">
        <v>21.01</v>
      </c>
      <c r="E91" s="234">
        <v>3489.34</v>
      </c>
      <c r="F91" s="234">
        <v>37</v>
      </c>
      <c r="G91" s="235">
        <v>1291.06</v>
      </c>
      <c r="H91" s="234">
        <v>100</v>
      </c>
      <c r="I91" s="234">
        <v>3489.34</v>
      </c>
      <c r="J91" s="234">
        <v>8269.74</v>
      </c>
      <c r="K91" s="234">
        <v>8269.74</v>
      </c>
      <c r="M91" s="239">
        <f t="shared" si="19"/>
        <v>10468.02</v>
      </c>
      <c r="N91" s="239">
        <f t="shared" si="20"/>
        <v>14341.199999999999</v>
      </c>
      <c r="O91" s="239">
        <f t="shared" si="21"/>
        <v>20936.04</v>
      </c>
      <c r="P91" s="239">
        <f t="shared" si="22"/>
        <v>28682.399999999998</v>
      </c>
      <c r="Q91" s="239">
        <f t="shared" si="23"/>
        <v>31404.06</v>
      </c>
      <c r="R91" s="239">
        <f t="shared" si="24"/>
        <v>43023.6</v>
      </c>
      <c r="S91" s="239">
        <f t="shared" si="25"/>
        <v>41872.080000000002</v>
      </c>
      <c r="T91" s="239">
        <f t="shared" si="26"/>
        <v>57364.799999999996</v>
      </c>
      <c r="U91" s="238">
        <f t="shared" si="27"/>
        <v>99236.88</v>
      </c>
    </row>
    <row r="92" spans="2:21">
      <c r="B92" s="259" t="s">
        <v>534</v>
      </c>
      <c r="C92" s="234">
        <v>8</v>
      </c>
      <c r="D92" s="234">
        <v>21.01</v>
      </c>
      <c r="E92" s="234">
        <v>3489.34</v>
      </c>
      <c r="F92" s="234">
        <v>12</v>
      </c>
      <c r="G92" s="234">
        <v>418.72</v>
      </c>
      <c r="H92" s="234">
        <v>100</v>
      </c>
      <c r="I92" s="234">
        <v>3489.34</v>
      </c>
      <c r="J92" s="234">
        <v>7397.4</v>
      </c>
      <c r="K92" s="234">
        <v>59179.22</v>
      </c>
      <c r="M92" s="239">
        <f t="shared" si="19"/>
        <v>83744.160000000003</v>
      </c>
      <c r="N92" s="239">
        <f t="shared" si="20"/>
        <v>93793.44</v>
      </c>
      <c r="O92" s="239">
        <f t="shared" si="21"/>
        <v>167488.32000000001</v>
      </c>
      <c r="P92" s="239">
        <f t="shared" si="22"/>
        <v>187586.88</v>
      </c>
      <c r="Q92" s="239">
        <f t="shared" si="23"/>
        <v>251232.48</v>
      </c>
      <c r="R92" s="239">
        <f t="shared" si="24"/>
        <v>281380.32</v>
      </c>
      <c r="S92" s="239">
        <f t="shared" si="25"/>
        <v>334976.64000000001</v>
      </c>
      <c r="T92" s="239">
        <f t="shared" si="26"/>
        <v>375173.76</v>
      </c>
      <c r="U92" s="238">
        <f t="shared" si="27"/>
        <v>710150.4</v>
      </c>
    </row>
    <row r="93" spans="2:21">
      <c r="B93" s="259" t="s">
        <v>535</v>
      </c>
      <c r="C93" s="234">
        <v>1</v>
      </c>
      <c r="D93" s="234">
        <v>21.01</v>
      </c>
      <c r="E93" s="234">
        <v>3489.34</v>
      </c>
      <c r="F93" s="234">
        <v>37</v>
      </c>
      <c r="G93" s="235">
        <v>1291.06</v>
      </c>
      <c r="H93" s="234">
        <v>100</v>
      </c>
      <c r="I93" s="234">
        <v>3489.34</v>
      </c>
      <c r="J93" s="234">
        <v>8269.74</v>
      </c>
      <c r="K93" s="234">
        <v>8269.74</v>
      </c>
      <c r="M93" s="239">
        <f t="shared" si="19"/>
        <v>10468.02</v>
      </c>
      <c r="N93" s="239">
        <f t="shared" si="20"/>
        <v>14341.199999999999</v>
      </c>
      <c r="O93" s="239">
        <f t="shared" si="21"/>
        <v>20936.04</v>
      </c>
      <c r="P93" s="239">
        <f t="shared" si="22"/>
        <v>28682.399999999998</v>
      </c>
      <c r="Q93" s="239">
        <f t="shared" si="23"/>
        <v>31404.06</v>
      </c>
      <c r="R93" s="239">
        <f t="shared" si="24"/>
        <v>43023.6</v>
      </c>
      <c r="S93" s="239">
        <f t="shared" si="25"/>
        <v>41872.080000000002</v>
      </c>
      <c r="T93" s="239">
        <f t="shared" si="26"/>
        <v>57364.799999999996</v>
      </c>
      <c r="U93" s="238">
        <f t="shared" si="27"/>
        <v>99236.88</v>
      </c>
    </row>
    <row r="94" spans="2:21">
      <c r="B94" s="259" t="s">
        <v>536</v>
      </c>
      <c r="C94" s="234">
        <v>9</v>
      </c>
      <c r="D94" s="234">
        <v>21.01</v>
      </c>
      <c r="E94" s="234">
        <v>3489.34</v>
      </c>
      <c r="F94" s="234">
        <v>12</v>
      </c>
      <c r="G94" s="234">
        <v>418.72</v>
      </c>
      <c r="H94" s="234">
        <v>100</v>
      </c>
      <c r="I94" s="234">
        <v>3489.34</v>
      </c>
      <c r="J94" s="234">
        <v>7397.4</v>
      </c>
      <c r="K94" s="234">
        <v>66576.62</v>
      </c>
      <c r="M94" s="239">
        <f t="shared" si="19"/>
        <v>94212.180000000008</v>
      </c>
      <c r="N94" s="239">
        <f t="shared" si="20"/>
        <v>105517.62</v>
      </c>
      <c r="O94" s="239">
        <f t="shared" si="21"/>
        <v>188424.36000000002</v>
      </c>
      <c r="P94" s="239">
        <f t="shared" si="22"/>
        <v>211035.24</v>
      </c>
      <c r="Q94" s="239">
        <f t="shared" si="23"/>
        <v>282636.54000000004</v>
      </c>
      <c r="R94" s="239">
        <f t="shared" si="24"/>
        <v>316552.86</v>
      </c>
      <c r="S94" s="239">
        <f t="shared" si="25"/>
        <v>376848.72000000003</v>
      </c>
      <c r="T94" s="239">
        <f t="shared" si="26"/>
        <v>422070.48</v>
      </c>
      <c r="U94" s="238">
        <f t="shared" si="27"/>
        <v>798919.2</v>
      </c>
    </row>
    <row r="95" spans="2:21">
      <c r="B95" s="259" t="s">
        <v>472</v>
      </c>
      <c r="C95" s="234">
        <v>54</v>
      </c>
      <c r="D95" s="234"/>
      <c r="E95" s="234"/>
      <c r="F95" s="234"/>
      <c r="G95" s="234"/>
      <c r="H95" s="234"/>
      <c r="I95" s="234"/>
      <c r="J95" s="234"/>
      <c r="K95" s="234">
        <v>403646.94</v>
      </c>
      <c r="M95" s="239">
        <f t="shared" si="19"/>
        <v>0</v>
      </c>
      <c r="N95" s="239">
        <f t="shared" si="20"/>
        <v>0</v>
      </c>
      <c r="O95" s="239">
        <f t="shared" si="21"/>
        <v>0</v>
      </c>
      <c r="P95" s="239">
        <f t="shared" si="22"/>
        <v>0</v>
      </c>
      <c r="Q95" s="239">
        <f t="shared" si="23"/>
        <v>0</v>
      </c>
      <c r="R95" s="239">
        <f t="shared" si="24"/>
        <v>0</v>
      </c>
      <c r="S95" s="239">
        <f t="shared" si="25"/>
        <v>0</v>
      </c>
      <c r="T95" s="239">
        <f t="shared" si="26"/>
        <v>0</v>
      </c>
      <c r="U95" s="238">
        <f t="shared" si="27"/>
        <v>0</v>
      </c>
    </row>
    <row r="96" spans="2:21">
      <c r="B96" s="259" t="s">
        <v>494</v>
      </c>
      <c r="C96" s="234"/>
      <c r="D96" s="234"/>
      <c r="E96" s="234"/>
      <c r="F96" s="234"/>
      <c r="G96" s="234"/>
      <c r="H96" s="234"/>
      <c r="I96" s="234"/>
      <c r="J96" s="234"/>
      <c r="K96" s="234"/>
      <c r="M96" s="239">
        <f t="shared" si="19"/>
        <v>0</v>
      </c>
      <c r="N96" s="239">
        <f t="shared" si="20"/>
        <v>0</v>
      </c>
      <c r="O96" s="239">
        <f t="shared" si="21"/>
        <v>0</v>
      </c>
      <c r="P96" s="239">
        <f t="shared" si="22"/>
        <v>0</v>
      </c>
      <c r="Q96" s="239">
        <f t="shared" si="23"/>
        <v>0</v>
      </c>
      <c r="R96" s="239">
        <f t="shared" si="24"/>
        <v>0</v>
      </c>
      <c r="S96" s="239">
        <f t="shared" si="25"/>
        <v>0</v>
      </c>
      <c r="T96" s="239">
        <f t="shared" si="26"/>
        <v>0</v>
      </c>
      <c r="U96" s="238">
        <f t="shared" si="27"/>
        <v>0</v>
      </c>
    </row>
    <row r="97" spans="2:21">
      <c r="B97" s="259" t="s">
        <v>537</v>
      </c>
      <c r="C97" s="234">
        <v>31</v>
      </c>
      <c r="D97" s="234">
        <v>21.01</v>
      </c>
      <c r="E97" s="234">
        <v>3489.34</v>
      </c>
      <c r="F97" s="234">
        <v>12</v>
      </c>
      <c r="G97" s="234">
        <v>418.72089599999998</v>
      </c>
      <c r="H97" s="234">
        <v>100</v>
      </c>
      <c r="I97" s="234">
        <v>3489.34</v>
      </c>
      <c r="J97" s="234">
        <v>7397.4</v>
      </c>
      <c r="K97" s="234">
        <v>229319.48</v>
      </c>
      <c r="M97" s="239">
        <f t="shared" si="19"/>
        <v>324508.62</v>
      </c>
      <c r="N97" s="239">
        <f t="shared" si="20"/>
        <v>363449.663328</v>
      </c>
      <c r="O97" s="239">
        <f t="shared" si="21"/>
        <v>649017.24</v>
      </c>
      <c r="P97" s="239">
        <f t="shared" si="22"/>
        <v>726899.32665599999</v>
      </c>
      <c r="Q97" s="239">
        <f t="shared" si="23"/>
        <v>973525.8600000001</v>
      </c>
      <c r="R97" s="239">
        <f t="shared" si="24"/>
        <v>1090348.9899840001</v>
      </c>
      <c r="S97" s="239">
        <f t="shared" si="25"/>
        <v>1298034.48</v>
      </c>
      <c r="T97" s="239">
        <f t="shared" si="26"/>
        <v>1453798.653312</v>
      </c>
      <c r="U97" s="238">
        <f t="shared" si="27"/>
        <v>2751833.133312</v>
      </c>
    </row>
    <row r="98" spans="2:21">
      <c r="B98" s="259" t="s">
        <v>538</v>
      </c>
      <c r="C98" s="234">
        <v>1</v>
      </c>
      <c r="D98" s="234">
        <v>21.01</v>
      </c>
      <c r="E98" s="234">
        <v>3489.34</v>
      </c>
      <c r="F98" s="234">
        <v>47</v>
      </c>
      <c r="G98" s="234">
        <v>1639.990176</v>
      </c>
      <c r="H98" s="234">
        <v>100</v>
      </c>
      <c r="I98" s="234">
        <v>3489.34</v>
      </c>
      <c r="J98" s="234">
        <v>8618.67</v>
      </c>
      <c r="K98" s="234">
        <v>8618.67</v>
      </c>
      <c r="M98" s="239">
        <f t="shared" si="19"/>
        <v>10468.02</v>
      </c>
      <c r="N98" s="239">
        <f t="shared" si="20"/>
        <v>15387.990528000002</v>
      </c>
      <c r="O98" s="239">
        <f t="shared" si="21"/>
        <v>20936.04</v>
      </c>
      <c r="P98" s="239">
        <f t="shared" si="22"/>
        <v>30775.981056000004</v>
      </c>
      <c r="Q98" s="239">
        <f t="shared" si="23"/>
        <v>31404.06</v>
      </c>
      <c r="R98" s="239">
        <f t="shared" si="24"/>
        <v>46163.971584000006</v>
      </c>
      <c r="S98" s="239">
        <f t="shared" si="25"/>
        <v>41872.080000000002</v>
      </c>
      <c r="T98" s="239">
        <f t="shared" si="26"/>
        <v>61551.962112000008</v>
      </c>
      <c r="U98" s="238">
        <f t="shared" si="27"/>
        <v>103424.04211200001</v>
      </c>
    </row>
    <row r="99" spans="2:21">
      <c r="B99" s="259" t="s">
        <v>539</v>
      </c>
      <c r="C99" s="234">
        <v>1</v>
      </c>
      <c r="D99" s="234">
        <v>25.21</v>
      </c>
      <c r="E99" s="234">
        <v>4186.88</v>
      </c>
      <c r="F99" s="234">
        <v>67</v>
      </c>
      <c r="G99" s="234">
        <v>2805.2074560000001</v>
      </c>
      <c r="H99" s="234">
        <v>100</v>
      </c>
      <c r="I99" s="234">
        <v>4186.88</v>
      </c>
      <c r="J99" s="234">
        <v>11178.96</v>
      </c>
      <c r="K99" s="234">
        <v>11178.96</v>
      </c>
      <c r="M99" s="239">
        <f t="shared" si="19"/>
        <v>12560.64</v>
      </c>
      <c r="N99" s="239">
        <f t="shared" si="20"/>
        <v>20976.262368</v>
      </c>
      <c r="O99" s="239">
        <f t="shared" si="21"/>
        <v>25121.279999999999</v>
      </c>
      <c r="P99" s="239">
        <f t="shared" si="22"/>
        <v>41952.524735999999</v>
      </c>
      <c r="Q99" s="239">
        <f t="shared" si="23"/>
        <v>37681.919999999998</v>
      </c>
      <c r="R99" s="239">
        <f t="shared" si="24"/>
        <v>62928.787104000003</v>
      </c>
      <c r="S99" s="239">
        <f t="shared" si="25"/>
        <v>50242.559999999998</v>
      </c>
      <c r="T99" s="239">
        <f t="shared" si="26"/>
        <v>83905.049471999999</v>
      </c>
      <c r="U99" s="238">
        <f t="shared" si="27"/>
        <v>134147.60947199998</v>
      </c>
    </row>
    <row r="100" spans="2:21">
      <c r="B100" s="259" t="s">
        <v>540</v>
      </c>
      <c r="C100" s="234">
        <v>1</v>
      </c>
      <c r="D100" s="234">
        <v>22.67</v>
      </c>
      <c r="E100" s="234">
        <v>3765.03</v>
      </c>
      <c r="F100" s="234">
        <v>20</v>
      </c>
      <c r="G100" s="234">
        <v>753.00671999999997</v>
      </c>
      <c r="H100" s="234">
        <v>100</v>
      </c>
      <c r="I100" s="234">
        <v>3765.03</v>
      </c>
      <c r="J100" s="234">
        <v>8283.07</v>
      </c>
      <c r="K100" s="234">
        <v>8283.07</v>
      </c>
      <c r="M100" s="239">
        <f t="shared" si="19"/>
        <v>11295.09</v>
      </c>
      <c r="N100" s="239">
        <f t="shared" si="20"/>
        <v>13554.11016</v>
      </c>
      <c r="O100" s="239">
        <f t="shared" si="21"/>
        <v>22590.18</v>
      </c>
      <c r="P100" s="239">
        <f t="shared" si="22"/>
        <v>27108.22032</v>
      </c>
      <c r="Q100" s="239">
        <f t="shared" si="23"/>
        <v>33885.270000000004</v>
      </c>
      <c r="R100" s="239">
        <f t="shared" si="24"/>
        <v>40662.330480000004</v>
      </c>
      <c r="S100" s="239">
        <f t="shared" si="25"/>
        <v>45180.36</v>
      </c>
      <c r="T100" s="239">
        <f t="shared" si="26"/>
        <v>54216.440640000001</v>
      </c>
      <c r="U100" s="238">
        <f t="shared" si="27"/>
        <v>99396.800640000001</v>
      </c>
    </row>
    <row r="101" spans="2:21">
      <c r="B101" s="259" t="s">
        <v>540</v>
      </c>
      <c r="C101" s="234">
        <v>13</v>
      </c>
      <c r="D101" s="234">
        <v>25.21</v>
      </c>
      <c r="E101" s="234">
        <v>4186.88</v>
      </c>
      <c r="F101" s="234">
        <v>32</v>
      </c>
      <c r="G101" s="234">
        <v>1339.8005760000001</v>
      </c>
      <c r="H101" s="234">
        <v>100</v>
      </c>
      <c r="I101" s="234">
        <v>4186.88</v>
      </c>
      <c r="J101" s="234">
        <v>9713.5499999999993</v>
      </c>
      <c r="K101" s="234">
        <v>126276.2</v>
      </c>
      <c r="M101" s="239">
        <f t="shared" si="19"/>
        <v>163288.32000000001</v>
      </c>
      <c r="N101" s="239">
        <f t="shared" si="20"/>
        <v>215540.54246400006</v>
      </c>
      <c r="O101" s="239">
        <f t="shared" si="21"/>
        <v>326576.64000000001</v>
      </c>
      <c r="P101" s="239">
        <f t="shared" si="22"/>
        <v>431081.08492800011</v>
      </c>
      <c r="Q101" s="239">
        <f t="shared" si="23"/>
        <v>489864.96000000002</v>
      </c>
      <c r="R101" s="239">
        <f t="shared" si="24"/>
        <v>646621.62739200017</v>
      </c>
      <c r="S101" s="239">
        <f t="shared" si="25"/>
        <v>653153.28000000003</v>
      </c>
      <c r="T101" s="239">
        <f t="shared" si="26"/>
        <v>862162.16985600023</v>
      </c>
      <c r="U101" s="238">
        <f t="shared" si="27"/>
        <v>1515315.4498560003</v>
      </c>
    </row>
    <row r="102" spans="2:21">
      <c r="B102" s="259" t="s">
        <v>541</v>
      </c>
      <c r="C102" s="234">
        <v>2</v>
      </c>
      <c r="D102" s="234">
        <v>22.67</v>
      </c>
      <c r="E102" s="234">
        <v>3765.03</v>
      </c>
      <c r="F102" s="234">
        <v>12</v>
      </c>
      <c r="G102" s="234">
        <v>451.80403200000001</v>
      </c>
      <c r="H102" s="234">
        <v>100</v>
      </c>
      <c r="I102" s="234">
        <v>3765.03</v>
      </c>
      <c r="J102" s="234">
        <v>7981.87</v>
      </c>
      <c r="K102" s="234">
        <v>15963.74</v>
      </c>
      <c r="M102" s="239">
        <f t="shared" si="19"/>
        <v>22590.18</v>
      </c>
      <c r="N102" s="239">
        <f t="shared" si="20"/>
        <v>25301.004192000004</v>
      </c>
      <c r="O102" s="239">
        <f t="shared" si="21"/>
        <v>45180.36</v>
      </c>
      <c r="P102" s="239">
        <f t="shared" si="22"/>
        <v>50602.008384000008</v>
      </c>
      <c r="Q102" s="239">
        <f t="shared" si="23"/>
        <v>67770.540000000008</v>
      </c>
      <c r="R102" s="239">
        <f t="shared" si="24"/>
        <v>75903.012576000008</v>
      </c>
      <c r="S102" s="239">
        <f t="shared" si="25"/>
        <v>90360.72</v>
      </c>
      <c r="T102" s="239">
        <f t="shared" si="26"/>
        <v>101204.01676800002</v>
      </c>
      <c r="U102" s="238">
        <f t="shared" si="27"/>
        <v>191564.736768</v>
      </c>
    </row>
    <row r="103" spans="2:21">
      <c r="B103" s="259" t="s">
        <v>541</v>
      </c>
      <c r="C103" s="234">
        <v>12</v>
      </c>
      <c r="D103" s="234">
        <v>25.21</v>
      </c>
      <c r="E103" s="234">
        <v>4186.88</v>
      </c>
      <c r="F103" s="234">
        <v>24</v>
      </c>
      <c r="G103" s="234">
        <v>1004.850432</v>
      </c>
      <c r="H103" s="234">
        <v>100</v>
      </c>
      <c r="I103" s="234">
        <v>4186.88</v>
      </c>
      <c r="J103" s="234">
        <v>9378.6</v>
      </c>
      <c r="K103" s="234">
        <v>112543.25</v>
      </c>
      <c r="M103" s="239">
        <f t="shared" si="19"/>
        <v>150727.67999999999</v>
      </c>
      <c r="N103" s="239">
        <f t="shared" si="20"/>
        <v>186902.295552</v>
      </c>
      <c r="O103" s="239">
        <f t="shared" si="21"/>
        <v>301455.35999999999</v>
      </c>
      <c r="P103" s="239">
        <f t="shared" si="22"/>
        <v>373804.59110399999</v>
      </c>
      <c r="Q103" s="239">
        <f t="shared" si="23"/>
        <v>452183.03999999998</v>
      </c>
      <c r="R103" s="239">
        <f t="shared" si="24"/>
        <v>560706.88665600005</v>
      </c>
      <c r="S103" s="239">
        <f t="shared" si="25"/>
        <v>602910.71999999997</v>
      </c>
      <c r="T103" s="239">
        <f t="shared" si="26"/>
        <v>747609.18220799998</v>
      </c>
      <c r="U103" s="238">
        <f t="shared" si="27"/>
        <v>1350519.902208</v>
      </c>
    </row>
    <row r="104" spans="2:21">
      <c r="B104" s="259" t="s">
        <v>542</v>
      </c>
      <c r="C104" s="234">
        <v>3</v>
      </c>
      <c r="D104" s="234">
        <v>32.15</v>
      </c>
      <c r="E104" s="234">
        <v>5339.47</v>
      </c>
      <c r="F104" s="234">
        <v>28</v>
      </c>
      <c r="G104" s="234">
        <v>1495.05216</v>
      </c>
      <c r="H104" s="234">
        <v>50</v>
      </c>
      <c r="I104" s="234">
        <v>2669.74</v>
      </c>
      <c r="J104" s="234">
        <v>9504.26</v>
      </c>
      <c r="K104" s="234">
        <v>28512.78</v>
      </c>
      <c r="M104" s="239">
        <f t="shared" si="19"/>
        <v>48055.229999999996</v>
      </c>
      <c r="N104" s="239">
        <f t="shared" si="20"/>
        <v>37483.129439999997</v>
      </c>
      <c r="O104" s="239">
        <f t="shared" si="21"/>
        <v>96110.459999999992</v>
      </c>
      <c r="P104" s="239">
        <f t="shared" si="22"/>
        <v>74966.258879999994</v>
      </c>
      <c r="Q104" s="239">
        <f t="shared" si="23"/>
        <v>144165.69</v>
      </c>
      <c r="R104" s="239">
        <f t="shared" si="24"/>
        <v>112449.38832</v>
      </c>
      <c r="S104" s="239">
        <f t="shared" si="25"/>
        <v>192220.91999999998</v>
      </c>
      <c r="T104" s="239">
        <f t="shared" si="26"/>
        <v>149932.51775999999</v>
      </c>
      <c r="U104" s="238">
        <f t="shared" si="27"/>
        <v>342153.43776</v>
      </c>
    </row>
    <row r="105" spans="2:21">
      <c r="B105" s="259" t="s">
        <v>543</v>
      </c>
      <c r="C105" s="234">
        <v>1</v>
      </c>
      <c r="D105" s="234">
        <v>36.770000000000003</v>
      </c>
      <c r="E105" s="234">
        <v>6106.76</v>
      </c>
      <c r="F105" s="234">
        <v>32</v>
      </c>
      <c r="G105" s="234">
        <v>1954.163712</v>
      </c>
      <c r="H105" s="234">
        <v>50</v>
      </c>
      <c r="I105" s="234">
        <v>3053.38</v>
      </c>
      <c r="J105" s="234">
        <v>11114.31</v>
      </c>
      <c r="K105" s="234">
        <v>11114.31</v>
      </c>
      <c r="M105" s="239">
        <f t="shared" si="19"/>
        <v>18320.28</v>
      </c>
      <c r="N105" s="239">
        <f t="shared" si="20"/>
        <v>15022.631136000002</v>
      </c>
      <c r="O105" s="239">
        <f t="shared" si="21"/>
        <v>36640.559999999998</v>
      </c>
      <c r="P105" s="239">
        <f t="shared" si="22"/>
        <v>30045.262272000004</v>
      </c>
      <c r="Q105" s="239">
        <f t="shared" si="23"/>
        <v>54960.840000000004</v>
      </c>
      <c r="R105" s="239">
        <f t="shared" si="24"/>
        <v>45067.893408000004</v>
      </c>
      <c r="S105" s="239">
        <f t="shared" si="25"/>
        <v>73281.119999999995</v>
      </c>
      <c r="T105" s="239">
        <f t="shared" si="26"/>
        <v>60090.524544000007</v>
      </c>
      <c r="U105" s="238">
        <f t="shared" si="27"/>
        <v>133371.64454400001</v>
      </c>
    </row>
    <row r="106" spans="2:21">
      <c r="B106" s="234" t="s">
        <v>472</v>
      </c>
      <c r="C106" s="234">
        <v>65</v>
      </c>
      <c r="D106" s="234"/>
      <c r="E106" s="234"/>
      <c r="F106" s="234"/>
      <c r="G106" s="234"/>
      <c r="H106" s="234"/>
      <c r="I106" s="234"/>
      <c r="J106" s="234"/>
      <c r="K106" s="234">
        <v>551810.47</v>
      </c>
      <c r="M106" s="239">
        <f t="shared" si="19"/>
        <v>0</v>
      </c>
      <c r="N106" s="239">
        <f t="shared" si="20"/>
        <v>0</v>
      </c>
      <c r="O106" s="239">
        <f t="shared" si="21"/>
        <v>0</v>
      </c>
      <c r="P106" s="239">
        <f t="shared" si="22"/>
        <v>0</v>
      </c>
      <c r="Q106" s="239">
        <f t="shared" si="23"/>
        <v>0</v>
      </c>
      <c r="R106" s="239">
        <f t="shared" si="24"/>
        <v>0</v>
      </c>
      <c r="S106" s="239">
        <f t="shared" si="25"/>
        <v>0</v>
      </c>
      <c r="T106" s="239">
        <f t="shared" si="26"/>
        <v>0</v>
      </c>
      <c r="U106" s="238">
        <f t="shared" si="27"/>
        <v>0</v>
      </c>
    </row>
    <row r="107" spans="2:21">
      <c r="B107" s="234" t="s">
        <v>544</v>
      </c>
      <c r="C107" s="234"/>
      <c r="D107" s="234"/>
      <c r="E107" s="234"/>
      <c r="F107" s="234"/>
      <c r="G107" s="234"/>
      <c r="H107" s="234"/>
      <c r="I107" s="234"/>
      <c r="J107" s="234"/>
      <c r="K107" s="234"/>
      <c r="M107" s="239">
        <f t="shared" si="19"/>
        <v>0</v>
      </c>
      <c r="N107" s="239">
        <f t="shared" si="20"/>
        <v>0</v>
      </c>
      <c r="O107" s="239">
        <f t="shared" si="21"/>
        <v>0</v>
      </c>
      <c r="P107" s="239">
        <f t="shared" si="22"/>
        <v>0</v>
      </c>
      <c r="Q107" s="239">
        <f t="shared" si="23"/>
        <v>0</v>
      </c>
      <c r="R107" s="239">
        <f t="shared" si="24"/>
        <v>0</v>
      </c>
      <c r="S107" s="239">
        <f t="shared" si="25"/>
        <v>0</v>
      </c>
      <c r="T107" s="239">
        <f t="shared" si="26"/>
        <v>0</v>
      </c>
      <c r="U107" s="238">
        <f t="shared" si="27"/>
        <v>0</v>
      </c>
    </row>
    <row r="108" spans="2:21">
      <c r="B108" s="234" t="s">
        <v>545</v>
      </c>
      <c r="C108" s="234">
        <v>1</v>
      </c>
      <c r="D108" s="234">
        <v>26.42</v>
      </c>
      <c r="E108" s="234">
        <v>4387.83</v>
      </c>
      <c r="F108" s="234">
        <v>26.7</v>
      </c>
      <c r="G108" s="234">
        <v>1171.55</v>
      </c>
      <c r="H108" s="234">
        <v>90</v>
      </c>
      <c r="I108" s="234">
        <v>3949.05</v>
      </c>
      <c r="J108" s="234">
        <v>9508.44</v>
      </c>
      <c r="K108" s="234">
        <v>9508.44</v>
      </c>
      <c r="M108" s="239">
        <f t="shared" si="19"/>
        <v>13163.49</v>
      </c>
      <c r="N108" s="239">
        <f t="shared" si="20"/>
        <v>15361.800000000001</v>
      </c>
      <c r="O108" s="239">
        <f t="shared" si="21"/>
        <v>26326.98</v>
      </c>
      <c r="P108" s="239">
        <f t="shared" si="22"/>
        <v>30723.600000000002</v>
      </c>
      <c r="Q108" s="239">
        <f t="shared" si="23"/>
        <v>39490.47</v>
      </c>
      <c r="R108" s="239">
        <f t="shared" si="24"/>
        <v>46085.4</v>
      </c>
      <c r="S108" s="239">
        <f t="shared" si="25"/>
        <v>52653.96</v>
      </c>
      <c r="T108" s="239">
        <f t="shared" si="26"/>
        <v>61447.200000000004</v>
      </c>
      <c r="U108" s="238">
        <f t="shared" si="27"/>
        <v>114101.16</v>
      </c>
    </row>
    <row r="109" spans="2:21">
      <c r="B109" s="234" t="s">
        <v>546</v>
      </c>
      <c r="C109" s="234">
        <v>2</v>
      </c>
      <c r="D109" s="234">
        <v>27.69</v>
      </c>
      <c r="E109" s="234">
        <v>4598.76</v>
      </c>
      <c r="F109" s="234">
        <v>26.7</v>
      </c>
      <c r="G109" s="234">
        <v>1227.8699999999999</v>
      </c>
      <c r="H109" s="234">
        <v>90</v>
      </c>
      <c r="I109" s="234">
        <v>4138.88</v>
      </c>
      <c r="J109" s="234">
        <v>9965.5</v>
      </c>
      <c r="K109" s="234">
        <v>19931.009999999998</v>
      </c>
      <c r="M109" s="239">
        <f t="shared" si="19"/>
        <v>27592.560000000001</v>
      </c>
      <c r="N109" s="239">
        <f t="shared" si="20"/>
        <v>32200.5</v>
      </c>
      <c r="O109" s="239">
        <f t="shared" si="21"/>
        <v>55185.120000000003</v>
      </c>
      <c r="P109" s="239">
        <f t="shared" si="22"/>
        <v>64401</v>
      </c>
      <c r="Q109" s="239">
        <f t="shared" si="23"/>
        <v>82777.680000000008</v>
      </c>
      <c r="R109" s="239">
        <f t="shared" si="24"/>
        <v>96601.5</v>
      </c>
      <c r="S109" s="239">
        <f t="shared" si="25"/>
        <v>110370.24000000001</v>
      </c>
      <c r="T109" s="239">
        <f t="shared" si="26"/>
        <v>128802</v>
      </c>
      <c r="U109" s="238">
        <f t="shared" si="27"/>
        <v>239172.24</v>
      </c>
    </row>
    <row r="110" spans="2:21">
      <c r="B110" s="234" t="s">
        <v>547</v>
      </c>
      <c r="C110" s="234">
        <v>4</v>
      </c>
      <c r="D110" s="234">
        <v>32.94</v>
      </c>
      <c r="E110" s="234">
        <v>5470.68</v>
      </c>
      <c r="F110" s="234">
        <v>36.700000000000003</v>
      </c>
      <c r="G110" s="234">
        <v>2007.74</v>
      </c>
      <c r="H110" s="234">
        <v>90</v>
      </c>
      <c r="I110" s="234">
        <v>4923.6099999999997</v>
      </c>
      <c r="J110" s="234">
        <v>12402.02</v>
      </c>
      <c r="K110" s="234">
        <v>49608.08</v>
      </c>
      <c r="M110" s="239">
        <f t="shared" si="19"/>
        <v>65648.160000000003</v>
      </c>
      <c r="N110" s="239">
        <f t="shared" si="20"/>
        <v>83176.2</v>
      </c>
      <c r="O110" s="239">
        <f t="shared" si="21"/>
        <v>131296.32000000001</v>
      </c>
      <c r="P110" s="239">
        <f t="shared" si="22"/>
        <v>166352.4</v>
      </c>
      <c r="Q110" s="239">
        <f t="shared" si="23"/>
        <v>196944.48</v>
      </c>
      <c r="R110" s="239">
        <f t="shared" si="24"/>
        <v>249528.59999999998</v>
      </c>
      <c r="S110" s="239">
        <f t="shared" si="25"/>
        <v>262592.64000000001</v>
      </c>
      <c r="T110" s="239">
        <f t="shared" si="26"/>
        <v>332704.8</v>
      </c>
      <c r="U110" s="238">
        <f t="shared" si="27"/>
        <v>595297.43999999994</v>
      </c>
    </row>
    <row r="111" spans="2:21">
      <c r="B111" s="234" t="s">
        <v>548</v>
      </c>
      <c r="C111" s="234">
        <v>1</v>
      </c>
      <c r="D111" s="234">
        <v>32.94</v>
      </c>
      <c r="E111" s="234">
        <v>5470.68</v>
      </c>
      <c r="F111" s="234">
        <v>26.7</v>
      </c>
      <c r="G111" s="234">
        <v>1460.67</v>
      </c>
      <c r="H111" s="234">
        <v>90</v>
      </c>
      <c r="I111" s="234">
        <v>4923.6099999999997</v>
      </c>
      <c r="J111" s="234">
        <v>11854.95</v>
      </c>
      <c r="K111" s="234">
        <v>11854.95</v>
      </c>
      <c r="M111" s="239">
        <f t="shared" si="19"/>
        <v>16412.04</v>
      </c>
      <c r="N111" s="239">
        <f t="shared" si="20"/>
        <v>19152.84</v>
      </c>
      <c r="O111" s="239">
        <f t="shared" si="21"/>
        <v>32824.080000000002</v>
      </c>
      <c r="P111" s="239">
        <f t="shared" si="22"/>
        <v>38305.68</v>
      </c>
      <c r="Q111" s="239">
        <f t="shared" si="23"/>
        <v>49236.12</v>
      </c>
      <c r="R111" s="239">
        <f t="shared" si="24"/>
        <v>57458.52</v>
      </c>
      <c r="S111" s="239">
        <f t="shared" si="25"/>
        <v>65648.160000000003</v>
      </c>
      <c r="T111" s="239">
        <f t="shared" si="26"/>
        <v>76611.360000000001</v>
      </c>
      <c r="U111" s="238">
        <f t="shared" si="27"/>
        <v>142259.52000000002</v>
      </c>
    </row>
    <row r="112" spans="2:21">
      <c r="B112" s="234" t="s">
        <v>549</v>
      </c>
      <c r="C112" s="234">
        <v>8</v>
      </c>
      <c r="D112" s="234">
        <v>27.69</v>
      </c>
      <c r="E112" s="234">
        <v>4598.76</v>
      </c>
      <c r="F112" s="234">
        <v>36.700000000000003</v>
      </c>
      <c r="G112" s="234">
        <v>1687.74</v>
      </c>
      <c r="H112" s="234">
        <v>90</v>
      </c>
      <c r="I112" s="234">
        <v>4138.88</v>
      </c>
      <c r="J112" s="234">
        <v>10425.379999999999</v>
      </c>
      <c r="K112" s="234">
        <v>83403.02</v>
      </c>
      <c r="M112" s="239">
        <f t="shared" si="19"/>
        <v>110370.24000000001</v>
      </c>
      <c r="N112" s="239">
        <f t="shared" si="20"/>
        <v>139838.88</v>
      </c>
      <c r="O112" s="239">
        <f t="shared" si="21"/>
        <v>220740.48000000001</v>
      </c>
      <c r="P112" s="239">
        <f t="shared" si="22"/>
        <v>279677.76</v>
      </c>
      <c r="Q112" s="239">
        <f t="shared" si="23"/>
        <v>331110.72000000003</v>
      </c>
      <c r="R112" s="239">
        <f t="shared" si="24"/>
        <v>419516.64</v>
      </c>
      <c r="S112" s="239">
        <f t="shared" si="25"/>
        <v>441480.96000000002</v>
      </c>
      <c r="T112" s="239">
        <f t="shared" si="26"/>
        <v>559355.52</v>
      </c>
      <c r="U112" s="238">
        <f t="shared" si="27"/>
        <v>1000836.48</v>
      </c>
    </row>
    <row r="113" spans="2:21">
      <c r="B113" s="234" t="s">
        <v>550</v>
      </c>
      <c r="C113" s="234">
        <v>4</v>
      </c>
      <c r="D113" s="234">
        <v>29.92</v>
      </c>
      <c r="E113" s="234">
        <v>4969.1099999999997</v>
      </c>
      <c r="F113" s="234">
        <v>36.700000000000003</v>
      </c>
      <c r="G113" s="234">
        <v>1823.66</v>
      </c>
      <c r="H113" s="234">
        <v>90</v>
      </c>
      <c r="I113" s="234">
        <v>4472.2</v>
      </c>
      <c r="J113" s="234">
        <v>11264.98</v>
      </c>
      <c r="K113" s="234">
        <v>45059.92</v>
      </c>
      <c r="M113" s="239">
        <f t="shared" si="19"/>
        <v>59629.319999999992</v>
      </c>
      <c r="N113" s="239">
        <f t="shared" si="20"/>
        <v>75550.319999999992</v>
      </c>
      <c r="O113" s="239">
        <f t="shared" si="21"/>
        <v>119258.63999999998</v>
      </c>
      <c r="P113" s="239">
        <f t="shared" si="22"/>
        <v>151100.63999999998</v>
      </c>
      <c r="Q113" s="239">
        <f t="shared" si="23"/>
        <v>178887.96</v>
      </c>
      <c r="R113" s="239">
        <f t="shared" si="24"/>
        <v>226650.96</v>
      </c>
      <c r="S113" s="239">
        <f t="shared" si="25"/>
        <v>238517.27999999997</v>
      </c>
      <c r="T113" s="239">
        <f t="shared" si="26"/>
        <v>302201.27999999997</v>
      </c>
      <c r="U113" s="238">
        <f t="shared" si="27"/>
        <v>540718.55999999994</v>
      </c>
    </row>
    <row r="114" spans="2:21">
      <c r="B114" s="234" t="s">
        <v>551</v>
      </c>
      <c r="C114" s="234">
        <v>4</v>
      </c>
      <c r="D114" s="234">
        <v>29.92</v>
      </c>
      <c r="E114" s="234">
        <v>4969.1099999999997</v>
      </c>
      <c r="F114" s="234">
        <v>26.7</v>
      </c>
      <c r="G114" s="234">
        <v>1326.75</v>
      </c>
      <c r="H114" s="234">
        <v>90</v>
      </c>
      <c r="I114" s="234">
        <v>4472.2</v>
      </c>
      <c r="J114" s="234">
        <v>10768.07</v>
      </c>
      <c r="K114" s="234">
        <v>43072.28</v>
      </c>
      <c r="M114" s="239">
        <f t="shared" si="19"/>
        <v>59629.319999999992</v>
      </c>
      <c r="N114" s="239">
        <f t="shared" si="20"/>
        <v>69587.399999999994</v>
      </c>
      <c r="O114" s="239">
        <f t="shared" si="21"/>
        <v>119258.63999999998</v>
      </c>
      <c r="P114" s="239">
        <f t="shared" si="22"/>
        <v>139174.79999999999</v>
      </c>
      <c r="Q114" s="239">
        <f t="shared" si="23"/>
        <v>178887.96</v>
      </c>
      <c r="R114" s="239">
        <f t="shared" si="24"/>
        <v>208762.19999999998</v>
      </c>
      <c r="S114" s="239">
        <f t="shared" si="25"/>
        <v>238517.27999999997</v>
      </c>
      <c r="T114" s="239">
        <f t="shared" si="26"/>
        <v>278349.59999999998</v>
      </c>
      <c r="U114" s="238">
        <f t="shared" si="27"/>
        <v>516866.87999999995</v>
      </c>
    </row>
    <row r="115" spans="2:21">
      <c r="B115" s="234" t="s">
        <v>552</v>
      </c>
      <c r="C115" s="234">
        <v>4</v>
      </c>
      <c r="D115" s="234">
        <v>26.42</v>
      </c>
      <c r="E115" s="234">
        <v>4387.83</v>
      </c>
      <c r="F115" s="234">
        <v>29.7</v>
      </c>
      <c r="G115" s="234">
        <v>1303.19</v>
      </c>
      <c r="H115" s="234">
        <v>90</v>
      </c>
      <c r="I115" s="234">
        <v>3949.05</v>
      </c>
      <c r="J115" s="234">
        <v>9640.07</v>
      </c>
      <c r="K115" s="234">
        <v>38560.28</v>
      </c>
      <c r="M115" s="239">
        <f t="shared" si="19"/>
        <v>52653.96</v>
      </c>
      <c r="N115" s="239">
        <f t="shared" si="20"/>
        <v>63026.879999999997</v>
      </c>
      <c r="O115" s="239">
        <f t="shared" si="21"/>
        <v>105307.92</v>
      </c>
      <c r="P115" s="239">
        <f t="shared" si="22"/>
        <v>126053.75999999999</v>
      </c>
      <c r="Q115" s="239">
        <f t="shared" si="23"/>
        <v>157961.88</v>
      </c>
      <c r="R115" s="239">
        <f t="shared" si="24"/>
        <v>189080.63999999998</v>
      </c>
      <c r="S115" s="239">
        <f t="shared" si="25"/>
        <v>210615.84</v>
      </c>
      <c r="T115" s="239">
        <f t="shared" si="26"/>
        <v>252107.51999999999</v>
      </c>
      <c r="U115" s="238">
        <f t="shared" si="27"/>
        <v>462723.36</v>
      </c>
    </row>
    <row r="116" spans="2:21">
      <c r="B116" s="234" t="s">
        <v>553</v>
      </c>
      <c r="C116" s="234">
        <v>4</v>
      </c>
      <c r="D116" s="234">
        <v>29.92</v>
      </c>
      <c r="E116" s="234">
        <v>4969.1099999999997</v>
      </c>
      <c r="F116" s="234">
        <v>26.7</v>
      </c>
      <c r="G116" s="234">
        <v>1326.75</v>
      </c>
      <c r="H116" s="234">
        <v>90</v>
      </c>
      <c r="I116" s="234">
        <v>4472.2</v>
      </c>
      <c r="J116" s="234">
        <v>10768.07</v>
      </c>
      <c r="K116" s="234">
        <v>43072.28</v>
      </c>
      <c r="M116" s="239">
        <f t="shared" si="19"/>
        <v>59629.319999999992</v>
      </c>
      <c r="N116" s="239">
        <f t="shared" si="20"/>
        <v>69587.399999999994</v>
      </c>
      <c r="O116" s="239">
        <f t="shared" si="21"/>
        <v>119258.63999999998</v>
      </c>
      <c r="P116" s="239">
        <f t="shared" si="22"/>
        <v>139174.79999999999</v>
      </c>
      <c r="Q116" s="239">
        <f t="shared" si="23"/>
        <v>178887.96</v>
      </c>
      <c r="R116" s="239">
        <f t="shared" si="24"/>
        <v>208762.19999999998</v>
      </c>
      <c r="S116" s="239">
        <f t="shared" si="25"/>
        <v>238517.27999999997</v>
      </c>
      <c r="T116" s="239">
        <f t="shared" si="26"/>
        <v>278349.59999999998</v>
      </c>
      <c r="U116" s="238">
        <f t="shared" si="27"/>
        <v>516866.87999999995</v>
      </c>
    </row>
    <row r="117" spans="2:21">
      <c r="B117" s="234" t="s">
        <v>554</v>
      </c>
      <c r="C117" s="234">
        <v>18</v>
      </c>
      <c r="D117" s="234">
        <v>29.92</v>
      </c>
      <c r="E117" s="234">
        <v>4969.1099999999997</v>
      </c>
      <c r="F117" s="234">
        <v>26.7</v>
      </c>
      <c r="G117" s="234">
        <v>1326.75</v>
      </c>
      <c r="H117" s="234">
        <v>90</v>
      </c>
      <c r="I117" s="234">
        <v>4472.2</v>
      </c>
      <c r="J117" s="234">
        <v>10768.07</v>
      </c>
      <c r="K117" s="234">
        <v>193825.25</v>
      </c>
      <c r="M117" s="239">
        <f t="shared" si="19"/>
        <v>268331.93999999994</v>
      </c>
      <c r="N117" s="239">
        <f t="shared" si="20"/>
        <v>313143.3</v>
      </c>
      <c r="O117" s="239">
        <f t="shared" si="21"/>
        <v>536663.88</v>
      </c>
      <c r="P117" s="239">
        <f t="shared" si="22"/>
        <v>626286.6</v>
      </c>
      <c r="Q117" s="239">
        <f t="shared" si="23"/>
        <v>804995.82</v>
      </c>
      <c r="R117" s="239">
        <f t="shared" si="24"/>
        <v>939429.89999999991</v>
      </c>
      <c r="S117" s="239">
        <f t="shared" si="25"/>
        <v>1073327.76</v>
      </c>
      <c r="T117" s="239">
        <f t="shared" si="26"/>
        <v>1252573.2</v>
      </c>
      <c r="U117" s="238">
        <f t="shared" si="27"/>
        <v>2325900.96</v>
      </c>
    </row>
    <row r="118" spans="2:21">
      <c r="B118" s="234" t="s">
        <v>555</v>
      </c>
      <c r="C118" s="234">
        <v>4</v>
      </c>
      <c r="D118" s="234">
        <v>24.19</v>
      </c>
      <c r="E118" s="234">
        <v>4017.48</v>
      </c>
      <c r="F118" s="234">
        <v>26.7</v>
      </c>
      <c r="G118" s="234">
        <v>1072.67</v>
      </c>
      <c r="H118" s="234">
        <v>90</v>
      </c>
      <c r="I118" s="234">
        <v>3615.73</v>
      </c>
      <c r="J118" s="234">
        <v>8705.8700000000008</v>
      </c>
      <c r="K118" s="234">
        <v>34823.480000000003</v>
      </c>
      <c r="M118" s="239">
        <f t="shared" si="19"/>
        <v>48209.760000000002</v>
      </c>
      <c r="N118" s="239">
        <f t="shared" si="20"/>
        <v>56260.799999999996</v>
      </c>
      <c r="O118" s="239">
        <f t="shared" si="21"/>
        <v>96419.520000000004</v>
      </c>
      <c r="P118" s="239">
        <f t="shared" si="22"/>
        <v>112521.59999999999</v>
      </c>
      <c r="Q118" s="239">
        <f t="shared" si="23"/>
        <v>144629.28</v>
      </c>
      <c r="R118" s="239">
        <f t="shared" si="24"/>
        <v>168782.4</v>
      </c>
      <c r="S118" s="239">
        <f t="shared" si="25"/>
        <v>192839.04000000001</v>
      </c>
      <c r="T118" s="239">
        <f t="shared" si="26"/>
        <v>225043.19999999998</v>
      </c>
      <c r="U118" s="238">
        <f t="shared" si="27"/>
        <v>417882.24</v>
      </c>
    </row>
    <row r="119" spans="2:21">
      <c r="B119" s="234" t="s">
        <v>556</v>
      </c>
      <c r="C119" s="234">
        <v>12</v>
      </c>
      <c r="D119" s="234">
        <v>32.94</v>
      </c>
      <c r="E119" s="234">
        <v>5470.68</v>
      </c>
      <c r="F119" s="234">
        <v>26.7</v>
      </c>
      <c r="G119" s="234">
        <v>1460.67</v>
      </c>
      <c r="H119" s="234">
        <v>90</v>
      </c>
      <c r="I119" s="234">
        <v>4923.6099999999997</v>
      </c>
      <c r="J119" s="234">
        <v>11854.95</v>
      </c>
      <c r="K119" s="234">
        <v>142259.44</v>
      </c>
      <c r="M119" s="239">
        <f t="shared" si="19"/>
        <v>196944.48</v>
      </c>
      <c r="N119" s="239">
        <f t="shared" si="20"/>
        <v>229834.08000000002</v>
      </c>
      <c r="O119" s="239">
        <f t="shared" si="21"/>
        <v>393888.96</v>
      </c>
      <c r="P119" s="239">
        <f t="shared" si="22"/>
        <v>459668.16000000003</v>
      </c>
      <c r="Q119" s="239">
        <f t="shared" si="23"/>
        <v>590833.44000000006</v>
      </c>
      <c r="R119" s="239">
        <f t="shared" si="24"/>
        <v>689502.24</v>
      </c>
      <c r="S119" s="239">
        <f t="shared" si="25"/>
        <v>787777.92</v>
      </c>
      <c r="T119" s="239">
        <f t="shared" si="26"/>
        <v>919336.32000000007</v>
      </c>
      <c r="U119" s="238">
        <f t="shared" si="27"/>
        <v>1707114.2400000002</v>
      </c>
    </row>
    <row r="120" spans="2:21">
      <c r="B120" s="234" t="s">
        <v>557</v>
      </c>
      <c r="C120" s="234">
        <v>2</v>
      </c>
      <c r="D120" s="234">
        <v>25.3</v>
      </c>
      <c r="E120" s="234">
        <v>4201.82</v>
      </c>
      <c r="F120" s="234">
        <v>26.7</v>
      </c>
      <c r="G120" s="234">
        <v>1764.77</v>
      </c>
      <c r="H120" s="234">
        <v>90</v>
      </c>
      <c r="I120" s="234">
        <v>3781.64</v>
      </c>
      <c r="J120" s="234">
        <v>9748.23</v>
      </c>
      <c r="K120" s="234">
        <v>19496.46</v>
      </c>
      <c r="M120" s="239">
        <f t="shared" si="19"/>
        <v>25210.92</v>
      </c>
      <c r="N120" s="239">
        <f t="shared" si="20"/>
        <v>33278.46</v>
      </c>
      <c r="O120" s="239">
        <f t="shared" si="21"/>
        <v>50421.84</v>
      </c>
      <c r="P120" s="239">
        <f t="shared" si="22"/>
        <v>66556.92</v>
      </c>
      <c r="Q120" s="239">
        <f t="shared" si="23"/>
        <v>75632.759999999995</v>
      </c>
      <c r="R120" s="239">
        <f t="shared" si="24"/>
        <v>99835.38</v>
      </c>
      <c r="S120" s="239">
        <f t="shared" si="25"/>
        <v>100843.68</v>
      </c>
      <c r="T120" s="239">
        <f t="shared" si="26"/>
        <v>133113.84</v>
      </c>
      <c r="U120" s="238">
        <f t="shared" si="27"/>
        <v>233957.52</v>
      </c>
    </row>
    <row r="121" spans="2:21">
      <c r="B121" s="234" t="s">
        <v>558</v>
      </c>
      <c r="C121" s="234">
        <v>1</v>
      </c>
      <c r="D121" s="234">
        <v>26.42</v>
      </c>
      <c r="E121" s="234">
        <v>4387.83</v>
      </c>
      <c r="F121" s="234">
        <v>42</v>
      </c>
      <c r="G121" s="234">
        <v>1842.89</v>
      </c>
      <c r="H121" s="234">
        <v>90</v>
      </c>
      <c r="I121" s="234">
        <v>3949.05</v>
      </c>
      <c r="J121" s="234">
        <v>10179.77</v>
      </c>
      <c r="K121" s="234">
        <v>10179.77</v>
      </c>
      <c r="M121" s="239">
        <f t="shared" si="19"/>
        <v>13163.49</v>
      </c>
      <c r="N121" s="239">
        <f t="shared" si="20"/>
        <v>17375.82</v>
      </c>
      <c r="O121" s="239">
        <f t="shared" si="21"/>
        <v>26326.98</v>
      </c>
      <c r="P121" s="239">
        <f t="shared" si="22"/>
        <v>34751.64</v>
      </c>
      <c r="Q121" s="239">
        <f t="shared" si="23"/>
        <v>39490.47</v>
      </c>
      <c r="R121" s="239">
        <f t="shared" si="24"/>
        <v>52127.460000000006</v>
      </c>
      <c r="S121" s="239">
        <f t="shared" si="25"/>
        <v>52653.96</v>
      </c>
      <c r="T121" s="239">
        <f t="shared" si="26"/>
        <v>69503.28</v>
      </c>
      <c r="U121" s="238">
        <f t="shared" si="27"/>
        <v>122157.23999999999</v>
      </c>
    </row>
    <row r="122" spans="2:21">
      <c r="B122" s="234" t="s">
        <v>559</v>
      </c>
      <c r="C122" s="234">
        <v>1</v>
      </c>
      <c r="D122" s="234">
        <v>27.69</v>
      </c>
      <c r="E122" s="234">
        <v>4598.76</v>
      </c>
      <c r="F122" s="234">
        <v>42</v>
      </c>
      <c r="G122" s="234">
        <v>1931.48</v>
      </c>
      <c r="H122" s="234">
        <v>90</v>
      </c>
      <c r="I122" s="234">
        <v>4138.88</v>
      </c>
      <c r="J122" s="234">
        <v>10669.11</v>
      </c>
      <c r="K122" s="234">
        <v>10669.11</v>
      </c>
      <c r="M122" s="239">
        <f t="shared" si="19"/>
        <v>13796.28</v>
      </c>
      <c r="N122" s="239">
        <f t="shared" si="20"/>
        <v>18211.080000000002</v>
      </c>
      <c r="O122" s="239">
        <f t="shared" si="21"/>
        <v>27592.560000000001</v>
      </c>
      <c r="P122" s="239">
        <f t="shared" si="22"/>
        <v>36422.160000000003</v>
      </c>
      <c r="Q122" s="239">
        <f t="shared" si="23"/>
        <v>41388.840000000004</v>
      </c>
      <c r="R122" s="239">
        <f t="shared" si="24"/>
        <v>54633.240000000005</v>
      </c>
      <c r="S122" s="239">
        <f t="shared" si="25"/>
        <v>55185.120000000003</v>
      </c>
      <c r="T122" s="239">
        <f t="shared" si="26"/>
        <v>72844.320000000007</v>
      </c>
      <c r="U122" s="238">
        <f t="shared" si="27"/>
        <v>128029.44</v>
      </c>
    </row>
    <row r="123" spans="2:21">
      <c r="B123" s="234" t="s">
        <v>560</v>
      </c>
      <c r="C123" s="234">
        <v>1</v>
      </c>
      <c r="D123" s="234">
        <v>27.69</v>
      </c>
      <c r="E123" s="234">
        <v>4598.76</v>
      </c>
      <c r="F123" s="234">
        <v>42</v>
      </c>
      <c r="G123" s="234">
        <v>1931.48</v>
      </c>
      <c r="H123" s="234">
        <v>90</v>
      </c>
      <c r="I123" s="234">
        <v>4138.88</v>
      </c>
      <c r="J123" s="234">
        <v>10669.11</v>
      </c>
      <c r="K123" s="234">
        <v>10669.11</v>
      </c>
      <c r="M123" s="239">
        <f t="shared" si="19"/>
        <v>13796.28</v>
      </c>
      <c r="N123" s="239">
        <f t="shared" si="20"/>
        <v>18211.080000000002</v>
      </c>
      <c r="O123" s="239">
        <f t="shared" si="21"/>
        <v>27592.560000000001</v>
      </c>
      <c r="P123" s="239">
        <f t="shared" si="22"/>
        <v>36422.160000000003</v>
      </c>
      <c r="Q123" s="239">
        <f t="shared" si="23"/>
        <v>41388.840000000004</v>
      </c>
      <c r="R123" s="239">
        <f t="shared" si="24"/>
        <v>54633.240000000005</v>
      </c>
      <c r="S123" s="239">
        <f t="shared" si="25"/>
        <v>55185.120000000003</v>
      </c>
      <c r="T123" s="239">
        <f t="shared" si="26"/>
        <v>72844.320000000007</v>
      </c>
      <c r="U123" s="238">
        <f t="shared" si="27"/>
        <v>128029.44</v>
      </c>
    </row>
    <row r="124" spans="2:21">
      <c r="B124" s="234" t="s">
        <v>561</v>
      </c>
      <c r="C124" s="234">
        <v>3</v>
      </c>
      <c r="D124" s="234">
        <v>26.42</v>
      </c>
      <c r="E124" s="234">
        <v>4387.83</v>
      </c>
      <c r="F124" s="234">
        <v>17</v>
      </c>
      <c r="G124" s="234">
        <v>745.93</v>
      </c>
      <c r="H124" s="234">
        <v>90</v>
      </c>
      <c r="I124" s="234">
        <v>3949.05</v>
      </c>
      <c r="J124" s="234">
        <v>9082.82</v>
      </c>
      <c r="K124" s="234">
        <v>27248.45</v>
      </c>
      <c r="M124" s="239">
        <f t="shared" si="19"/>
        <v>39490.47</v>
      </c>
      <c r="N124" s="239">
        <f t="shared" si="20"/>
        <v>42254.820000000007</v>
      </c>
      <c r="O124" s="239">
        <f t="shared" si="21"/>
        <v>78980.94</v>
      </c>
      <c r="P124" s="239">
        <f t="shared" si="22"/>
        <v>84509.640000000014</v>
      </c>
      <c r="Q124" s="239">
        <f t="shared" si="23"/>
        <v>118471.41</v>
      </c>
      <c r="R124" s="239">
        <f t="shared" si="24"/>
        <v>126764.46000000002</v>
      </c>
      <c r="S124" s="239">
        <f t="shared" si="25"/>
        <v>157961.88</v>
      </c>
      <c r="T124" s="239">
        <f t="shared" si="26"/>
        <v>169019.28000000003</v>
      </c>
      <c r="U124" s="238">
        <f t="shared" si="27"/>
        <v>326981.16000000003</v>
      </c>
    </row>
    <row r="125" spans="2:21">
      <c r="B125" s="234" t="s">
        <v>562</v>
      </c>
      <c r="C125" s="234">
        <v>4</v>
      </c>
      <c r="D125" s="234">
        <v>25.3</v>
      </c>
      <c r="E125" s="234">
        <v>4201.82</v>
      </c>
      <c r="F125" s="234">
        <v>52</v>
      </c>
      <c r="G125" s="234">
        <v>2184.9499999999998</v>
      </c>
      <c r="H125" s="234">
        <v>90</v>
      </c>
      <c r="I125" s="234">
        <v>3781.64</v>
      </c>
      <c r="J125" s="234">
        <v>10168.41</v>
      </c>
      <c r="K125" s="234">
        <v>40673.660000000003</v>
      </c>
      <c r="M125" s="239">
        <f t="shared" si="19"/>
        <v>50421.84</v>
      </c>
      <c r="N125" s="239">
        <f t="shared" si="20"/>
        <v>71599.08</v>
      </c>
      <c r="O125" s="239">
        <f t="shared" si="21"/>
        <v>100843.68</v>
      </c>
      <c r="P125" s="239">
        <f t="shared" si="22"/>
        <v>143198.16</v>
      </c>
      <c r="Q125" s="239">
        <f t="shared" si="23"/>
        <v>151265.51999999999</v>
      </c>
      <c r="R125" s="239">
        <f t="shared" si="24"/>
        <v>214797.24</v>
      </c>
      <c r="S125" s="239">
        <f t="shared" si="25"/>
        <v>201687.36</v>
      </c>
      <c r="T125" s="239">
        <f t="shared" si="26"/>
        <v>286396.32</v>
      </c>
      <c r="U125" s="238">
        <f t="shared" si="27"/>
        <v>488083.68</v>
      </c>
    </row>
    <row r="126" spans="2:21">
      <c r="B126" s="234" t="s">
        <v>563</v>
      </c>
      <c r="C126" s="234">
        <v>8</v>
      </c>
      <c r="D126" s="234">
        <v>29.92</v>
      </c>
      <c r="E126" s="234">
        <v>4969.1099999999997</v>
      </c>
      <c r="F126" s="234">
        <v>12</v>
      </c>
      <c r="G126" s="234">
        <v>596.29</v>
      </c>
      <c r="H126" s="234">
        <v>90</v>
      </c>
      <c r="I126" s="234">
        <v>4472.2</v>
      </c>
      <c r="J126" s="234">
        <v>10037.61</v>
      </c>
      <c r="K126" s="234">
        <v>80300.88</v>
      </c>
      <c r="M126" s="239">
        <f t="shared" si="19"/>
        <v>119258.63999999998</v>
      </c>
      <c r="N126" s="239">
        <f t="shared" si="20"/>
        <v>121643.76</v>
      </c>
      <c r="O126" s="239">
        <f t="shared" si="21"/>
        <v>238517.27999999997</v>
      </c>
      <c r="P126" s="239">
        <f t="shared" si="22"/>
        <v>243287.52</v>
      </c>
      <c r="Q126" s="239">
        <f t="shared" si="23"/>
        <v>357775.92</v>
      </c>
      <c r="R126" s="239">
        <f t="shared" si="24"/>
        <v>364931.27999999997</v>
      </c>
      <c r="S126" s="239">
        <f t="shared" si="25"/>
        <v>477034.55999999994</v>
      </c>
      <c r="T126" s="239">
        <f t="shared" si="26"/>
        <v>486575.04</v>
      </c>
      <c r="U126" s="238">
        <f t="shared" si="27"/>
        <v>963609.59999999986</v>
      </c>
    </row>
    <row r="127" spans="2:21">
      <c r="B127" s="234" t="s">
        <v>564</v>
      </c>
      <c r="C127" s="234">
        <v>1</v>
      </c>
      <c r="D127" s="234">
        <v>29.92</v>
      </c>
      <c r="E127" s="234">
        <v>4969.1099999999997</v>
      </c>
      <c r="F127" s="234">
        <v>12</v>
      </c>
      <c r="G127" s="234">
        <v>596.29</v>
      </c>
      <c r="H127" s="234">
        <v>90</v>
      </c>
      <c r="I127" s="234">
        <v>4472.2</v>
      </c>
      <c r="J127" s="234">
        <v>10037.61</v>
      </c>
      <c r="K127" s="234">
        <v>10037.61</v>
      </c>
      <c r="M127" s="239">
        <f t="shared" si="19"/>
        <v>14907.329999999998</v>
      </c>
      <c r="N127" s="239">
        <f t="shared" si="20"/>
        <v>15205.47</v>
      </c>
      <c r="O127" s="239">
        <f t="shared" si="21"/>
        <v>29814.659999999996</v>
      </c>
      <c r="P127" s="239">
        <f t="shared" si="22"/>
        <v>30410.94</v>
      </c>
      <c r="Q127" s="239">
        <f t="shared" si="23"/>
        <v>44721.99</v>
      </c>
      <c r="R127" s="239">
        <f t="shared" si="24"/>
        <v>45616.409999999996</v>
      </c>
      <c r="S127" s="239">
        <f t="shared" si="25"/>
        <v>59629.319999999992</v>
      </c>
      <c r="T127" s="239">
        <f t="shared" si="26"/>
        <v>60821.88</v>
      </c>
      <c r="U127" s="238">
        <f t="shared" si="27"/>
        <v>120451.19999999998</v>
      </c>
    </row>
    <row r="128" spans="2:21">
      <c r="B128" s="234" t="s">
        <v>565</v>
      </c>
      <c r="C128" s="234">
        <v>1</v>
      </c>
      <c r="D128" s="234">
        <v>23.55</v>
      </c>
      <c r="E128" s="234">
        <v>3911.18</v>
      </c>
      <c r="F128" s="234">
        <v>12</v>
      </c>
      <c r="G128" s="234">
        <v>469.34</v>
      </c>
      <c r="H128" s="234">
        <v>90</v>
      </c>
      <c r="I128" s="234">
        <v>3520.07</v>
      </c>
      <c r="J128" s="234">
        <v>7900.59</v>
      </c>
      <c r="K128" s="234">
        <v>7900.59</v>
      </c>
      <c r="M128" s="239">
        <f t="shared" si="19"/>
        <v>11733.539999999999</v>
      </c>
      <c r="N128" s="239">
        <f t="shared" si="20"/>
        <v>11968.230000000001</v>
      </c>
      <c r="O128" s="239">
        <f t="shared" si="21"/>
        <v>23467.079999999998</v>
      </c>
      <c r="P128" s="239">
        <f t="shared" si="22"/>
        <v>23936.460000000003</v>
      </c>
      <c r="Q128" s="239">
        <f t="shared" si="23"/>
        <v>35200.619999999995</v>
      </c>
      <c r="R128" s="239">
        <f t="shared" si="24"/>
        <v>35904.69</v>
      </c>
      <c r="S128" s="239">
        <f t="shared" si="25"/>
        <v>46934.159999999996</v>
      </c>
      <c r="T128" s="239">
        <f t="shared" si="26"/>
        <v>47872.920000000006</v>
      </c>
      <c r="U128" s="238">
        <f t="shared" si="27"/>
        <v>94807.08</v>
      </c>
    </row>
    <row r="129" spans="2:21">
      <c r="B129" s="234" t="s">
        <v>566</v>
      </c>
      <c r="C129" s="234">
        <v>3</v>
      </c>
      <c r="D129" s="234">
        <v>24.03</v>
      </c>
      <c r="E129" s="234">
        <v>3990.9</v>
      </c>
      <c r="F129" s="234">
        <v>42</v>
      </c>
      <c r="G129" s="234">
        <v>1676.18</v>
      </c>
      <c r="H129" s="234">
        <v>90</v>
      </c>
      <c r="I129" s="234">
        <v>3591.81</v>
      </c>
      <c r="J129" s="234">
        <v>9258.89</v>
      </c>
      <c r="K129" s="234">
        <v>27776.68</v>
      </c>
      <c r="M129" s="239">
        <f t="shared" si="19"/>
        <v>35918.100000000006</v>
      </c>
      <c r="N129" s="239">
        <f t="shared" si="20"/>
        <v>47411.909999999996</v>
      </c>
      <c r="O129" s="239">
        <f t="shared" si="21"/>
        <v>71836.200000000012</v>
      </c>
      <c r="P129" s="239">
        <f t="shared" si="22"/>
        <v>94823.819999999992</v>
      </c>
      <c r="Q129" s="239">
        <f t="shared" si="23"/>
        <v>107754.3</v>
      </c>
      <c r="R129" s="239">
        <f t="shared" si="24"/>
        <v>142235.72999999998</v>
      </c>
      <c r="S129" s="239">
        <f t="shared" si="25"/>
        <v>143672.40000000002</v>
      </c>
      <c r="T129" s="239">
        <f t="shared" si="26"/>
        <v>189647.63999999998</v>
      </c>
      <c r="U129" s="238">
        <f t="shared" si="27"/>
        <v>333320.04000000004</v>
      </c>
    </row>
    <row r="130" spans="2:21">
      <c r="B130" s="234" t="s">
        <v>567</v>
      </c>
      <c r="C130" s="234">
        <v>1</v>
      </c>
      <c r="D130" s="234">
        <v>27.69</v>
      </c>
      <c r="E130" s="234">
        <v>4598.76</v>
      </c>
      <c r="F130" s="234">
        <v>12</v>
      </c>
      <c r="G130" s="234">
        <v>551.85</v>
      </c>
      <c r="H130" s="234">
        <v>90</v>
      </c>
      <c r="I130" s="234">
        <v>4138.88</v>
      </c>
      <c r="J130" s="234">
        <v>9289.49</v>
      </c>
      <c r="K130" s="234">
        <v>9289.49</v>
      </c>
      <c r="M130" s="239">
        <f t="shared" si="19"/>
        <v>13796.28</v>
      </c>
      <c r="N130" s="239">
        <f t="shared" si="20"/>
        <v>14072.190000000002</v>
      </c>
      <c r="O130" s="239">
        <f t="shared" si="21"/>
        <v>27592.560000000001</v>
      </c>
      <c r="P130" s="239">
        <f t="shared" si="22"/>
        <v>28144.380000000005</v>
      </c>
      <c r="Q130" s="239">
        <f t="shared" si="23"/>
        <v>41388.840000000004</v>
      </c>
      <c r="R130" s="239">
        <f t="shared" si="24"/>
        <v>42216.570000000007</v>
      </c>
      <c r="S130" s="239">
        <f t="shared" si="25"/>
        <v>55185.120000000003</v>
      </c>
      <c r="T130" s="239">
        <f t="shared" si="26"/>
        <v>56288.760000000009</v>
      </c>
      <c r="U130" s="238">
        <f t="shared" si="27"/>
        <v>111473.88</v>
      </c>
    </row>
    <row r="131" spans="2:21">
      <c r="B131" s="234" t="s">
        <v>568</v>
      </c>
      <c r="C131" s="234">
        <v>1</v>
      </c>
      <c r="D131" s="234">
        <v>25.3</v>
      </c>
      <c r="E131" s="234">
        <v>4201.82</v>
      </c>
      <c r="F131" s="234">
        <v>12</v>
      </c>
      <c r="G131" s="234">
        <v>504.22</v>
      </c>
      <c r="H131" s="234">
        <v>90</v>
      </c>
      <c r="I131" s="234">
        <v>3781.64</v>
      </c>
      <c r="J131" s="234">
        <v>8487.68</v>
      </c>
      <c r="K131" s="234">
        <v>8487.68</v>
      </c>
      <c r="M131" s="239">
        <f t="shared" si="19"/>
        <v>12605.46</v>
      </c>
      <c r="N131" s="239">
        <f t="shared" si="20"/>
        <v>12857.579999999998</v>
      </c>
      <c r="O131" s="239">
        <f t="shared" si="21"/>
        <v>25210.92</v>
      </c>
      <c r="P131" s="239">
        <f t="shared" si="22"/>
        <v>25715.159999999996</v>
      </c>
      <c r="Q131" s="239">
        <f t="shared" si="23"/>
        <v>37816.379999999997</v>
      </c>
      <c r="R131" s="239">
        <f t="shared" si="24"/>
        <v>38572.74</v>
      </c>
      <c r="S131" s="239">
        <f t="shared" si="25"/>
        <v>50421.84</v>
      </c>
      <c r="T131" s="239">
        <f t="shared" si="26"/>
        <v>51430.319999999992</v>
      </c>
      <c r="U131" s="238">
        <f t="shared" si="27"/>
        <v>101852.15999999999</v>
      </c>
    </row>
    <row r="132" spans="2:21">
      <c r="B132" s="234" t="s">
        <v>569</v>
      </c>
      <c r="C132" s="234">
        <v>1</v>
      </c>
      <c r="D132" s="234">
        <v>24.19</v>
      </c>
      <c r="E132" s="234">
        <v>4017.48</v>
      </c>
      <c r="F132" s="234">
        <v>12</v>
      </c>
      <c r="G132" s="234">
        <v>482.1</v>
      </c>
      <c r="H132" s="234">
        <v>90</v>
      </c>
      <c r="I132" s="234">
        <v>3615.73</v>
      </c>
      <c r="J132" s="234">
        <v>8115.3</v>
      </c>
      <c r="K132" s="234">
        <v>8115.3</v>
      </c>
      <c r="M132" s="239">
        <f t="shared" si="19"/>
        <v>12052.44</v>
      </c>
      <c r="N132" s="239">
        <f t="shared" si="20"/>
        <v>12293.49</v>
      </c>
      <c r="O132" s="239">
        <f t="shared" si="21"/>
        <v>24104.880000000001</v>
      </c>
      <c r="P132" s="239">
        <f t="shared" si="22"/>
        <v>24586.98</v>
      </c>
      <c r="Q132" s="239">
        <f t="shared" si="23"/>
        <v>36157.32</v>
      </c>
      <c r="R132" s="239">
        <f t="shared" si="24"/>
        <v>36880.47</v>
      </c>
      <c r="S132" s="239">
        <f t="shared" si="25"/>
        <v>48209.760000000002</v>
      </c>
      <c r="T132" s="239">
        <f t="shared" si="26"/>
        <v>49173.96</v>
      </c>
      <c r="U132" s="238">
        <f t="shared" si="27"/>
        <v>97383.72</v>
      </c>
    </row>
    <row r="133" spans="2:21">
      <c r="B133" s="234" t="s">
        <v>570</v>
      </c>
      <c r="C133" s="234">
        <v>5</v>
      </c>
      <c r="D133" s="234">
        <v>27.21</v>
      </c>
      <c r="E133" s="234">
        <v>4519.04</v>
      </c>
      <c r="F133" s="234">
        <v>15</v>
      </c>
      <c r="G133" s="234">
        <v>677.86</v>
      </c>
      <c r="H133" s="234">
        <v>90</v>
      </c>
      <c r="I133" s="234">
        <v>4067.13</v>
      </c>
      <c r="J133" s="234">
        <v>9264.0300000000007</v>
      </c>
      <c r="K133" s="234">
        <v>46320.13</v>
      </c>
      <c r="M133" s="239">
        <f t="shared" si="19"/>
        <v>67785.599999999991</v>
      </c>
      <c r="N133" s="239">
        <f t="shared" si="20"/>
        <v>71174.849999999991</v>
      </c>
      <c r="O133" s="239">
        <f t="shared" si="21"/>
        <v>135571.20000000001</v>
      </c>
      <c r="P133" s="239">
        <f t="shared" si="22"/>
        <v>142349.69999999998</v>
      </c>
      <c r="Q133" s="239">
        <f t="shared" si="23"/>
        <v>203356.80000000002</v>
      </c>
      <c r="R133" s="239">
        <f t="shared" si="24"/>
        <v>213524.55</v>
      </c>
      <c r="S133" s="239">
        <f t="shared" si="25"/>
        <v>271142.40000000002</v>
      </c>
      <c r="T133" s="239">
        <f t="shared" si="26"/>
        <v>284699.39999999997</v>
      </c>
      <c r="U133" s="238">
        <f t="shared" si="27"/>
        <v>555841.80000000005</v>
      </c>
    </row>
    <row r="134" spans="2:21">
      <c r="B134" s="260" t="s">
        <v>571</v>
      </c>
      <c r="C134" s="260">
        <v>7</v>
      </c>
      <c r="D134" s="260">
        <v>22.76</v>
      </c>
      <c r="E134" s="260">
        <v>3779.98</v>
      </c>
      <c r="F134" s="260">
        <v>30</v>
      </c>
      <c r="G134" s="260">
        <v>1133.99</v>
      </c>
      <c r="H134" s="260">
        <v>75</v>
      </c>
      <c r="I134" s="260">
        <v>2834.99</v>
      </c>
      <c r="J134" s="260">
        <v>7748.96</v>
      </c>
      <c r="K134" s="260">
        <v>54242.720000000001</v>
      </c>
      <c r="L134" s="261"/>
      <c r="M134" s="262">
        <f t="shared" si="19"/>
        <v>79379.58</v>
      </c>
      <c r="N134" s="262">
        <f t="shared" si="20"/>
        <v>83348.579999999987</v>
      </c>
      <c r="O134" s="262">
        <f t="shared" si="21"/>
        <v>158759.16</v>
      </c>
      <c r="P134" s="262">
        <f t="shared" si="22"/>
        <v>166697.15999999997</v>
      </c>
      <c r="Q134" s="262">
        <f t="shared" si="23"/>
        <v>238138.74</v>
      </c>
      <c r="R134" s="262">
        <f t="shared" si="24"/>
        <v>250045.73999999996</v>
      </c>
      <c r="S134" s="262">
        <f t="shared" si="25"/>
        <v>317518.32</v>
      </c>
      <c r="T134" s="262">
        <f t="shared" si="26"/>
        <v>333394.31999999995</v>
      </c>
      <c r="U134" s="263">
        <f t="shared" si="27"/>
        <v>650912.6399999999</v>
      </c>
    </row>
    <row r="135" spans="2:21">
      <c r="B135" s="234" t="s">
        <v>572</v>
      </c>
      <c r="C135" s="234">
        <v>1</v>
      </c>
      <c r="D135" s="234">
        <v>23.4</v>
      </c>
      <c r="E135" s="234">
        <v>3886.27</v>
      </c>
      <c r="F135" s="234">
        <v>25</v>
      </c>
      <c r="G135" s="234">
        <v>971.57</v>
      </c>
      <c r="H135" s="234">
        <v>75</v>
      </c>
      <c r="I135" s="234">
        <v>2914.7</v>
      </c>
      <c r="J135" s="234">
        <v>7772.54</v>
      </c>
      <c r="K135" s="234">
        <v>7772.54</v>
      </c>
      <c r="M135" s="239">
        <f t="shared" si="19"/>
        <v>11658.81</v>
      </c>
      <c r="N135" s="239">
        <f t="shared" si="20"/>
        <v>11658.81</v>
      </c>
      <c r="O135" s="239">
        <f t="shared" si="21"/>
        <v>23317.62</v>
      </c>
      <c r="P135" s="239">
        <f t="shared" si="22"/>
        <v>23317.62</v>
      </c>
      <c r="Q135" s="239">
        <f t="shared" si="23"/>
        <v>34976.43</v>
      </c>
      <c r="R135" s="239">
        <f t="shared" si="24"/>
        <v>34976.43</v>
      </c>
      <c r="S135" s="239">
        <f t="shared" si="25"/>
        <v>46635.24</v>
      </c>
      <c r="T135" s="239">
        <f t="shared" si="26"/>
        <v>46635.24</v>
      </c>
      <c r="U135" s="238">
        <f t="shared" si="27"/>
        <v>93270.48</v>
      </c>
    </row>
    <row r="136" spans="2:21">
      <c r="B136" s="234" t="s">
        <v>573</v>
      </c>
      <c r="C136" s="234">
        <v>1</v>
      </c>
      <c r="D136" s="234">
        <v>23.4</v>
      </c>
      <c r="E136" s="234">
        <v>3886.27</v>
      </c>
      <c r="F136" s="234">
        <v>25</v>
      </c>
      <c r="G136" s="234">
        <v>971.57</v>
      </c>
      <c r="H136" s="234">
        <v>75</v>
      </c>
      <c r="I136" s="234">
        <v>2914.7</v>
      </c>
      <c r="J136" s="234">
        <v>7772.54</v>
      </c>
      <c r="K136" s="234">
        <v>7772.54</v>
      </c>
      <c r="M136" s="239">
        <f t="shared" si="19"/>
        <v>11658.81</v>
      </c>
      <c r="N136" s="239">
        <f t="shared" si="20"/>
        <v>11658.81</v>
      </c>
      <c r="O136" s="239">
        <f t="shared" si="21"/>
        <v>23317.62</v>
      </c>
      <c r="P136" s="239">
        <f t="shared" si="22"/>
        <v>23317.62</v>
      </c>
      <c r="Q136" s="239">
        <f t="shared" si="23"/>
        <v>34976.43</v>
      </c>
      <c r="R136" s="239">
        <f t="shared" si="24"/>
        <v>34976.43</v>
      </c>
      <c r="S136" s="239">
        <f t="shared" si="25"/>
        <v>46635.24</v>
      </c>
      <c r="T136" s="239">
        <f t="shared" si="26"/>
        <v>46635.24</v>
      </c>
      <c r="U136" s="238">
        <f t="shared" si="27"/>
        <v>93270.48</v>
      </c>
    </row>
    <row r="137" spans="2:21">
      <c r="B137" s="234" t="s">
        <v>574</v>
      </c>
      <c r="C137" s="234">
        <v>1</v>
      </c>
      <c r="D137" s="234">
        <v>23.4</v>
      </c>
      <c r="E137" s="234">
        <v>3886.27</v>
      </c>
      <c r="F137" s="234">
        <v>25</v>
      </c>
      <c r="G137" s="234">
        <v>971.57</v>
      </c>
      <c r="H137" s="234">
        <v>75</v>
      </c>
      <c r="I137" s="234">
        <v>2914.7</v>
      </c>
      <c r="J137" s="234">
        <v>7772.54</v>
      </c>
      <c r="K137" s="234">
        <v>7772.54</v>
      </c>
      <c r="M137" s="239">
        <f t="shared" si="19"/>
        <v>11658.81</v>
      </c>
      <c r="N137" s="239">
        <f t="shared" si="20"/>
        <v>11658.81</v>
      </c>
      <c r="O137" s="239">
        <f t="shared" si="21"/>
        <v>23317.62</v>
      </c>
      <c r="P137" s="239">
        <f t="shared" si="22"/>
        <v>23317.62</v>
      </c>
      <c r="Q137" s="239">
        <f t="shared" si="23"/>
        <v>34976.43</v>
      </c>
      <c r="R137" s="239">
        <f t="shared" si="24"/>
        <v>34976.43</v>
      </c>
      <c r="S137" s="239">
        <f t="shared" si="25"/>
        <v>46635.24</v>
      </c>
      <c r="T137" s="239">
        <f t="shared" si="26"/>
        <v>46635.24</v>
      </c>
      <c r="U137" s="238">
        <f t="shared" si="27"/>
        <v>93270.48</v>
      </c>
    </row>
    <row r="138" spans="2:21">
      <c r="B138" s="234" t="s">
        <v>575</v>
      </c>
      <c r="C138" s="234">
        <v>1</v>
      </c>
      <c r="D138" s="234">
        <v>23.4</v>
      </c>
      <c r="E138" s="234">
        <v>3886.27</v>
      </c>
      <c r="F138" s="234">
        <v>50</v>
      </c>
      <c r="G138" s="234">
        <v>1943.14</v>
      </c>
      <c r="H138" s="234">
        <v>75</v>
      </c>
      <c r="I138" s="234">
        <v>2914.7</v>
      </c>
      <c r="J138" s="234">
        <v>8744.11</v>
      </c>
      <c r="K138" s="234">
        <v>8744.11</v>
      </c>
      <c r="M138" s="239">
        <f t="shared" si="19"/>
        <v>11658.81</v>
      </c>
      <c r="N138" s="239">
        <f t="shared" si="20"/>
        <v>14573.52</v>
      </c>
      <c r="O138" s="239">
        <f t="shared" si="21"/>
        <v>23317.62</v>
      </c>
      <c r="P138" s="239">
        <f t="shared" si="22"/>
        <v>29147.040000000001</v>
      </c>
      <c r="Q138" s="239">
        <f t="shared" si="23"/>
        <v>34976.43</v>
      </c>
      <c r="R138" s="239">
        <f t="shared" si="24"/>
        <v>43720.56</v>
      </c>
      <c r="S138" s="239">
        <f t="shared" si="25"/>
        <v>46635.24</v>
      </c>
      <c r="T138" s="239">
        <f t="shared" si="26"/>
        <v>58294.080000000002</v>
      </c>
      <c r="U138" s="238">
        <f t="shared" si="27"/>
        <v>104929.32</v>
      </c>
    </row>
    <row r="139" spans="2:21">
      <c r="B139" s="234" t="s">
        <v>576</v>
      </c>
      <c r="C139" s="234">
        <v>1</v>
      </c>
      <c r="D139" s="234">
        <v>23.4</v>
      </c>
      <c r="E139" s="234">
        <v>3886.27</v>
      </c>
      <c r="F139" s="234">
        <v>25</v>
      </c>
      <c r="G139" s="234">
        <v>971.57</v>
      </c>
      <c r="H139" s="234">
        <v>75</v>
      </c>
      <c r="I139" s="234">
        <v>2914.7</v>
      </c>
      <c r="J139" s="234">
        <v>7772.54</v>
      </c>
      <c r="K139" s="234">
        <v>7772.54</v>
      </c>
      <c r="M139" s="239">
        <f t="shared" si="19"/>
        <v>11658.81</v>
      </c>
      <c r="N139" s="239">
        <f t="shared" si="20"/>
        <v>11658.81</v>
      </c>
      <c r="O139" s="239">
        <f t="shared" si="21"/>
        <v>23317.62</v>
      </c>
      <c r="P139" s="239">
        <f t="shared" si="22"/>
        <v>23317.62</v>
      </c>
      <c r="Q139" s="239">
        <f t="shared" si="23"/>
        <v>34976.43</v>
      </c>
      <c r="R139" s="239">
        <f t="shared" si="24"/>
        <v>34976.43</v>
      </c>
      <c r="S139" s="239">
        <f t="shared" si="25"/>
        <v>46635.24</v>
      </c>
      <c r="T139" s="239">
        <f t="shared" si="26"/>
        <v>46635.24</v>
      </c>
      <c r="U139" s="238">
        <f t="shared" si="27"/>
        <v>93270.48</v>
      </c>
    </row>
    <row r="140" spans="2:21">
      <c r="B140" s="234" t="s">
        <v>577</v>
      </c>
      <c r="C140" s="234">
        <v>1</v>
      </c>
      <c r="D140" s="234">
        <v>22.76</v>
      </c>
      <c r="E140" s="234">
        <v>3779.98</v>
      </c>
      <c r="F140" s="234">
        <v>25</v>
      </c>
      <c r="G140" s="234">
        <v>945</v>
      </c>
      <c r="H140" s="234">
        <v>75</v>
      </c>
      <c r="I140" s="234">
        <v>2834.99</v>
      </c>
      <c r="J140" s="234">
        <v>7559.96</v>
      </c>
      <c r="K140" s="234">
        <v>7559.96</v>
      </c>
      <c r="M140" s="239">
        <f t="shared" si="19"/>
        <v>11339.94</v>
      </c>
      <c r="N140" s="239">
        <f t="shared" si="20"/>
        <v>11339.97</v>
      </c>
      <c r="O140" s="239">
        <f t="shared" si="21"/>
        <v>22679.88</v>
      </c>
      <c r="P140" s="239">
        <f t="shared" si="22"/>
        <v>22679.94</v>
      </c>
      <c r="Q140" s="239">
        <f t="shared" si="23"/>
        <v>34019.82</v>
      </c>
      <c r="R140" s="239">
        <f t="shared" si="24"/>
        <v>34019.909999999996</v>
      </c>
      <c r="S140" s="239">
        <f t="shared" si="25"/>
        <v>45359.76</v>
      </c>
      <c r="T140" s="239">
        <f t="shared" si="26"/>
        <v>45359.88</v>
      </c>
      <c r="U140" s="238">
        <f t="shared" si="27"/>
        <v>90719.64</v>
      </c>
    </row>
    <row r="141" spans="2:21">
      <c r="B141" s="234" t="s">
        <v>578</v>
      </c>
      <c r="C141" s="234">
        <v>1</v>
      </c>
      <c r="D141" s="234">
        <v>29.92</v>
      </c>
      <c r="E141" s="234">
        <v>4969.1099999999997</v>
      </c>
      <c r="F141" s="234">
        <v>12</v>
      </c>
      <c r="G141" s="234">
        <v>596.29</v>
      </c>
      <c r="H141" s="234">
        <v>90</v>
      </c>
      <c r="I141" s="234">
        <v>4472.2</v>
      </c>
      <c r="J141" s="234">
        <v>10037.61</v>
      </c>
      <c r="K141" s="234">
        <v>10037.61</v>
      </c>
      <c r="M141" s="239">
        <f t="shared" si="19"/>
        <v>14907.329999999998</v>
      </c>
      <c r="N141" s="239">
        <f t="shared" si="20"/>
        <v>15205.47</v>
      </c>
      <c r="O141" s="239">
        <f t="shared" si="21"/>
        <v>29814.659999999996</v>
      </c>
      <c r="P141" s="239">
        <f t="shared" si="22"/>
        <v>30410.94</v>
      </c>
      <c r="Q141" s="239">
        <f t="shared" si="23"/>
        <v>44721.99</v>
      </c>
      <c r="R141" s="239">
        <f t="shared" si="24"/>
        <v>45616.409999999996</v>
      </c>
      <c r="S141" s="239">
        <f t="shared" si="25"/>
        <v>59629.319999999992</v>
      </c>
      <c r="T141" s="239">
        <f t="shared" si="26"/>
        <v>60821.88</v>
      </c>
      <c r="U141" s="238">
        <f t="shared" si="27"/>
        <v>120451.19999999998</v>
      </c>
    </row>
    <row r="142" spans="2:21">
      <c r="B142" s="234" t="s">
        <v>579</v>
      </c>
      <c r="C142" s="234">
        <v>1</v>
      </c>
      <c r="D142" s="234">
        <v>32.94</v>
      </c>
      <c r="E142" s="234">
        <v>5470.68</v>
      </c>
      <c r="F142" s="234">
        <v>12</v>
      </c>
      <c r="G142" s="234">
        <v>656.48</v>
      </c>
      <c r="H142" s="234">
        <v>90</v>
      </c>
      <c r="I142" s="234">
        <v>4923.6099999999997</v>
      </c>
      <c r="J142" s="234">
        <v>11050.76</v>
      </c>
      <c r="K142" s="234">
        <v>11050.76</v>
      </c>
      <c r="M142" s="239">
        <f t="shared" si="19"/>
        <v>16412.04</v>
      </c>
      <c r="N142" s="239">
        <f t="shared" si="20"/>
        <v>16740.27</v>
      </c>
      <c r="O142" s="239">
        <f t="shared" si="21"/>
        <v>32824.080000000002</v>
      </c>
      <c r="P142" s="239">
        <f t="shared" si="22"/>
        <v>33480.54</v>
      </c>
      <c r="Q142" s="239">
        <f t="shared" si="23"/>
        <v>49236.12</v>
      </c>
      <c r="R142" s="239">
        <f t="shared" si="24"/>
        <v>50220.81</v>
      </c>
      <c r="S142" s="239">
        <f t="shared" si="25"/>
        <v>65648.160000000003</v>
      </c>
      <c r="T142" s="239">
        <f t="shared" si="26"/>
        <v>66961.08</v>
      </c>
      <c r="U142" s="238">
        <f t="shared" si="27"/>
        <v>132609.24</v>
      </c>
    </row>
    <row r="143" spans="2:21">
      <c r="B143" s="234" t="s">
        <v>580</v>
      </c>
      <c r="C143" s="234">
        <v>2</v>
      </c>
      <c r="D143" s="234">
        <v>17.82</v>
      </c>
      <c r="E143" s="234">
        <v>2959.55</v>
      </c>
      <c r="F143" s="234">
        <v>12</v>
      </c>
      <c r="G143" s="234">
        <v>355.15</v>
      </c>
      <c r="H143" s="234">
        <v>50</v>
      </c>
      <c r="I143" s="234">
        <v>1479.77</v>
      </c>
      <c r="J143" s="234">
        <v>4794.46</v>
      </c>
      <c r="K143" s="234">
        <v>9588.93</v>
      </c>
      <c r="M143" s="239">
        <f t="shared" si="19"/>
        <v>17757.300000000003</v>
      </c>
      <c r="N143" s="239">
        <f t="shared" si="20"/>
        <v>11009.52</v>
      </c>
      <c r="O143" s="239">
        <f t="shared" si="21"/>
        <v>35514.600000000006</v>
      </c>
      <c r="P143" s="239">
        <f t="shared" si="22"/>
        <v>22019.040000000001</v>
      </c>
      <c r="Q143" s="239">
        <f t="shared" si="23"/>
        <v>53271.9</v>
      </c>
      <c r="R143" s="239">
        <f t="shared" si="24"/>
        <v>33028.559999999998</v>
      </c>
      <c r="S143" s="239">
        <f t="shared" si="25"/>
        <v>71029.200000000012</v>
      </c>
      <c r="T143" s="239">
        <f t="shared" si="26"/>
        <v>44038.080000000002</v>
      </c>
      <c r="U143" s="238">
        <f t="shared" si="27"/>
        <v>115067.28000000001</v>
      </c>
    </row>
    <row r="144" spans="2:21">
      <c r="B144" s="234" t="s">
        <v>472</v>
      </c>
      <c r="C144" s="234">
        <v>110</v>
      </c>
      <c r="D144" s="234"/>
      <c r="E144" s="234"/>
      <c r="F144" s="234"/>
      <c r="G144" s="234"/>
      <c r="H144" s="234"/>
      <c r="I144" s="234"/>
      <c r="J144" s="234"/>
      <c r="K144" s="234">
        <v>1164457.6100000001</v>
      </c>
      <c r="M144" s="239">
        <f t="shared" si="19"/>
        <v>0</v>
      </c>
      <c r="N144" s="239">
        <f t="shared" si="20"/>
        <v>0</v>
      </c>
      <c r="O144" s="239">
        <f t="shared" si="21"/>
        <v>0</v>
      </c>
      <c r="P144" s="239">
        <f t="shared" si="22"/>
        <v>0</v>
      </c>
      <c r="Q144" s="239">
        <f t="shared" si="23"/>
        <v>0</v>
      </c>
      <c r="R144" s="239">
        <f t="shared" si="24"/>
        <v>0</v>
      </c>
      <c r="S144" s="239">
        <f t="shared" si="25"/>
        <v>0</v>
      </c>
      <c r="T144" s="239">
        <f t="shared" si="26"/>
        <v>0</v>
      </c>
      <c r="U144" s="238">
        <f t="shared" si="27"/>
        <v>0</v>
      </c>
    </row>
    <row r="145" spans="2:21">
      <c r="B145" s="234" t="s">
        <v>581</v>
      </c>
      <c r="C145" s="234"/>
      <c r="D145" s="234"/>
      <c r="E145" s="234"/>
      <c r="F145" s="234"/>
      <c r="G145" s="234"/>
      <c r="H145" s="234"/>
      <c r="I145" s="234"/>
      <c r="J145" s="234"/>
      <c r="K145" s="234"/>
      <c r="M145" s="239">
        <f t="shared" si="19"/>
        <v>0</v>
      </c>
      <c r="N145" s="239">
        <f t="shared" si="20"/>
        <v>0</v>
      </c>
      <c r="O145" s="239">
        <f t="shared" si="21"/>
        <v>0</v>
      </c>
      <c r="P145" s="239">
        <f t="shared" si="22"/>
        <v>0</v>
      </c>
      <c r="Q145" s="239">
        <f t="shared" si="23"/>
        <v>0</v>
      </c>
      <c r="R145" s="239">
        <f t="shared" si="24"/>
        <v>0</v>
      </c>
      <c r="S145" s="239">
        <f t="shared" si="25"/>
        <v>0</v>
      </c>
      <c r="T145" s="239">
        <f t="shared" si="26"/>
        <v>0</v>
      </c>
      <c r="U145" s="238">
        <f t="shared" si="27"/>
        <v>0</v>
      </c>
    </row>
    <row r="146" spans="2:21">
      <c r="B146" s="234" t="s">
        <v>582</v>
      </c>
      <c r="C146" s="234">
        <v>4</v>
      </c>
      <c r="D146" s="234">
        <v>28.01</v>
      </c>
      <c r="E146" s="234">
        <v>4651.8999999999996</v>
      </c>
      <c r="F146" s="234">
        <v>24</v>
      </c>
      <c r="G146" s="234">
        <v>1116.46</v>
      </c>
      <c r="H146" s="234">
        <v>50</v>
      </c>
      <c r="I146" s="234">
        <v>2325.9499999999998</v>
      </c>
      <c r="J146" s="234">
        <v>8094.31</v>
      </c>
      <c r="K146" s="234">
        <v>32377.23</v>
      </c>
      <c r="M146" s="239">
        <f t="shared" si="19"/>
        <v>55822.799999999996</v>
      </c>
      <c r="N146" s="239">
        <f t="shared" si="20"/>
        <v>41308.92</v>
      </c>
      <c r="O146" s="239">
        <f t="shared" si="21"/>
        <v>111645.59999999999</v>
      </c>
      <c r="P146" s="239">
        <f t="shared" si="22"/>
        <v>82617.84</v>
      </c>
      <c r="Q146" s="239">
        <f t="shared" si="23"/>
        <v>167468.4</v>
      </c>
      <c r="R146" s="239">
        <f t="shared" si="24"/>
        <v>123926.76</v>
      </c>
      <c r="S146" s="239">
        <f t="shared" si="25"/>
        <v>223291.19999999998</v>
      </c>
      <c r="T146" s="239">
        <f t="shared" si="26"/>
        <v>165235.68</v>
      </c>
      <c r="U146" s="238">
        <f t="shared" si="27"/>
        <v>388526.88</v>
      </c>
    </row>
    <row r="147" spans="2:21">
      <c r="B147" s="234" t="s">
        <v>583</v>
      </c>
      <c r="C147" s="234">
        <v>4</v>
      </c>
      <c r="D147" s="234">
        <v>32.15</v>
      </c>
      <c r="E147" s="234">
        <v>5339.47</v>
      </c>
      <c r="F147" s="234">
        <v>28</v>
      </c>
      <c r="G147" s="234">
        <v>1495.05</v>
      </c>
      <c r="H147" s="234">
        <v>50</v>
      </c>
      <c r="I147" s="234">
        <v>2669.74</v>
      </c>
      <c r="J147" s="234">
        <v>9504.26</v>
      </c>
      <c r="K147" s="234">
        <v>38017.040000000001</v>
      </c>
      <c r="M147" s="239">
        <f t="shared" si="19"/>
        <v>64073.64</v>
      </c>
      <c r="N147" s="239">
        <f t="shared" si="20"/>
        <v>49977.479999999996</v>
      </c>
      <c r="O147" s="239">
        <f t="shared" si="21"/>
        <v>128147.28</v>
      </c>
      <c r="P147" s="239">
        <f t="shared" si="22"/>
        <v>99954.959999999992</v>
      </c>
      <c r="Q147" s="239">
        <f t="shared" si="23"/>
        <v>192220.92</v>
      </c>
      <c r="R147" s="239">
        <f t="shared" si="24"/>
        <v>149932.44</v>
      </c>
      <c r="S147" s="239">
        <f t="shared" si="25"/>
        <v>256294.56</v>
      </c>
      <c r="T147" s="239">
        <f t="shared" si="26"/>
        <v>199909.91999999998</v>
      </c>
      <c r="U147" s="238">
        <f t="shared" si="27"/>
        <v>456204.48</v>
      </c>
    </row>
    <row r="148" spans="2:21">
      <c r="B148" s="234" t="s">
        <v>584</v>
      </c>
      <c r="C148" s="234">
        <v>2</v>
      </c>
      <c r="D148" s="234">
        <v>28.64</v>
      </c>
      <c r="E148" s="234">
        <v>4756.53</v>
      </c>
      <c r="F148" s="234">
        <v>24</v>
      </c>
      <c r="G148" s="234">
        <v>1141.57</v>
      </c>
      <c r="H148" s="234">
        <v>50</v>
      </c>
      <c r="I148" s="234">
        <v>2378.27</v>
      </c>
      <c r="J148" s="234">
        <v>8276.36</v>
      </c>
      <c r="K148" s="234">
        <v>16552.73</v>
      </c>
      <c r="M148" s="239">
        <f t="shared" si="19"/>
        <v>28539.18</v>
      </c>
      <c r="N148" s="239">
        <f t="shared" si="20"/>
        <v>21119.040000000001</v>
      </c>
      <c r="O148" s="239">
        <f t="shared" si="21"/>
        <v>57078.36</v>
      </c>
      <c r="P148" s="239">
        <f t="shared" si="22"/>
        <v>42238.080000000002</v>
      </c>
      <c r="Q148" s="239">
        <f t="shared" si="23"/>
        <v>85617.54</v>
      </c>
      <c r="R148" s="239">
        <f t="shared" si="24"/>
        <v>63357.120000000003</v>
      </c>
      <c r="S148" s="239">
        <f t="shared" si="25"/>
        <v>114156.72</v>
      </c>
      <c r="T148" s="239">
        <f t="shared" si="26"/>
        <v>84476.160000000003</v>
      </c>
      <c r="U148" s="238">
        <f t="shared" si="27"/>
        <v>198632.88</v>
      </c>
    </row>
    <row r="149" spans="2:21">
      <c r="B149" s="234" t="s">
        <v>585</v>
      </c>
      <c r="C149" s="234">
        <v>1</v>
      </c>
      <c r="D149" s="234">
        <v>36.770000000000003</v>
      </c>
      <c r="E149" s="234">
        <v>6106.76</v>
      </c>
      <c r="F149" s="234">
        <v>32</v>
      </c>
      <c r="G149" s="234">
        <v>1954.16</v>
      </c>
      <c r="H149" s="234">
        <v>50</v>
      </c>
      <c r="I149" s="234">
        <v>3053.38</v>
      </c>
      <c r="J149" s="234">
        <v>11114.31</v>
      </c>
      <c r="K149" s="234">
        <v>11114.31</v>
      </c>
      <c r="M149" s="239">
        <f t="shared" si="19"/>
        <v>18320.28</v>
      </c>
      <c r="N149" s="239">
        <f t="shared" si="20"/>
        <v>15022.619999999999</v>
      </c>
      <c r="O149" s="239">
        <f t="shared" si="21"/>
        <v>36640.559999999998</v>
      </c>
      <c r="P149" s="239">
        <f t="shared" si="22"/>
        <v>30045.239999999998</v>
      </c>
      <c r="Q149" s="239">
        <f t="shared" si="23"/>
        <v>54960.840000000004</v>
      </c>
      <c r="R149" s="239">
        <f t="shared" si="24"/>
        <v>45067.86</v>
      </c>
      <c r="S149" s="239">
        <f t="shared" si="25"/>
        <v>73281.119999999995</v>
      </c>
      <c r="T149" s="239">
        <f t="shared" si="26"/>
        <v>60090.479999999996</v>
      </c>
      <c r="U149" s="238">
        <f t="shared" si="27"/>
        <v>133371.59999999998</v>
      </c>
    </row>
    <row r="150" spans="2:21">
      <c r="B150" s="234" t="s">
        <v>586</v>
      </c>
      <c r="C150" s="234">
        <v>2</v>
      </c>
      <c r="D150" s="234">
        <v>42.97</v>
      </c>
      <c r="E150" s="234">
        <v>7136.46</v>
      </c>
      <c r="F150" s="234">
        <v>36</v>
      </c>
      <c r="G150" s="234">
        <v>2569.12</v>
      </c>
      <c r="H150" s="234">
        <v>50</v>
      </c>
      <c r="I150" s="234">
        <v>3568.23</v>
      </c>
      <c r="J150" s="234">
        <v>13273.81</v>
      </c>
      <c r="K150" s="234">
        <v>26547.62</v>
      </c>
      <c r="M150" s="239">
        <f t="shared" si="19"/>
        <v>42818.76</v>
      </c>
      <c r="N150" s="239">
        <f t="shared" si="20"/>
        <v>36824.100000000006</v>
      </c>
      <c r="O150" s="239">
        <f t="shared" si="21"/>
        <v>85637.52</v>
      </c>
      <c r="P150" s="239">
        <f t="shared" si="22"/>
        <v>73648.200000000012</v>
      </c>
      <c r="Q150" s="239">
        <f t="shared" si="23"/>
        <v>128456.28</v>
      </c>
      <c r="R150" s="239">
        <f t="shared" si="24"/>
        <v>110472.3</v>
      </c>
      <c r="S150" s="239">
        <f t="shared" si="25"/>
        <v>171275.04</v>
      </c>
      <c r="T150" s="239">
        <f t="shared" si="26"/>
        <v>147296.40000000002</v>
      </c>
      <c r="U150" s="238">
        <f t="shared" si="27"/>
        <v>318571.44000000006</v>
      </c>
    </row>
    <row r="151" spans="2:21">
      <c r="B151" s="234" t="s">
        <v>587</v>
      </c>
      <c r="C151" s="234">
        <v>1</v>
      </c>
      <c r="D151" s="234">
        <v>24.03</v>
      </c>
      <c r="E151" s="234">
        <v>3990.9</v>
      </c>
      <c r="F151" s="234"/>
      <c r="G151" s="234"/>
      <c r="H151" s="234">
        <v>50</v>
      </c>
      <c r="I151" s="234">
        <v>1995.45</v>
      </c>
      <c r="J151" s="234">
        <v>5986.35</v>
      </c>
      <c r="K151" s="234">
        <v>5986.35</v>
      </c>
      <c r="M151" s="239">
        <f t="shared" si="19"/>
        <v>11972.7</v>
      </c>
      <c r="N151" s="239">
        <f t="shared" si="20"/>
        <v>5986.35</v>
      </c>
      <c r="O151" s="239">
        <f t="shared" si="21"/>
        <v>23945.4</v>
      </c>
      <c r="P151" s="239">
        <f t="shared" si="22"/>
        <v>11972.7</v>
      </c>
      <c r="Q151" s="239">
        <f t="shared" si="23"/>
        <v>35918.1</v>
      </c>
      <c r="R151" s="239">
        <f t="shared" si="24"/>
        <v>17959.05</v>
      </c>
      <c r="S151" s="239">
        <f t="shared" si="25"/>
        <v>47890.8</v>
      </c>
      <c r="T151" s="239">
        <f t="shared" si="26"/>
        <v>23945.4</v>
      </c>
      <c r="U151" s="238">
        <f t="shared" si="27"/>
        <v>71836.200000000012</v>
      </c>
    </row>
    <row r="152" spans="2:21">
      <c r="B152" s="234" t="s">
        <v>588</v>
      </c>
      <c r="C152" s="234">
        <v>1</v>
      </c>
      <c r="D152" s="234">
        <v>42.97</v>
      </c>
      <c r="E152" s="234">
        <v>7136.46</v>
      </c>
      <c r="F152" s="234">
        <v>36</v>
      </c>
      <c r="G152" s="234">
        <v>2569.12</v>
      </c>
      <c r="H152" s="234">
        <v>50</v>
      </c>
      <c r="I152" s="234">
        <v>3568.23</v>
      </c>
      <c r="J152" s="234">
        <v>13273.81</v>
      </c>
      <c r="K152" s="234">
        <v>13273.81</v>
      </c>
      <c r="M152" s="239">
        <f t="shared" ref="M152:M194" si="28">E152*3*C152</f>
        <v>21409.38</v>
      </c>
      <c r="N152" s="239">
        <f t="shared" ref="N152:N194" si="29">(G152+I152)*C152*3</f>
        <v>18412.050000000003</v>
      </c>
      <c r="O152" s="239">
        <f t="shared" ref="O152:O194" si="30">E152*C152*6</f>
        <v>42818.76</v>
      </c>
      <c r="P152" s="239">
        <f t="shared" ref="P152:P194" si="31">(G152+I152)*C152*6</f>
        <v>36824.100000000006</v>
      </c>
      <c r="Q152" s="239">
        <f t="shared" ref="Q152:Q194" si="32">E152*C152*9</f>
        <v>64228.14</v>
      </c>
      <c r="R152" s="239">
        <f t="shared" ref="R152:R194" si="33">(G152+I152)*C152*9</f>
        <v>55236.15</v>
      </c>
      <c r="S152" s="239">
        <f t="shared" ref="S152:S194" si="34">E152*C152*12</f>
        <v>85637.52</v>
      </c>
      <c r="T152" s="239">
        <f t="shared" ref="T152:T194" si="35">(G152+I152)*C152*12</f>
        <v>73648.200000000012</v>
      </c>
      <c r="U152" s="238">
        <f t="shared" ref="U152:U194" si="36">S152+T152</f>
        <v>159285.72000000003</v>
      </c>
    </row>
    <row r="153" spans="2:21">
      <c r="B153" s="234" t="s">
        <v>589</v>
      </c>
      <c r="C153" s="234">
        <v>1</v>
      </c>
      <c r="D153" s="234">
        <v>32.15</v>
      </c>
      <c r="E153" s="234">
        <v>5339.47</v>
      </c>
      <c r="F153" s="234">
        <v>28</v>
      </c>
      <c r="G153" s="234">
        <v>1495.05</v>
      </c>
      <c r="H153" s="234">
        <v>50</v>
      </c>
      <c r="I153" s="234">
        <v>2669.74</v>
      </c>
      <c r="J153" s="234">
        <v>9504.26</v>
      </c>
      <c r="K153" s="234">
        <v>9504.26</v>
      </c>
      <c r="M153" s="239">
        <f t="shared" si="28"/>
        <v>16018.41</v>
      </c>
      <c r="N153" s="239">
        <f t="shared" si="29"/>
        <v>12494.369999999999</v>
      </c>
      <c r="O153" s="239">
        <f t="shared" si="30"/>
        <v>32036.82</v>
      </c>
      <c r="P153" s="239">
        <f t="shared" si="31"/>
        <v>24988.739999999998</v>
      </c>
      <c r="Q153" s="239">
        <f t="shared" si="32"/>
        <v>48055.23</v>
      </c>
      <c r="R153" s="239">
        <f t="shared" si="33"/>
        <v>37483.11</v>
      </c>
      <c r="S153" s="239">
        <f t="shared" si="34"/>
        <v>64073.64</v>
      </c>
      <c r="T153" s="239">
        <f t="shared" si="35"/>
        <v>49977.479999999996</v>
      </c>
      <c r="U153" s="238">
        <f t="shared" si="36"/>
        <v>114051.12</v>
      </c>
    </row>
    <row r="154" spans="2:21">
      <c r="B154" s="234" t="s">
        <v>590</v>
      </c>
      <c r="C154" s="234">
        <v>1</v>
      </c>
      <c r="D154" s="234">
        <v>32.15</v>
      </c>
      <c r="E154" s="234">
        <v>5339.47</v>
      </c>
      <c r="F154" s="234">
        <v>28</v>
      </c>
      <c r="G154" s="234">
        <v>1495.05</v>
      </c>
      <c r="H154" s="234">
        <v>50</v>
      </c>
      <c r="I154" s="234">
        <v>2669.74</v>
      </c>
      <c r="J154" s="234">
        <v>9504.26</v>
      </c>
      <c r="K154" s="234">
        <v>9504.26</v>
      </c>
      <c r="M154" s="239">
        <f t="shared" si="28"/>
        <v>16018.41</v>
      </c>
      <c r="N154" s="239">
        <f t="shared" si="29"/>
        <v>12494.369999999999</v>
      </c>
      <c r="O154" s="239">
        <f t="shared" si="30"/>
        <v>32036.82</v>
      </c>
      <c r="P154" s="239">
        <f t="shared" si="31"/>
        <v>24988.739999999998</v>
      </c>
      <c r="Q154" s="239">
        <f t="shared" si="32"/>
        <v>48055.23</v>
      </c>
      <c r="R154" s="239">
        <f t="shared" si="33"/>
        <v>37483.11</v>
      </c>
      <c r="S154" s="239">
        <f t="shared" si="34"/>
        <v>64073.64</v>
      </c>
      <c r="T154" s="239">
        <f t="shared" si="35"/>
        <v>49977.479999999996</v>
      </c>
      <c r="U154" s="238">
        <f t="shared" si="36"/>
        <v>114051.12</v>
      </c>
    </row>
    <row r="155" spans="2:21">
      <c r="B155" s="234" t="s">
        <v>591</v>
      </c>
      <c r="C155" s="234">
        <v>4</v>
      </c>
      <c r="D155" s="234">
        <v>32.15</v>
      </c>
      <c r="E155" s="234">
        <v>5339.47</v>
      </c>
      <c r="F155" s="234">
        <v>28</v>
      </c>
      <c r="G155" s="234">
        <v>1495.05</v>
      </c>
      <c r="H155" s="234">
        <v>50</v>
      </c>
      <c r="I155" s="234">
        <v>2669.74</v>
      </c>
      <c r="J155" s="234">
        <v>9504.2601599999998</v>
      </c>
      <c r="K155" s="234">
        <v>38017.040000000001</v>
      </c>
      <c r="M155" s="239">
        <f t="shared" si="28"/>
        <v>64073.64</v>
      </c>
      <c r="N155" s="239">
        <f t="shared" si="29"/>
        <v>49977.479999999996</v>
      </c>
      <c r="O155" s="239">
        <f t="shared" si="30"/>
        <v>128147.28</v>
      </c>
      <c r="P155" s="239">
        <f t="shared" si="31"/>
        <v>99954.959999999992</v>
      </c>
      <c r="Q155" s="239">
        <f t="shared" si="32"/>
        <v>192220.92</v>
      </c>
      <c r="R155" s="239">
        <f t="shared" si="33"/>
        <v>149932.44</v>
      </c>
      <c r="S155" s="239">
        <f t="shared" si="34"/>
        <v>256294.56</v>
      </c>
      <c r="T155" s="239">
        <f t="shared" si="35"/>
        <v>199909.91999999998</v>
      </c>
      <c r="U155" s="238">
        <f t="shared" si="36"/>
        <v>456204.48</v>
      </c>
    </row>
    <row r="156" spans="2:21">
      <c r="B156" s="234" t="s">
        <v>592</v>
      </c>
      <c r="C156" s="234">
        <v>3</v>
      </c>
      <c r="D156" s="234">
        <v>36.770000000000003</v>
      </c>
      <c r="E156" s="234">
        <v>6106.76</v>
      </c>
      <c r="F156" s="234">
        <v>32</v>
      </c>
      <c r="G156" s="234">
        <v>1954.16</v>
      </c>
      <c r="H156" s="234">
        <v>50</v>
      </c>
      <c r="I156" s="234">
        <v>3053.38</v>
      </c>
      <c r="J156" s="234">
        <v>11114.31</v>
      </c>
      <c r="K156" s="234">
        <v>33342.92</v>
      </c>
      <c r="M156" s="239">
        <f t="shared" si="28"/>
        <v>54960.84</v>
      </c>
      <c r="N156" s="239">
        <f t="shared" si="29"/>
        <v>45067.86</v>
      </c>
      <c r="O156" s="239">
        <f t="shared" si="30"/>
        <v>109921.68</v>
      </c>
      <c r="P156" s="239">
        <f t="shared" si="31"/>
        <v>90135.72</v>
      </c>
      <c r="Q156" s="239">
        <f t="shared" si="32"/>
        <v>164882.51999999999</v>
      </c>
      <c r="R156" s="239">
        <f t="shared" si="33"/>
        <v>135203.57999999999</v>
      </c>
      <c r="S156" s="239">
        <f t="shared" si="34"/>
        <v>219843.36</v>
      </c>
      <c r="T156" s="239">
        <f t="shared" si="35"/>
        <v>180271.44</v>
      </c>
      <c r="U156" s="238">
        <f t="shared" si="36"/>
        <v>400114.8</v>
      </c>
    </row>
    <row r="157" spans="2:21">
      <c r="B157" s="234" t="s">
        <v>593</v>
      </c>
      <c r="C157" s="234">
        <v>1</v>
      </c>
      <c r="D157" s="234">
        <v>36.770000000000003</v>
      </c>
      <c r="E157" s="234">
        <v>6106.76</v>
      </c>
      <c r="F157" s="234">
        <v>32</v>
      </c>
      <c r="G157" s="234">
        <v>1954.16</v>
      </c>
      <c r="H157" s="234">
        <v>50</v>
      </c>
      <c r="I157" s="234">
        <v>3053.38</v>
      </c>
      <c r="J157" s="234">
        <v>11114.31</v>
      </c>
      <c r="K157" s="234">
        <v>11114.31</v>
      </c>
      <c r="M157" s="239">
        <f t="shared" si="28"/>
        <v>18320.28</v>
      </c>
      <c r="N157" s="239">
        <f t="shared" si="29"/>
        <v>15022.619999999999</v>
      </c>
      <c r="O157" s="239">
        <f t="shared" si="30"/>
        <v>36640.559999999998</v>
      </c>
      <c r="P157" s="239">
        <f t="shared" si="31"/>
        <v>30045.239999999998</v>
      </c>
      <c r="Q157" s="239">
        <f t="shared" si="32"/>
        <v>54960.840000000004</v>
      </c>
      <c r="R157" s="239">
        <f t="shared" si="33"/>
        <v>45067.86</v>
      </c>
      <c r="S157" s="239">
        <f t="shared" si="34"/>
        <v>73281.119999999995</v>
      </c>
      <c r="T157" s="239">
        <f t="shared" si="35"/>
        <v>60090.479999999996</v>
      </c>
      <c r="U157" s="238">
        <f t="shared" si="36"/>
        <v>133371.59999999998</v>
      </c>
    </row>
    <row r="158" spans="2:21">
      <c r="B158" s="234" t="s">
        <v>594</v>
      </c>
      <c r="C158" s="234">
        <v>1</v>
      </c>
      <c r="D158" s="234">
        <v>42.97</v>
      </c>
      <c r="E158" s="234">
        <v>7136.46</v>
      </c>
      <c r="F158" s="234">
        <v>36</v>
      </c>
      <c r="G158" s="234">
        <v>2569.12</v>
      </c>
      <c r="H158" s="234">
        <v>50</v>
      </c>
      <c r="I158" s="234">
        <v>3568.23</v>
      </c>
      <c r="J158" s="234">
        <v>13273.81</v>
      </c>
      <c r="K158" s="234">
        <v>13273.81</v>
      </c>
      <c r="M158" s="239">
        <f t="shared" si="28"/>
        <v>21409.38</v>
      </c>
      <c r="N158" s="239">
        <f t="shared" si="29"/>
        <v>18412.050000000003</v>
      </c>
      <c r="O158" s="239">
        <f t="shared" si="30"/>
        <v>42818.76</v>
      </c>
      <c r="P158" s="239">
        <f t="shared" si="31"/>
        <v>36824.100000000006</v>
      </c>
      <c r="Q158" s="239">
        <f t="shared" si="32"/>
        <v>64228.14</v>
      </c>
      <c r="R158" s="239">
        <f t="shared" si="33"/>
        <v>55236.15</v>
      </c>
      <c r="S158" s="239">
        <f t="shared" si="34"/>
        <v>85637.52</v>
      </c>
      <c r="T158" s="239">
        <f t="shared" si="35"/>
        <v>73648.200000000012</v>
      </c>
      <c r="U158" s="238">
        <f t="shared" si="36"/>
        <v>159285.72000000003</v>
      </c>
    </row>
    <row r="159" spans="2:21">
      <c r="B159" s="234" t="s">
        <v>595</v>
      </c>
      <c r="C159" s="234">
        <v>2</v>
      </c>
      <c r="D159" s="234">
        <v>42.97</v>
      </c>
      <c r="E159" s="234">
        <v>7136.46</v>
      </c>
      <c r="F159" s="234">
        <v>36</v>
      </c>
      <c r="G159" s="234">
        <v>2569.12</v>
      </c>
      <c r="H159" s="234">
        <v>50</v>
      </c>
      <c r="I159" s="234">
        <v>3568.23</v>
      </c>
      <c r="J159" s="234">
        <v>13273.81</v>
      </c>
      <c r="K159" s="234">
        <v>26547.62</v>
      </c>
      <c r="M159" s="239">
        <f t="shared" si="28"/>
        <v>42818.76</v>
      </c>
      <c r="N159" s="239">
        <f t="shared" si="29"/>
        <v>36824.100000000006</v>
      </c>
      <c r="O159" s="239">
        <f t="shared" si="30"/>
        <v>85637.52</v>
      </c>
      <c r="P159" s="239">
        <f t="shared" si="31"/>
        <v>73648.200000000012</v>
      </c>
      <c r="Q159" s="239">
        <f t="shared" si="32"/>
        <v>128456.28</v>
      </c>
      <c r="R159" s="239">
        <f t="shared" si="33"/>
        <v>110472.3</v>
      </c>
      <c r="S159" s="239">
        <f t="shared" si="34"/>
        <v>171275.04</v>
      </c>
      <c r="T159" s="239">
        <f t="shared" si="35"/>
        <v>147296.40000000002</v>
      </c>
      <c r="U159" s="238">
        <f t="shared" si="36"/>
        <v>318571.44000000006</v>
      </c>
    </row>
    <row r="160" spans="2:21">
      <c r="B160" s="234" t="s">
        <v>596</v>
      </c>
      <c r="C160" s="234">
        <v>1</v>
      </c>
      <c r="D160" s="234">
        <v>32.15</v>
      </c>
      <c r="E160" s="234">
        <v>5339.47</v>
      </c>
      <c r="F160" s="234">
        <v>28</v>
      </c>
      <c r="G160" s="234">
        <v>1495.05</v>
      </c>
      <c r="H160" s="234">
        <v>50</v>
      </c>
      <c r="I160" s="234">
        <v>2669.74</v>
      </c>
      <c r="J160" s="234">
        <v>9504.2601599999998</v>
      </c>
      <c r="K160" s="234">
        <v>9504.26</v>
      </c>
      <c r="M160" s="239">
        <f t="shared" si="28"/>
        <v>16018.41</v>
      </c>
      <c r="N160" s="239">
        <f t="shared" si="29"/>
        <v>12494.369999999999</v>
      </c>
      <c r="O160" s="239">
        <f t="shared" si="30"/>
        <v>32036.82</v>
      </c>
      <c r="P160" s="239">
        <f t="shared" si="31"/>
        <v>24988.739999999998</v>
      </c>
      <c r="Q160" s="239">
        <f t="shared" si="32"/>
        <v>48055.23</v>
      </c>
      <c r="R160" s="239">
        <f t="shared" si="33"/>
        <v>37483.11</v>
      </c>
      <c r="S160" s="239">
        <f t="shared" si="34"/>
        <v>64073.64</v>
      </c>
      <c r="T160" s="239">
        <f t="shared" si="35"/>
        <v>49977.479999999996</v>
      </c>
      <c r="U160" s="238">
        <f t="shared" si="36"/>
        <v>114051.12</v>
      </c>
    </row>
    <row r="161" spans="2:21">
      <c r="B161" s="234" t="s">
        <v>597</v>
      </c>
      <c r="C161" s="234">
        <v>2</v>
      </c>
      <c r="D161" s="234">
        <v>42.97</v>
      </c>
      <c r="E161" s="234">
        <v>7136.46</v>
      </c>
      <c r="F161" s="234">
        <v>36</v>
      </c>
      <c r="G161" s="234">
        <v>2569.12</v>
      </c>
      <c r="H161" s="234">
        <v>50</v>
      </c>
      <c r="I161" s="234">
        <v>3568.23</v>
      </c>
      <c r="J161" s="234">
        <v>13273.81</v>
      </c>
      <c r="K161" s="234">
        <v>26547.62</v>
      </c>
      <c r="M161" s="239">
        <f t="shared" si="28"/>
        <v>42818.76</v>
      </c>
      <c r="N161" s="239">
        <f t="shared" si="29"/>
        <v>36824.100000000006</v>
      </c>
      <c r="O161" s="239">
        <f t="shared" si="30"/>
        <v>85637.52</v>
      </c>
      <c r="P161" s="239">
        <f t="shared" si="31"/>
        <v>73648.200000000012</v>
      </c>
      <c r="Q161" s="239">
        <f t="shared" si="32"/>
        <v>128456.28</v>
      </c>
      <c r="R161" s="239">
        <f t="shared" si="33"/>
        <v>110472.3</v>
      </c>
      <c r="S161" s="239">
        <f t="shared" si="34"/>
        <v>171275.04</v>
      </c>
      <c r="T161" s="239">
        <f t="shared" si="35"/>
        <v>147296.40000000002</v>
      </c>
      <c r="U161" s="238">
        <f t="shared" si="36"/>
        <v>318571.44000000006</v>
      </c>
    </row>
    <row r="162" spans="2:21">
      <c r="B162" s="234" t="s">
        <v>598</v>
      </c>
      <c r="C162" s="234">
        <v>1</v>
      </c>
      <c r="D162" s="234">
        <v>42.97</v>
      </c>
      <c r="E162" s="234">
        <v>7136.46</v>
      </c>
      <c r="F162" s="234">
        <v>36</v>
      </c>
      <c r="G162" s="234">
        <v>2569.12</v>
      </c>
      <c r="H162" s="234">
        <v>50</v>
      </c>
      <c r="I162" s="234">
        <v>3568.23</v>
      </c>
      <c r="J162" s="234">
        <v>13273.81</v>
      </c>
      <c r="K162" s="234">
        <v>13273.81</v>
      </c>
      <c r="M162" s="239">
        <f t="shared" si="28"/>
        <v>21409.38</v>
      </c>
      <c r="N162" s="239">
        <f t="shared" si="29"/>
        <v>18412.050000000003</v>
      </c>
      <c r="O162" s="239">
        <f t="shared" si="30"/>
        <v>42818.76</v>
      </c>
      <c r="P162" s="239">
        <f t="shared" si="31"/>
        <v>36824.100000000006</v>
      </c>
      <c r="Q162" s="239">
        <f t="shared" si="32"/>
        <v>64228.14</v>
      </c>
      <c r="R162" s="239">
        <f t="shared" si="33"/>
        <v>55236.15</v>
      </c>
      <c r="S162" s="239">
        <f t="shared" si="34"/>
        <v>85637.52</v>
      </c>
      <c r="T162" s="239">
        <f t="shared" si="35"/>
        <v>73648.200000000012</v>
      </c>
      <c r="U162" s="238">
        <f t="shared" si="36"/>
        <v>159285.72000000003</v>
      </c>
    </row>
    <row r="163" spans="2:21">
      <c r="B163" s="234" t="s">
        <v>599</v>
      </c>
      <c r="C163" s="234">
        <v>1</v>
      </c>
      <c r="D163" s="234">
        <v>36.770000000000003</v>
      </c>
      <c r="E163" s="234">
        <v>6106.76</v>
      </c>
      <c r="F163" s="234">
        <v>32</v>
      </c>
      <c r="G163" s="234">
        <v>1954.16</v>
      </c>
      <c r="H163" s="234">
        <v>50</v>
      </c>
      <c r="I163" s="234">
        <v>3053.38</v>
      </c>
      <c r="J163" s="234">
        <v>11114.31</v>
      </c>
      <c r="K163" s="234">
        <v>11114.31</v>
      </c>
      <c r="M163" s="239">
        <f t="shared" si="28"/>
        <v>18320.28</v>
      </c>
      <c r="N163" s="239">
        <f t="shared" si="29"/>
        <v>15022.619999999999</v>
      </c>
      <c r="O163" s="239">
        <f t="shared" si="30"/>
        <v>36640.559999999998</v>
      </c>
      <c r="P163" s="239">
        <f t="shared" si="31"/>
        <v>30045.239999999998</v>
      </c>
      <c r="Q163" s="239">
        <f t="shared" si="32"/>
        <v>54960.840000000004</v>
      </c>
      <c r="R163" s="239">
        <f t="shared" si="33"/>
        <v>45067.86</v>
      </c>
      <c r="S163" s="239">
        <f t="shared" si="34"/>
        <v>73281.119999999995</v>
      </c>
      <c r="T163" s="239">
        <f t="shared" si="35"/>
        <v>60090.479999999996</v>
      </c>
      <c r="U163" s="238">
        <f t="shared" si="36"/>
        <v>133371.59999999998</v>
      </c>
    </row>
    <row r="164" spans="2:21">
      <c r="B164" s="234" t="s">
        <v>600</v>
      </c>
      <c r="C164" s="234">
        <v>1</v>
      </c>
      <c r="D164" s="234">
        <v>28.64</v>
      </c>
      <c r="E164" s="234">
        <v>4756.53</v>
      </c>
      <c r="F164" s="234">
        <v>24</v>
      </c>
      <c r="G164" s="234">
        <v>1141.57</v>
      </c>
      <c r="H164" s="234">
        <v>50</v>
      </c>
      <c r="I164" s="234">
        <v>2378.27</v>
      </c>
      <c r="J164" s="234">
        <v>8276.36</v>
      </c>
      <c r="K164" s="234">
        <v>8276.36</v>
      </c>
      <c r="M164" s="239">
        <f t="shared" si="28"/>
        <v>14269.59</v>
      </c>
      <c r="N164" s="239">
        <f t="shared" si="29"/>
        <v>10559.52</v>
      </c>
      <c r="O164" s="239">
        <f t="shared" si="30"/>
        <v>28539.18</v>
      </c>
      <c r="P164" s="239">
        <f t="shared" si="31"/>
        <v>21119.040000000001</v>
      </c>
      <c r="Q164" s="239">
        <f t="shared" si="32"/>
        <v>42808.77</v>
      </c>
      <c r="R164" s="239">
        <f t="shared" si="33"/>
        <v>31678.560000000001</v>
      </c>
      <c r="S164" s="239">
        <f t="shared" si="34"/>
        <v>57078.36</v>
      </c>
      <c r="T164" s="239">
        <f t="shared" si="35"/>
        <v>42238.080000000002</v>
      </c>
      <c r="U164" s="238">
        <f t="shared" si="36"/>
        <v>99316.44</v>
      </c>
    </row>
    <row r="165" spans="2:21">
      <c r="B165" s="234" t="s">
        <v>601</v>
      </c>
      <c r="C165" s="234">
        <v>2</v>
      </c>
      <c r="D165" s="234">
        <v>32.15</v>
      </c>
      <c r="E165" s="234">
        <v>5339.47</v>
      </c>
      <c r="F165" s="234">
        <v>28</v>
      </c>
      <c r="G165" s="234">
        <v>1495.05</v>
      </c>
      <c r="H165" s="234">
        <v>50</v>
      </c>
      <c r="I165" s="234">
        <v>2669.74</v>
      </c>
      <c r="J165" s="234">
        <v>9504.2601599999998</v>
      </c>
      <c r="K165" s="234">
        <v>19008.52</v>
      </c>
      <c r="M165" s="239">
        <f t="shared" si="28"/>
        <v>32036.82</v>
      </c>
      <c r="N165" s="239">
        <f t="shared" si="29"/>
        <v>24988.739999999998</v>
      </c>
      <c r="O165" s="239">
        <f t="shared" si="30"/>
        <v>64073.64</v>
      </c>
      <c r="P165" s="239">
        <f t="shared" si="31"/>
        <v>49977.479999999996</v>
      </c>
      <c r="Q165" s="239">
        <f t="shared" si="32"/>
        <v>96110.46</v>
      </c>
      <c r="R165" s="239">
        <f t="shared" si="33"/>
        <v>74966.22</v>
      </c>
      <c r="S165" s="239">
        <f t="shared" si="34"/>
        <v>128147.28</v>
      </c>
      <c r="T165" s="239">
        <f t="shared" si="35"/>
        <v>99954.959999999992</v>
      </c>
      <c r="U165" s="238">
        <f t="shared" si="36"/>
        <v>228102.24</v>
      </c>
    </row>
    <row r="166" spans="2:21">
      <c r="B166" s="234" t="s">
        <v>602</v>
      </c>
      <c r="C166" s="234">
        <v>1</v>
      </c>
      <c r="D166" s="234">
        <v>42.97</v>
      </c>
      <c r="E166" s="234">
        <v>7136.46</v>
      </c>
      <c r="F166" s="234">
        <v>36</v>
      </c>
      <c r="G166" s="234">
        <v>2569.12</v>
      </c>
      <c r="H166" s="234">
        <v>50</v>
      </c>
      <c r="I166" s="234">
        <v>3568.23</v>
      </c>
      <c r="J166" s="234">
        <v>13273.81</v>
      </c>
      <c r="K166" s="234">
        <v>13273.81</v>
      </c>
      <c r="M166" s="239">
        <f t="shared" si="28"/>
        <v>21409.38</v>
      </c>
      <c r="N166" s="239">
        <f t="shared" si="29"/>
        <v>18412.050000000003</v>
      </c>
      <c r="O166" s="239">
        <f t="shared" si="30"/>
        <v>42818.76</v>
      </c>
      <c r="P166" s="239">
        <f t="shared" si="31"/>
        <v>36824.100000000006</v>
      </c>
      <c r="Q166" s="239">
        <f t="shared" si="32"/>
        <v>64228.14</v>
      </c>
      <c r="R166" s="239">
        <f t="shared" si="33"/>
        <v>55236.15</v>
      </c>
      <c r="S166" s="239">
        <f t="shared" si="34"/>
        <v>85637.52</v>
      </c>
      <c r="T166" s="239">
        <f t="shared" si="35"/>
        <v>73648.200000000012</v>
      </c>
      <c r="U166" s="238">
        <f t="shared" si="36"/>
        <v>159285.72000000003</v>
      </c>
    </row>
    <row r="167" spans="2:21">
      <c r="B167" s="234" t="s">
        <v>603</v>
      </c>
      <c r="C167" s="234">
        <v>1</v>
      </c>
      <c r="D167" s="234">
        <v>42.97</v>
      </c>
      <c r="E167" s="234">
        <v>7136.46</v>
      </c>
      <c r="F167" s="234">
        <v>36</v>
      </c>
      <c r="G167" s="234">
        <v>2569.12</v>
      </c>
      <c r="H167" s="234">
        <v>50</v>
      </c>
      <c r="I167" s="234">
        <v>3568.23</v>
      </c>
      <c r="J167" s="234">
        <v>13273.81</v>
      </c>
      <c r="K167" s="234">
        <v>13273.81</v>
      </c>
      <c r="M167" s="239">
        <f t="shared" si="28"/>
        <v>21409.38</v>
      </c>
      <c r="N167" s="239">
        <f t="shared" si="29"/>
        <v>18412.050000000003</v>
      </c>
      <c r="O167" s="239">
        <f t="shared" si="30"/>
        <v>42818.76</v>
      </c>
      <c r="P167" s="239">
        <f t="shared" si="31"/>
        <v>36824.100000000006</v>
      </c>
      <c r="Q167" s="239">
        <f t="shared" si="32"/>
        <v>64228.14</v>
      </c>
      <c r="R167" s="239">
        <f t="shared" si="33"/>
        <v>55236.15</v>
      </c>
      <c r="S167" s="239">
        <f t="shared" si="34"/>
        <v>85637.52</v>
      </c>
      <c r="T167" s="239">
        <f t="shared" si="35"/>
        <v>73648.200000000012</v>
      </c>
      <c r="U167" s="238">
        <f t="shared" si="36"/>
        <v>159285.72000000003</v>
      </c>
    </row>
    <row r="168" spans="2:21">
      <c r="B168" s="234" t="s">
        <v>604</v>
      </c>
      <c r="C168" s="234">
        <v>8</v>
      </c>
      <c r="D168" s="234">
        <v>36.770000000000003</v>
      </c>
      <c r="E168" s="234">
        <v>6106.76</v>
      </c>
      <c r="F168" s="234">
        <v>32</v>
      </c>
      <c r="G168" s="234">
        <v>1954.16</v>
      </c>
      <c r="H168" s="234">
        <v>50</v>
      </c>
      <c r="I168" s="234">
        <v>3053.38</v>
      </c>
      <c r="J168" s="234">
        <v>11114.31</v>
      </c>
      <c r="K168" s="234">
        <v>88914.45</v>
      </c>
      <c r="M168" s="239">
        <f t="shared" si="28"/>
        <v>146562.23999999999</v>
      </c>
      <c r="N168" s="239">
        <f t="shared" si="29"/>
        <v>120180.95999999999</v>
      </c>
      <c r="O168" s="239">
        <f t="shared" si="30"/>
        <v>293124.47999999998</v>
      </c>
      <c r="P168" s="239">
        <f t="shared" si="31"/>
        <v>240361.91999999998</v>
      </c>
      <c r="Q168" s="239">
        <f t="shared" si="32"/>
        <v>439686.72000000003</v>
      </c>
      <c r="R168" s="239">
        <f t="shared" si="33"/>
        <v>360542.88</v>
      </c>
      <c r="S168" s="239">
        <f t="shared" si="34"/>
        <v>586248.95999999996</v>
      </c>
      <c r="T168" s="239">
        <f t="shared" si="35"/>
        <v>480723.83999999997</v>
      </c>
      <c r="U168" s="238">
        <f t="shared" si="36"/>
        <v>1066972.7999999998</v>
      </c>
    </row>
    <row r="169" spans="2:21">
      <c r="B169" s="234" t="s">
        <v>472</v>
      </c>
      <c r="C169" s="234">
        <v>46</v>
      </c>
      <c r="D169" s="234"/>
      <c r="E169" s="234"/>
      <c r="F169" s="234"/>
      <c r="G169" s="234"/>
      <c r="H169" s="234"/>
      <c r="I169" s="234"/>
      <c r="J169" s="234"/>
      <c r="K169" s="234">
        <v>488360.27</v>
      </c>
      <c r="M169" s="239">
        <f t="shared" si="28"/>
        <v>0</v>
      </c>
      <c r="N169" s="239">
        <f t="shared" si="29"/>
        <v>0</v>
      </c>
      <c r="O169" s="239">
        <f t="shared" si="30"/>
        <v>0</v>
      </c>
      <c r="P169" s="239">
        <f t="shared" si="31"/>
        <v>0</v>
      </c>
      <c r="Q169" s="239">
        <f t="shared" si="32"/>
        <v>0</v>
      </c>
      <c r="R169" s="239">
        <f t="shared" si="33"/>
        <v>0</v>
      </c>
      <c r="S169" s="239">
        <f t="shared" si="34"/>
        <v>0</v>
      </c>
      <c r="T169" s="239">
        <f t="shared" si="35"/>
        <v>0</v>
      </c>
      <c r="U169" s="238">
        <f t="shared" si="36"/>
        <v>0</v>
      </c>
    </row>
    <row r="170" spans="2:21">
      <c r="B170" s="234" t="s">
        <v>605</v>
      </c>
      <c r="C170" s="234"/>
      <c r="D170" s="234"/>
      <c r="E170" s="234"/>
      <c r="F170" s="234"/>
      <c r="G170" s="234"/>
      <c r="H170" s="234"/>
      <c r="I170" s="234"/>
      <c r="J170" s="234"/>
      <c r="K170" s="234"/>
      <c r="M170" s="239">
        <f t="shared" si="28"/>
        <v>0</v>
      </c>
      <c r="N170" s="239">
        <f t="shared" si="29"/>
        <v>0</v>
      </c>
      <c r="O170" s="239">
        <f t="shared" si="30"/>
        <v>0</v>
      </c>
      <c r="P170" s="239">
        <f t="shared" si="31"/>
        <v>0</v>
      </c>
      <c r="Q170" s="239">
        <f t="shared" si="32"/>
        <v>0</v>
      </c>
      <c r="R170" s="239">
        <f t="shared" si="33"/>
        <v>0</v>
      </c>
      <c r="S170" s="239">
        <f t="shared" si="34"/>
        <v>0</v>
      </c>
      <c r="T170" s="239">
        <f t="shared" si="35"/>
        <v>0</v>
      </c>
      <c r="U170" s="238">
        <f t="shared" si="36"/>
        <v>0</v>
      </c>
    </row>
    <row r="171" spans="2:21">
      <c r="B171" s="234" t="s">
        <v>606</v>
      </c>
      <c r="C171" s="234">
        <v>1</v>
      </c>
      <c r="D171" s="234">
        <v>36.92</v>
      </c>
      <c r="E171" s="234">
        <v>6131.67</v>
      </c>
      <c r="F171" s="234">
        <v>24</v>
      </c>
      <c r="G171" s="234">
        <v>1471.601664</v>
      </c>
      <c r="H171" s="234">
        <v>50</v>
      </c>
      <c r="I171" s="234">
        <v>3065.84</v>
      </c>
      <c r="J171" s="234">
        <v>9197.51</v>
      </c>
      <c r="K171" s="234">
        <v>9197.51</v>
      </c>
      <c r="M171" s="239">
        <f t="shared" si="28"/>
        <v>18395.010000000002</v>
      </c>
      <c r="N171" s="239">
        <f t="shared" si="29"/>
        <v>13612.324992</v>
      </c>
      <c r="O171" s="239">
        <f t="shared" si="30"/>
        <v>36790.020000000004</v>
      </c>
      <c r="P171" s="239">
        <f t="shared" si="31"/>
        <v>27224.649984</v>
      </c>
      <c r="Q171" s="239">
        <f t="shared" si="32"/>
        <v>55185.03</v>
      </c>
      <c r="R171" s="239">
        <f t="shared" si="33"/>
        <v>40836.974975999998</v>
      </c>
      <c r="S171" s="239">
        <f t="shared" si="34"/>
        <v>73580.040000000008</v>
      </c>
      <c r="T171" s="239">
        <f t="shared" si="35"/>
        <v>54449.299967999999</v>
      </c>
      <c r="U171" s="238">
        <f t="shared" si="36"/>
        <v>128029.33996800001</v>
      </c>
    </row>
    <row r="172" spans="2:21">
      <c r="B172" s="234" t="s">
        <v>607</v>
      </c>
      <c r="C172" s="234">
        <v>1</v>
      </c>
      <c r="D172" s="234">
        <v>29.41</v>
      </c>
      <c r="E172" s="234">
        <v>4884.41</v>
      </c>
      <c r="F172" s="234">
        <v>28</v>
      </c>
      <c r="G172" s="234">
        <v>976.88</v>
      </c>
      <c r="H172" s="234">
        <v>50</v>
      </c>
      <c r="I172" s="234">
        <v>2442.21</v>
      </c>
      <c r="J172" s="234">
        <v>7326.62</v>
      </c>
      <c r="K172" s="234">
        <v>7326.62</v>
      </c>
      <c r="M172" s="239">
        <f t="shared" si="28"/>
        <v>14653.23</v>
      </c>
      <c r="N172" s="239">
        <f t="shared" si="29"/>
        <v>10257.27</v>
      </c>
      <c r="O172" s="239">
        <f t="shared" si="30"/>
        <v>29306.46</v>
      </c>
      <c r="P172" s="239">
        <f t="shared" si="31"/>
        <v>20514.54</v>
      </c>
      <c r="Q172" s="239">
        <f t="shared" si="32"/>
        <v>43959.69</v>
      </c>
      <c r="R172" s="239">
        <f t="shared" si="33"/>
        <v>30771.81</v>
      </c>
      <c r="S172" s="239">
        <f t="shared" si="34"/>
        <v>58612.92</v>
      </c>
      <c r="T172" s="239">
        <f t="shared" si="35"/>
        <v>41029.08</v>
      </c>
      <c r="U172" s="238">
        <f t="shared" si="36"/>
        <v>99642</v>
      </c>
    </row>
    <row r="173" spans="2:21">
      <c r="B173" s="234" t="s">
        <v>608</v>
      </c>
      <c r="C173" s="234">
        <v>1</v>
      </c>
      <c r="D173" s="234">
        <v>29.41</v>
      </c>
      <c r="E173" s="234">
        <v>4884.41</v>
      </c>
      <c r="F173" s="234">
        <v>20</v>
      </c>
      <c r="G173" s="234">
        <v>1367.64</v>
      </c>
      <c r="H173" s="234">
        <v>50</v>
      </c>
      <c r="I173" s="234">
        <v>2442.21</v>
      </c>
      <c r="J173" s="234">
        <v>7326.62</v>
      </c>
      <c r="K173" s="234">
        <v>7326.62</v>
      </c>
      <c r="M173" s="239">
        <f t="shared" si="28"/>
        <v>14653.23</v>
      </c>
      <c r="N173" s="239">
        <f t="shared" si="29"/>
        <v>11429.550000000001</v>
      </c>
      <c r="O173" s="239">
        <f t="shared" si="30"/>
        <v>29306.46</v>
      </c>
      <c r="P173" s="239">
        <f t="shared" si="31"/>
        <v>22859.100000000002</v>
      </c>
      <c r="Q173" s="239">
        <f t="shared" si="32"/>
        <v>43959.69</v>
      </c>
      <c r="R173" s="239">
        <f t="shared" si="33"/>
        <v>34288.65</v>
      </c>
      <c r="S173" s="239">
        <f t="shared" si="34"/>
        <v>58612.92</v>
      </c>
      <c r="T173" s="239">
        <f t="shared" si="35"/>
        <v>45718.200000000004</v>
      </c>
      <c r="U173" s="238">
        <f t="shared" si="36"/>
        <v>104331.12</v>
      </c>
    </row>
    <row r="174" spans="2:21">
      <c r="B174" s="234" t="s">
        <v>609</v>
      </c>
      <c r="C174" s="234">
        <v>1</v>
      </c>
      <c r="D174" s="234">
        <v>29.41</v>
      </c>
      <c r="E174" s="234">
        <v>4884.41</v>
      </c>
      <c r="F174" s="234">
        <v>20</v>
      </c>
      <c r="G174" s="234">
        <v>1367.64</v>
      </c>
      <c r="H174" s="234">
        <v>50</v>
      </c>
      <c r="I174" s="234">
        <v>2442.21</v>
      </c>
      <c r="J174" s="234">
        <v>7326.62</v>
      </c>
      <c r="K174" s="234">
        <v>7326.62</v>
      </c>
      <c r="M174" s="239">
        <f t="shared" si="28"/>
        <v>14653.23</v>
      </c>
      <c r="N174" s="239">
        <f t="shared" si="29"/>
        <v>11429.550000000001</v>
      </c>
      <c r="O174" s="239">
        <f t="shared" si="30"/>
        <v>29306.46</v>
      </c>
      <c r="P174" s="239">
        <f t="shared" si="31"/>
        <v>22859.100000000002</v>
      </c>
      <c r="Q174" s="239">
        <f t="shared" si="32"/>
        <v>43959.69</v>
      </c>
      <c r="R174" s="239">
        <f t="shared" si="33"/>
        <v>34288.65</v>
      </c>
      <c r="S174" s="239">
        <f t="shared" si="34"/>
        <v>58612.92</v>
      </c>
      <c r="T174" s="239">
        <f t="shared" si="35"/>
        <v>45718.200000000004</v>
      </c>
      <c r="U174" s="238">
        <f t="shared" si="36"/>
        <v>104331.12</v>
      </c>
    </row>
    <row r="175" spans="2:21">
      <c r="B175" s="234" t="s">
        <v>610</v>
      </c>
      <c r="C175" s="234">
        <v>1</v>
      </c>
      <c r="D175" s="234">
        <v>29.41</v>
      </c>
      <c r="E175" s="234">
        <v>4884.41</v>
      </c>
      <c r="F175" s="234">
        <v>20</v>
      </c>
      <c r="G175" s="234">
        <v>1367.64</v>
      </c>
      <c r="H175" s="234">
        <v>50</v>
      </c>
      <c r="I175" s="234">
        <v>2442.21</v>
      </c>
      <c r="J175" s="234">
        <v>7326.62</v>
      </c>
      <c r="K175" s="234">
        <v>7326.62</v>
      </c>
      <c r="M175" s="239">
        <f t="shared" si="28"/>
        <v>14653.23</v>
      </c>
      <c r="N175" s="239">
        <f t="shared" si="29"/>
        <v>11429.550000000001</v>
      </c>
      <c r="O175" s="239">
        <f t="shared" si="30"/>
        <v>29306.46</v>
      </c>
      <c r="P175" s="239">
        <f t="shared" si="31"/>
        <v>22859.100000000002</v>
      </c>
      <c r="Q175" s="239">
        <f t="shared" si="32"/>
        <v>43959.69</v>
      </c>
      <c r="R175" s="239">
        <f t="shared" si="33"/>
        <v>34288.65</v>
      </c>
      <c r="S175" s="239">
        <f t="shared" si="34"/>
        <v>58612.92</v>
      </c>
      <c r="T175" s="239">
        <f t="shared" si="35"/>
        <v>45718.200000000004</v>
      </c>
      <c r="U175" s="238">
        <f t="shared" si="36"/>
        <v>104331.12</v>
      </c>
    </row>
    <row r="176" spans="2:21">
      <c r="B176" s="234" t="s">
        <v>472</v>
      </c>
      <c r="C176" s="234">
        <v>5</v>
      </c>
      <c r="D176" s="234"/>
      <c r="E176" s="234"/>
      <c r="F176" s="234"/>
      <c r="G176" s="234"/>
      <c r="H176" s="234"/>
      <c r="I176" s="234"/>
      <c r="J176" s="234"/>
      <c r="K176" s="234">
        <v>38503.99</v>
      </c>
      <c r="M176" s="239">
        <f t="shared" si="28"/>
        <v>0</v>
      </c>
      <c r="N176" s="239">
        <f t="shared" si="29"/>
        <v>0</v>
      </c>
      <c r="O176" s="239">
        <f t="shared" si="30"/>
        <v>0</v>
      </c>
      <c r="P176" s="239">
        <f t="shared" si="31"/>
        <v>0</v>
      </c>
      <c r="Q176" s="239">
        <f t="shared" si="32"/>
        <v>0</v>
      </c>
      <c r="R176" s="239">
        <f t="shared" si="33"/>
        <v>0</v>
      </c>
      <c r="S176" s="239">
        <f t="shared" si="34"/>
        <v>0</v>
      </c>
      <c r="T176" s="239">
        <f t="shared" si="35"/>
        <v>0</v>
      </c>
      <c r="U176" s="238">
        <f t="shared" si="36"/>
        <v>0</v>
      </c>
    </row>
    <row r="177" spans="2:21">
      <c r="B177" s="234" t="s">
        <v>611</v>
      </c>
      <c r="C177" s="234"/>
      <c r="D177" s="234"/>
      <c r="E177" s="234"/>
      <c r="F177" s="234"/>
      <c r="G177" s="234"/>
      <c r="H177" s="234"/>
      <c r="I177" s="234"/>
      <c r="J177" s="234"/>
      <c r="K177" s="234"/>
      <c r="M177" s="239">
        <f t="shared" si="28"/>
        <v>0</v>
      </c>
      <c r="N177" s="239">
        <f t="shared" si="29"/>
        <v>0</v>
      </c>
      <c r="O177" s="239">
        <f t="shared" si="30"/>
        <v>0</v>
      </c>
      <c r="P177" s="239">
        <f t="shared" si="31"/>
        <v>0</v>
      </c>
      <c r="Q177" s="239">
        <f t="shared" si="32"/>
        <v>0</v>
      </c>
      <c r="R177" s="239">
        <f t="shared" si="33"/>
        <v>0</v>
      </c>
      <c r="S177" s="239">
        <f t="shared" si="34"/>
        <v>0</v>
      </c>
      <c r="T177" s="239">
        <f t="shared" si="35"/>
        <v>0</v>
      </c>
      <c r="U177" s="238">
        <f t="shared" si="36"/>
        <v>0</v>
      </c>
    </row>
    <row r="178" spans="2:21">
      <c r="B178" s="259" t="s">
        <v>612</v>
      </c>
      <c r="C178" s="234">
        <v>5</v>
      </c>
      <c r="D178" s="234">
        <v>29.41</v>
      </c>
      <c r="E178" s="234">
        <v>4884.41</v>
      </c>
      <c r="F178" s="234">
        <v>20</v>
      </c>
      <c r="G178" s="234">
        <v>976.88</v>
      </c>
      <c r="H178" s="234">
        <v>50</v>
      </c>
      <c r="I178" s="234">
        <v>2442.21</v>
      </c>
      <c r="J178" s="234">
        <v>7326.62</v>
      </c>
      <c r="K178" s="234">
        <v>36633.1</v>
      </c>
      <c r="M178" s="239">
        <f t="shared" si="28"/>
        <v>73266.149999999994</v>
      </c>
      <c r="N178" s="239">
        <f t="shared" si="29"/>
        <v>51286.350000000006</v>
      </c>
      <c r="O178" s="239">
        <f t="shared" si="30"/>
        <v>146532.29999999999</v>
      </c>
      <c r="P178" s="239">
        <f t="shared" si="31"/>
        <v>102572.70000000001</v>
      </c>
      <c r="Q178" s="239">
        <f t="shared" si="32"/>
        <v>219798.44999999998</v>
      </c>
      <c r="R178" s="239">
        <f t="shared" si="33"/>
        <v>153859.05000000002</v>
      </c>
      <c r="S178" s="239">
        <f t="shared" si="34"/>
        <v>293064.59999999998</v>
      </c>
      <c r="T178" s="239">
        <f t="shared" si="35"/>
        <v>205145.40000000002</v>
      </c>
      <c r="U178" s="238">
        <f t="shared" si="36"/>
        <v>498210</v>
      </c>
    </row>
    <row r="179" spans="2:21">
      <c r="B179" s="259" t="s">
        <v>612</v>
      </c>
      <c r="C179" s="234">
        <v>1</v>
      </c>
      <c r="D179" s="234">
        <v>34.380000000000003</v>
      </c>
      <c r="E179" s="234">
        <v>5709.83</v>
      </c>
      <c r="F179" s="234">
        <v>24</v>
      </c>
      <c r="G179" s="234">
        <v>1370.36</v>
      </c>
      <c r="H179" s="234">
        <v>50</v>
      </c>
      <c r="I179" s="234">
        <v>2854.92</v>
      </c>
      <c r="J179" s="234">
        <v>8564.75</v>
      </c>
      <c r="K179" s="234">
        <v>8564.75</v>
      </c>
      <c r="M179" s="239">
        <f t="shared" si="28"/>
        <v>17129.489999999998</v>
      </c>
      <c r="N179" s="239">
        <f t="shared" si="29"/>
        <v>12675.84</v>
      </c>
      <c r="O179" s="239">
        <f t="shared" si="30"/>
        <v>34258.979999999996</v>
      </c>
      <c r="P179" s="239">
        <f t="shared" si="31"/>
        <v>25351.68</v>
      </c>
      <c r="Q179" s="239">
        <f t="shared" si="32"/>
        <v>51388.47</v>
      </c>
      <c r="R179" s="239">
        <f t="shared" si="33"/>
        <v>38027.519999999997</v>
      </c>
      <c r="S179" s="239">
        <f t="shared" si="34"/>
        <v>68517.959999999992</v>
      </c>
      <c r="T179" s="239">
        <f t="shared" si="35"/>
        <v>50703.360000000001</v>
      </c>
      <c r="U179" s="238">
        <f t="shared" si="36"/>
        <v>119221.31999999999</v>
      </c>
    </row>
    <row r="180" spans="2:21">
      <c r="B180" s="259" t="s">
        <v>613</v>
      </c>
      <c r="C180" s="234">
        <v>1</v>
      </c>
      <c r="D180" s="234">
        <v>29.41</v>
      </c>
      <c r="E180" s="234">
        <v>4884.41</v>
      </c>
      <c r="F180" s="234">
        <v>20</v>
      </c>
      <c r="G180" s="234">
        <v>976.88</v>
      </c>
      <c r="H180" s="234">
        <v>50</v>
      </c>
      <c r="I180" s="234">
        <v>2442.21</v>
      </c>
      <c r="J180" s="234">
        <v>7326.62</v>
      </c>
      <c r="K180" s="234">
        <v>7326.62</v>
      </c>
      <c r="M180" s="239">
        <f t="shared" si="28"/>
        <v>14653.23</v>
      </c>
      <c r="N180" s="239">
        <f t="shared" si="29"/>
        <v>10257.27</v>
      </c>
      <c r="O180" s="239">
        <f t="shared" si="30"/>
        <v>29306.46</v>
      </c>
      <c r="P180" s="239">
        <f t="shared" si="31"/>
        <v>20514.54</v>
      </c>
      <c r="Q180" s="239">
        <f t="shared" si="32"/>
        <v>43959.69</v>
      </c>
      <c r="R180" s="239">
        <f t="shared" si="33"/>
        <v>30771.81</v>
      </c>
      <c r="S180" s="239">
        <f t="shared" si="34"/>
        <v>58612.92</v>
      </c>
      <c r="T180" s="239">
        <f t="shared" si="35"/>
        <v>41029.08</v>
      </c>
      <c r="U180" s="238">
        <f t="shared" si="36"/>
        <v>99642</v>
      </c>
    </row>
    <row r="181" spans="2:21">
      <c r="B181" s="259" t="s">
        <v>614</v>
      </c>
      <c r="C181" s="234">
        <v>1</v>
      </c>
      <c r="D181" s="234">
        <v>29.41</v>
      </c>
      <c r="E181" s="234">
        <v>4884.41</v>
      </c>
      <c r="F181" s="234">
        <v>28</v>
      </c>
      <c r="G181" s="234">
        <v>1367.64</v>
      </c>
      <c r="H181" s="234">
        <v>50</v>
      </c>
      <c r="I181" s="234">
        <v>2442.21</v>
      </c>
      <c r="J181" s="234">
        <v>7326.62</v>
      </c>
      <c r="K181" s="234">
        <v>7326.62</v>
      </c>
      <c r="M181" s="239">
        <f t="shared" si="28"/>
        <v>14653.23</v>
      </c>
      <c r="N181" s="239">
        <f t="shared" si="29"/>
        <v>11429.550000000001</v>
      </c>
      <c r="O181" s="239">
        <f t="shared" si="30"/>
        <v>29306.46</v>
      </c>
      <c r="P181" s="239">
        <f t="shared" si="31"/>
        <v>22859.100000000002</v>
      </c>
      <c r="Q181" s="239">
        <f t="shared" si="32"/>
        <v>43959.69</v>
      </c>
      <c r="R181" s="239">
        <f t="shared" si="33"/>
        <v>34288.65</v>
      </c>
      <c r="S181" s="239">
        <f t="shared" si="34"/>
        <v>58612.92</v>
      </c>
      <c r="T181" s="239">
        <f t="shared" si="35"/>
        <v>45718.200000000004</v>
      </c>
      <c r="U181" s="238">
        <f t="shared" si="36"/>
        <v>104331.12</v>
      </c>
    </row>
    <row r="182" spans="2:21">
      <c r="B182" s="259" t="s">
        <v>615</v>
      </c>
      <c r="C182" s="234">
        <v>1</v>
      </c>
      <c r="D182" s="234">
        <v>34.380000000000003</v>
      </c>
      <c r="E182" s="234">
        <v>5709.83</v>
      </c>
      <c r="F182" s="234">
        <v>32</v>
      </c>
      <c r="G182" s="234">
        <v>1598.75</v>
      </c>
      <c r="H182" s="234">
        <v>50</v>
      </c>
      <c r="I182" s="234">
        <v>2854.92</v>
      </c>
      <c r="J182" s="234">
        <v>8564.75</v>
      </c>
      <c r="K182" s="234">
        <v>8564.75</v>
      </c>
      <c r="M182" s="239">
        <f t="shared" si="28"/>
        <v>17129.489999999998</v>
      </c>
      <c r="N182" s="239">
        <f t="shared" si="29"/>
        <v>13361.01</v>
      </c>
      <c r="O182" s="239">
        <f t="shared" si="30"/>
        <v>34258.979999999996</v>
      </c>
      <c r="P182" s="239">
        <f t="shared" si="31"/>
        <v>26722.02</v>
      </c>
      <c r="Q182" s="239">
        <f t="shared" si="32"/>
        <v>51388.47</v>
      </c>
      <c r="R182" s="239">
        <f t="shared" si="33"/>
        <v>40083.03</v>
      </c>
      <c r="S182" s="239">
        <f t="shared" si="34"/>
        <v>68517.959999999992</v>
      </c>
      <c r="T182" s="239">
        <f t="shared" si="35"/>
        <v>53444.04</v>
      </c>
      <c r="U182" s="238">
        <f t="shared" si="36"/>
        <v>121962</v>
      </c>
    </row>
    <row r="183" spans="2:21">
      <c r="B183" s="259" t="s">
        <v>606</v>
      </c>
      <c r="C183" s="234">
        <v>1</v>
      </c>
      <c r="D183" s="234">
        <v>36.92</v>
      </c>
      <c r="E183" s="234">
        <v>6131.67</v>
      </c>
      <c r="F183" s="234">
        <v>24</v>
      </c>
      <c r="G183" s="234">
        <v>1471.6</v>
      </c>
      <c r="H183" s="234">
        <v>50</v>
      </c>
      <c r="I183" s="234">
        <v>3065.84</v>
      </c>
      <c r="J183" s="234">
        <v>9197.51</v>
      </c>
      <c r="K183" s="234">
        <v>9197.51</v>
      </c>
      <c r="M183" s="239">
        <f t="shared" si="28"/>
        <v>18395.010000000002</v>
      </c>
      <c r="N183" s="239">
        <f t="shared" si="29"/>
        <v>13612.320000000002</v>
      </c>
      <c r="O183" s="239">
        <f t="shared" si="30"/>
        <v>36790.020000000004</v>
      </c>
      <c r="P183" s="239">
        <f t="shared" si="31"/>
        <v>27224.640000000003</v>
      </c>
      <c r="Q183" s="239">
        <f t="shared" si="32"/>
        <v>55185.03</v>
      </c>
      <c r="R183" s="239">
        <f t="shared" si="33"/>
        <v>40836.960000000006</v>
      </c>
      <c r="S183" s="239">
        <f t="shared" si="34"/>
        <v>73580.040000000008</v>
      </c>
      <c r="T183" s="239">
        <f t="shared" si="35"/>
        <v>54449.280000000006</v>
      </c>
      <c r="U183" s="238">
        <f t="shared" si="36"/>
        <v>128029.32</v>
      </c>
    </row>
    <row r="184" spans="2:21">
      <c r="B184" s="259" t="s">
        <v>607</v>
      </c>
      <c r="C184" s="234">
        <v>1</v>
      </c>
      <c r="D184" s="234">
        <v>25.79</v>
      </c>
      <c r="E184" s="234">
        <v>4283.2</v>
      </c>
      <c r="F184" s="234">
        <v>24</v>
      </c>
      <c r="G184" s="234">
        <v>1027.97</v>
      </c>
      <c r="H184" s="234">
        <v>50</v>
      </c>
      <c r="I184" s="234">
        <v>2141.6</v>
      </c>
      <c r="J184" s="234">
        <v>6424.8</v>
      </c>
      <c r="K184" s="234">
        <v>6424.8</v>
      </c>
      <c r="M184" s="239">
        <f t="shared" si="28"/>
        <v>12849.599999999999</v>
      </c>
      <c r="N184" s="239">
        <f t="shared" si="29"/>
        <v>9508.7099999999991</v>
      </c>
      <c r="O184" s="239">
        <f t="shared" si="30"/>
        <v>25699.199999999997</v>
      </c>
      <c r="P184" s="239">
        <f t="shared" si="31"/>
        <v>19017.419999999998</v>
      </c>
      <c r="Q184" s="239">
        <f t="shared" si="32"/>
        <v>38548.799999999996</v>
      </c>
      <c r="R184" s="239">
        <f t="shared" si="33"/>
        <v>28526.129999999997</v>
      </c>
      <c r="S184" s="239">
        <f t="shared" si="34"/>
        <v>51398.399999999994</v>
      </c>
      <c r="T184" s="239">
        <f t="shared" si="35"/>
        <v>38034.839999999997</v>
      </c>
      <c r="U184" s="238">
        <f t="shared" si="36"/>
        <v>89433.239999999991</v>
      </c>
    </row>
    <row r="185" spans="2:21">
      <c r="B185" s="259" t="s">
        <v>607</v>
      </c>
      <c r="C185" s="234">
        <v>2</v>
      </c>
      <c r="D185" s="234">
        <v>29.41</v>
      </c>
      <c r="E185" s="234">
        <v>4884.41</v>
      </c>
      <c r="F185" s="234">
        <v>28</v>
      </c>
      <c r="G185" s="234">
        <v>1367.64</v>
      </c>
      <c r="H185" s="234">
        <v>50</v>
      </c>
      <c r="I185" s="234">
        <v>2442.21</v>
      </c>
      <c r="J185" s="234">
        <v>7326.62</v>
      </c>
      <c r="K185" s="234">
        <v>14653.24</v>
      </c>
      <c r="M185" s="239">
        <f t="shared" si="28"/>
        <v>29306.46</v>
      </c>
      <c r="N185" s="239">
        <f t="shared" si="29"/>
        <v>22859.100000000002</v>
      </c>
      <c r="O185" s="239">
        <f t="shared" si="30"/>
        <v>58612.92</v>
      </c>
      <c r="P185" s="239">
        <f t="shared" si="31"/>
        <v>45718.200000000004</v>
      </c>
      <c r="Q185" s="239">
        <f t="shared" si="32"/>
        <v>87919.38</v>
      </c>
      <c r="R185" s="239">
        <f t="shared" si="33"/>
        <v>68577.3</v>
      </c>
      <c r="S185" s="239">
        <f t="shared" si="34"/>
        <v>117225.84</v>
      </c>
      <c r="T185" s="239">
        <f t="shared" si="35"/>
        <v>91436.400000000009</v>
      </c>
      <c r="U185" s="238">
        <f t="shared" si="36"/>
        <v>208662.24</v>
      </c>
    </row>
    <row r="186" spans="2:21">
      <c r="B186" s="259" t="s">
        <v>616</v>
      </c>
      <c r="C186" s="234">
        <v>1</v>
      </c>
      <c r="D186" s="234">
        <v>29.41</v>
      </c>
      <c r="E186" s="234">
        <v>4884.41</v>
      </c>
      <c r="F186" s="234">
        <v>28</v>
      </c>
      <c r="G186" s="234">
        <v>1367.64</v>
      </c>
      <c r="H186" s="234">
        <v>50</v>
      </c>
      <c r="I186" s="234">
        <v>2442.21</v>
      </c>
      <c r="J186" s="234">
        <v>7326.62</v>
      </c>
      <c r="K186" s="234">
        <v>7326.62</v>
      </c>
      <c r="M186" s="239">
        <f t="shared" si="28"/>
        <v>14653.23</v>
      </c>
      <c r="N186" s="239">
        <f t="shared" si="29"/>
        <v>11429.550000000001</v>
      </c>
      <c r="O186" s="239">
        <f t="shared" si="30"/>
        <v>29306.46</v>
      </c>
      <c r="P186" s="239">
        <f t="shared" si="31"/>
        <v>22859.100000000002</v>
      </c>
      <c r="Q186" s="239">
        <f t="shared" si="32"/>
        <v>43959.69</v>
      </c>
      <c r="R186" s="239">
        <f t="shared" si="33"/>
        <v>34288.65</v>
      </c>
      <c r="S186" s="239">
        <f t="shared" si="34"/>
        <v>58612.92</v>
      </c>
      <c r="T186" s="239">
        <f t="shared" si="35"/>
        <v>45718.200000000004</v>
      </c>
      <c r="U186" s="238">
        <f t="shared" si="36"/>
        <v>104331.12</v>
      </c>
    </row>
    <row r="187" spans="2:21">
      <c r="B187" s="259" t="s">
        <v>617</v>
      </c>
      <c r="C187" s="234">
        <v>1</v>
      </c>
      <c r="D187" s="234">
        <v>29.41</v>
      </c>
      <c r="E187" s="234">
        <v>4884.41</v>
      </c>
      <c r="F187" s="234">
        <v>20</v>
      </c>
      <c r="G187" s="234">
        <v>976.88</v>
      </c>
      <c r="H187" s="234">
        <v>50</v>
      </c>
      <c r="I187" s="234">
        <v>2442.21</v>
      </c>
      <c r="J187" s="234">
        <v>7326.62</v>
      </c>
      <c r="K187" s="234">
        <v>7326.62</v>
      </c>
      <c r="M187" s="239">
        <f t="shared" si="28"/>
        <v>14653.23</v>
      </c>
      <c r="N187" s="239">
        <f t="shared" si="29"/>
        <v>10257.27</v>
      </c>
      <c r="O187" s="239">
        <f t="shared" si="30"/>
        <v>29306.46</v>
      </c>
      <c r="P187" s="239">
        <f t="shared" si="31"/>
        <v>20514.54</v>
      </c>
      <c r="Q187" s="239">
        <f t="shared" si="32"/>
        <v>43959.69</v>
      </c>
      <c r="R187" s="239">
        <f t="shared" si="33"/>
        <v>30771.81</v>
      </c>
      <c r="S187" s="239">
        <f t="shared" si="34"/>
        <v>58612.92</v>
      </c>
      <c r="T187" s="239">
        <f t="shared" si="35"/>
        <v>41029.08</v>
      </c>
      <c r="U187" s="238">
        <f t="shared" si="36"/>
        <v>99642</v>
      </c>
    </row>
    <row r="188" spans="2:21">
      <c r="B188" s="259" t="s">
        <v>472</v>
      </c>
      <c r="C188" s="234">
        <v>15</v>
      </c>
      <c r="D188" s="234"/>
      <c r="E188" s="234"/>
      <c r="F188" s="234"/>
      <c r="G188" s="234"/>
      <c r="H188" s="234"/>
      <c r="I188" s="234"/>
      <c r="J188" s="234"/>
      <c r="K188" s="234">
        <v>113344.62</v>
      </c>
      <c r="M188" s="239">
        <f t="shared" si="28"/>
        <v>0</v>
      </c>
      <c r="N188" s="239">
        <f t="shared" si="29"/>
        <v>0</v>
      </c>
      <c r="O188" s="239">
        <f t="shared" si="30"/>
        <v>0</v>
      </c>
      <c r="P188" s="239">
        <f t="shared" si="31"/>
        <v>0</v>
      </c>
      <c r="Q188" s="239">
        <f t="shared" si="32"/>
        <v>0</v>
      </c>
      <c r="R188" s="239">
        <f t="shared" si="33"/>
        <v>0</v>
      </c>
      <c r="S188" s="239">
        <f t="shared" si="34"/>
        <v>0</v>
      </c>
      <c r="T188" s="239">
        <f t="shared" si="35"/>
        <v>0</v>
      </c>
      <c r="U188" s="238">
        <f t="shared" si="36"/>
        <v>0</v>
      </c>
    </row>
    <row r="189" spans="2:21">
      <c r="B189" s="259" t="s">
        <v>618</v>
      </c>
      <c r="C189" s="234"/>
      <c r="D189" s="234"/>
      <c r="E189" s="234"/>
      <c r="F189" s="234"/>
      <c r="G189" s="234"/>
      <c r="H189" s="234"/>
      <c r="I189" s="234"/>
      <c r="J189" s="234"/>
      <c r="K189" s="234"/>
      <c r="M189" s="239">
        <f t="shared" si="28"/>
        <v>0</v>
      </c>
      <c r="N189" s="239">
        <f t="shared" si="29"/>
        <v>0</v>
      </c>
      <c r="O189" s="239">
        <f t="shared" si="30"/>
        <v>0</v>
      </c>
      <c r="P189" s="239">
        <f t="shared" si="31"/>
        <v>0</v>
      </c>
      <c r="Q189" s="239">
        <f t="shared" si="32"/>
        <v>0</v>
      </c>
      <c r="R189" s="239">
        <f t="shared" si="33"/>
        <v>0</v>
      </c>
      <c r="S189" s="239">
        <f t="shared" si="34"/>
        <v>0</v>
      </c>
      <c r="T189" s="239">
        <f t="shared" si="35"/>
        <v>0</v>
      </c>
      <c r="U189" s="238">
        <f t="shared" si="36"/>
        <v>0</v>
      </c>
    </row>
    <row r="190" spans="2:21">
      <c r="B190" s="259" t="s">
        <v>619</v>
      </c>
      <c r="C190" s="234">
        <v>1</v>
      </c>
      <c r="D190" s="234"/>
      <c r="E190" s="234">
        <v>3594</v>
      </c>
      <c r="F190" s="234"/>
      <c r="G190" s="234"/>
      <c r="H190" s="234">
        <v>50</v>
      </c>
      <c r="I190" s="234">
        <v>1797</v>
      </c>
      <c r="J190" s="234">
        <v>5391</v>
      </c>
      <c r="K190" s="234">
        <v>5391</v>
      </c>
      <c r="M190" s="239">
        <f t="shared" si="28"/>
        <v>10782</v>
      </c>
      <c r="N190" s="239">
        <f t="shared" si="29"/>
        <v>5391</v>
      </c>
      <c r="O190" s="239">
        <f t="shared" si="30"/>
        <v>21564</v>
      </c>
      <c r="P190" s="239">
        <f t="shared" si="31"/>
        <v>10782</v>
      </c>
      <c r="Q190" s="239">
        <f t="shared" si="32"/>
        <v>32346</v>
      </c>
      <c r="R190" s="239">
        <f t="shared" si="33"/>
        <v>16173</v>
      </c>
      <c r="S190" s="239">
        <f t="shared" si="34"/>
        <v>43128</v>
      </c>
      <c r="T190" s="239">
        <f t="shared" si="35"/>
        <v>21564</v>
      </c>
      <c r="U190" s="238">
        <f t="shared" si="36"/>
        <v>64692</v>
      </c>
    </row>
    <row r="191" spans="2:21">
      <c r="B191" s="259" t="s">
        <v>620</v>
      </c>
      <c r="C191" s="234">
        <v>8</v>
      </c>
      <c r="D191" s="234">
        <v>21.01</v>
      </c>
      <c r="E191" s="234">
        <v>3489.34</v>
      </c>
      <c r="F191" s="234">
        <v>14.7</v>
      </c>
      <c r="G191" s="234">
        <v>512.92999999999995</v>
      </c>
      <c r="H191" s="234">
        <v>50</v>
      </c>
      <c r="I191" s="234">
        <v>1744.67</v>
      </c>
      <c r="J191" s="234">
        <v>5746.94</v>
      </c>
      <c r="K191" s="234">
        <v>45975.55</v>
      </c>
      <c r="M191" s="239">
        <f t="shared" si="28"/>
        <v>83744.160000000003</v>
      </c>
      <c r="N191" s="239">
        <f t="shared" si="29"/>
        <v>54182.399999999994</v>
      </c>
      <c r="O191" s="239">
        <f t="shared" si="30"/>
        <v>167488.32000000001</v>
      </c>
      <c r="P191" s="239">
        <f t="shared" si="31"/>
        <v>108364.79999999999</v>
      </c>
      <c r="Q191" s="239">
        <f t="shared" si="32"/>
        <v>251232.48</v>
      </c>
      <c r="R191" s="239">
        <f t="shared" si="33"/>
        <v>162547.19999999998</v>
      </c>
      <c r="S191" s="239">
        <f t="shared" si="34"/>
        <v>334976.64000000001</v>
      </c>
      <c r="T191" s="239">
        <f t="shared" si="35"/>
        <v>216729.59999999998</v>
      </c>
      <c r="U191" s="238">
        <f t="shared" si="36"/>
        <v>551706.24</v>
      </c>
    </row>
    <row r="192" spans="2:21">
      <c r="B192" s="259" t="s">
        <v>621</v>
      </c>
      <c r="C192" s="234">
        <v>4</v>
      </c>
      <c r="D192" s="234">
        <v>20.37</v>
      </c>
      <c r="E192" s="234">
        <v>3383.05</v>
      </c>
      <c r="F192" s="234">
        <v>14.7</v>
      </c>
      <c r="G192" s="234">
        <v>497.31</v>
      </c>
      <c r="H192" s="234">
        <v>50</v>
      </c>
      <c r="I192" s="234">
        <v>1691.52</v>
      </c>
      <c r="J192" s="234">
        <v>5571.88</v>
      </c>
      <c r="K192" s="234">
        <v>22287.53</v>
      </c>
      <c r="M192" s="239">
        <f t="shared" si="28"/>
        <v>40596.600000000006</v>
      </c>
      <c r="N192" s="239">
        <f t="shared" si="29"/>
        <v>26265.96</v>
      </c>
      <c r="O192" s="239">
        <f t="shared" si="30"/>
        <v>81193.200000000012</v>
      </c>
      <c r="P192" s="239">
        <f t="shared" si="31"/>
        <v>52531.92</v>
      </c>
      <c r="Q192" s="239">
        <f t="shared" si="32"/>
        <v>121789.8</v>
      </c>
      <c r="R192" s="239">
        <f t="shared" si="33"/>
        <v>78797.88</v>
      </c>
      <c r="S192" s="239">
        <f t="shared" si="34"/>
        <v>162386.40000000002</v>
      </c>
      <c r="T192" s="239">
        <f t="shared" si="35"/>
        <v>105063.84</v>
      </c>
      <c r="U192" s="238">
        <f t="shared" si="36"/>
        <v>267450.23999999999</v>
      </c>
    </row>
    <row r="193" spans="2:21">
      <c r="B193" s="259" t="s">
        <v>472</v>
      </c>
      <c r="C193" s="234">
        <v>13</v>
      </c>
      <c r="D193" s="234"/>
      <c r="E193" s="234"/>
      <c r="F193" s="234"/>
      <c r="G193" s="234"/>
      <c r="H193" s="234"/>
      <c r="I193" s="234"/>
      <c r="J193" s="234"/>
      <c r="K193" s="234">
        <v>73654.09</v>
      </c>
      <c r="M193" s="239">
        <f t="shared" si="28"/>
        <v>0</v>
      </c>
      <c r="N193" s="239">
        <f t="shared" si="29"/>
        <v>0</v>
      </c>
      <c r="O193" s="239">
        <f t="shared" si="30"/>
        <v>0</v>
      </c>
      <c r="P193" s="239">
        <f t="shared" si="31"/>
        <v>0</v>
      </c>
      <c r="Q193" s="239">
        <f t="shared" si="32"/>
        <v>0</v>
      </c>
      <c r="R193" s="239">
        <f t="shared" si="33"/>
        <v>0</v>
      </c>
      <c r="S193" s="239">
        <f t="shared" si="34"/>
        <v>0</v>
      </c>
      <c r="T193" s="239">
        <f t="shared" si="35"/>
        <v>0</v>
      </c>
      <c r="U193" s="238">
        <f t="shared" si="36"/>
        <v>0</v>
      </c>
    </row>
    <row r="194" spans="2:21">
      <c r="B194" s="259" t="s">
        <v>622</v>
      </c>
      <c r="C194" s="234">
        <v>4</v>
      </c>
      <c r="D194" s="234">
        <v>22.03</v>
      </c>
      <c r="E194" s="234">
        <v>3658.74</v>
      </c>
      <c r="F194" s="234">
        <v>14.7</v>
      </c>
      <c r="G194" s="234">
        <v>537.84</v>
      </c>
      <c r="H194" s="234">
        <v>50</v>
      </c>
      <c r="I194" s="234">
        <v>1829.37</v>
      </c>
      <c r="J194" s="234">
        <v>6025.95</v>
      </c>
      <c r="K194" s="234">
        <v>24103.79</v>
      </c>
      <c r="M194" s="239">
        <f t="shared" si="28"/>
        <v>43904.88</v>
      </c>
      <c r="N194" s="239">
        <f t="shared" si="29"/>
        <v>28406.52</v>
      </c>
      <c r="O194" s="239">
        <f t="shared" si="30"/>
        <v>87809.76</v>
      </c>
      <c r="P194" s="239">
        <f t="shared" si="31"/>
        <v>56813.04</v>
      </c>
      <c r="Q194" s="239">
        <f t="shared" si="32"/>
        <v>131714.63999999998</v>
      </c>
      <c r="R194" s="239">
        <f t="shared" si="33"/>
        <v>85219.56</v>
      </c>
      <c r="S194" s="239">
        <f t="shared" si="34"/>
        <v>175619.52</v>
      </c>
      <c r="T194" s="239">
        <f t="shared" si="35"/>
        <v>113626.08</v>
      </c>
      <c r="U194" s="238">
        <f t="shared" si="36"/>
        <v>289245.59999999998</v>
      </c>
    </row>
    <row r="195" spans="2:21">
      <c r="C195">
        <f>C95+C106+C144+C169+C176+C188+C193+C194</f>
        <v>312</v>
      </c>
      <c r="D195">
        <f>C195*0.04</f>
        <v>12.48</v>
      </c>
      <c r="M195" s="240">
        <f>SUM(M87:M194)</f>
        <v>4240884.0299999984</v>
      </c>
      <c r="N195" s="240">
        <f t="shared" ref="N195:U195" si="37">SUM(N87:N194)</f>
        <v>4405746.7641599989</v>
      </c>
      <c r="O195" s="240">
        <f t="shared" si="37"/>
        <v>8481768.0599999968</v>
      </c>
      <c r="P195" s="240">
        <f t="shared" si="37"/>
        <v>8811493.5283199977</v>
      </c>
      <c r="Q195" s="240">
        <f t="shared" si="37"/>
        <v>12722652.089999998</v>
      </c>
      <c r="R195" s="240">
        <f t="shared" si="37"/>
        <v>13217240.292480011</v>
      </c>
      <c r="S195" s="240">
        <f t="shared" si="37"/>
        <v>16963536.119999994</v>
      </c>
      <c r="T195" s="240">
        <f t="shared" si="37"/>
        <v>17622987.056639995</v>
      </c>
      <c r="U195" s="240">
        <f t="shared" si="37"/>
        <v>34586523.176640011</v>
      </c>
    </row>
    <row r="197" spans="2:21" ht="213">
      <c r="B197" s="242" t="s">
        <v>518</v>
      </c>
      <c r="C197" s="248" t="s">
        <v>519</v>
      </c>
      <c r="D197" s="241" t="s">
        <v>520</v>
      </c>
      <c r="E197" s="241" t="s">
        <v>521</v>
      </c>
      <c r="F197" s="241" t="s">
        <v>522</v>
      </c>
      <c r="G197" s="241" t="s">
        <v>523</v>
      </c>
      <c r="H197" s="248" t="s">
        <v>524</v>
      </c>
      <c r="I197" s="241" t="s">
        <v>525</v>
      </c>
      <c r="J197" s="241" t="s">
        <v>526</v>
      </c>
      <c r="K197" s="241" t="s">
        <v>527</v>
      </c>
    </row>
    <row r="198" spans="2:21">
      <c r="B198" s="242">
        <v>1</v>
      </c>
      <c r="C198" s="243">
        <v>5</v>
      </c>
      <c r="D198" s="242">
        <v>7</v>
      </c>
      <c r="E198" s="242">
        <v>8</v>
      </c>
      <c r="F198" s="242">
        <v>9</v>
      </c>
      <c r="G198" s="242">
        <v>10</v>
      </c>
      <c r="H198" s="243">
        <v>11</v>
      </c>
      <c r="I198" s="242">
        <v>12</v>
      </c>
      <c r="J198" s="242">
        <v>13</v>
      </c>
      <c r="K198" s="242">
        <v>14</v>
      </c>
      <c r="M198" t="s">
        <v>380</v>
      </c>
      <c r="N198" t="s">
        <v>372</v>
      </c>
      <c r="O198" t="s">
        <v>373</v>
      </c>
      <c r="P198" t="s">
        <v>87</v>
      </c>
    </row>
    <row r="199" spans="2:21">
      <c r="B199" s="244"/>
      <c r="C199" s="245"/>
      <c r="D199" s="246"/>
      <c r="E199" s="246"/>
      <c r="F199" s="246"/>
      <c r="G199" s="246"/>
      <c r="H199" s="245"/>
      <c r="I199" s="246"/>
      <c r="J199" s="246"/>
      <c r="K199" s="247"/>
      <c r="L199" t="s">
        <v>625</v>
      </c>
      <c r="M199" s="239">
        <f>SUM(M87:N194)</f>
        <v>8646630.7941599954</v>
      </c>
      <c r="N199" s="239">
        <f>SUM(O87:P194)</f>
        <v>17293261.588319991</v>
      </c>
      <c r="O199" s="239">
        <f>SUM(Q87:R194)</f>
        <v>25939892.382479995</v>
      </c>
      <c r="P199" s="239">
        <f>SUM(S87:T194)</f>
        <v>34586523.176639982</v>
      </c>
    </row>
    <row r="200" spans="2:21" ht="13.5">
      <c r="B200" s="1105" t="s">
        <v>641</v>
      </c>
      <c r="C200" s="1106"/>
      <c r="D200" s="1106"/>
      <c r="E200" s="1106"/>
      <c r="F200" s="1106"/>
      <c r="G200" s="1106"/>
      <c r="H200" s="1106"/>
      <c r="I200" s="1106"/>
      <c r="J200" s="1106"/>
      <c r="K200" s="1107"/>
      <c r="L200" t="s">
        <v>626</v>
      </c>
      <c r="M200" s="239">
        <f>(M199-M205)*22%+M205*8.41%</f>
        <v>1876123.1946641786</v>
      </c>
      <c r="N200" s="239">
        <f>(N199-N205)*22%+N205*8.41%</f>
        <v>3752246.3893283573</v>
      </c>
      <c r="O200" s="239">
        <f>(O199-O205)*22%+O205*8.41%</f>
        <v>5628369.583992538</v>
      </c>
      <c r="P200" s="239">
        <f>(P199-P205)*22%+P205*8.41%</f>
        <v>7504492.7786567146</v>
      </c>
    </row>
    <row r="201" spans="2:21">
      <c r="B201" s="249" t="s">
        <v>642</v>
      </c>
      <c r="C201" s="243">
        <v>1</v>
      </c>
      <c r="D201" s="250">
        <v>24.51</v>
      </c>
      <c r="E201" s="250">
        <f t="shared" ref="E201:E207" si="38">D201*166.08</f>
        <v>4070.6208000000006</v>
      </c>
      <c r="F201" s="243">
        <v>12</v>
      </c>
      <c r="G201" s="251">
        <f>E201*0.12</f>
        <v>488.47449600000004</v>
      </c>
      <c r="H201" s="243">
        <v>70</v>
      </c>
      <c r="I201" s="250">
        <f>E201*0.7</f>
        <v>2849.4345600000001</v>
      </c>
      <c r="J201" s="250">
        <f>I201+G201+E201</f>
        <v>7408.529856000001</v>
      </c>
      <c r="K201" s="250">
        <f>J201*C201</f>
        <v>7408.529856000001</v>
      </c>
      <c r="M201" s="239"/>
      <c r="N201" s="239"/>
      <c r="O201" s="239"/>
      <c r="P201" s="239"/>
    </row>
    <row r="202" spans="2:21">
      <c r="B202" s="252" t="s">
        <v>621</v>
      </c>
      <c r="C202" s="243">
        <v>3</v>
      </c>
      <c r="D202" s="250">
        <v>23.76</v>
      </c>
      <c r="E202" s="250">
        <f t="shared" si="38"/>
        <v>3946.0608000000007</v>
      </c>
      <c r="F202" s="243">
        <v>14.7</v>
      </c>
      <c r="G202" s="250">
        <f>E202*0.147</f>
        <v>580.07093760000009</v>
      </c>
      <c r="H202" s="243">
        <v>20</v>
      </c>
      <c r="I202" s="250">
        <f>E202*0.2</f>
        <v>789.21216000000015</v>
      </c>
      <c r="J202" s="250">
        <f>I202+G202+E202</f>
        <v>5315.3438976000007</v>
      </c>
      <c r="K202" s="250">
        <f>C202*J202</f>
        <v>15946.031692800003</v>
      </c>
      <c r="L202" t="s">
        <v>627</v>
      </c>
      <c r="M202" s="239">
        <f>SUM(M8:N80)</f>
        <v>1987580.58</v>
      </c>
      <c r="N202" s="239">
        <f>SUM(O8:P80)</f>
        <v>3993863.52</v>
      </c>
      <c r="O202" s="239">
        <f>SUM(Q8:R80)</f>
        <v>6000146.46</v>
      </c>
      <c r="P202" s="239">
        <f>SUM(S8:T80)</f>
        <v>8006429.4000000004</v>
      </c>
    </row>
    <row r="203" spans="2:21">
      <c r="B203" s="253" t="s">
        <v>622</v>
      </c>
      <c r="C203" s="243">
        <v>1</v>
      </c>
      <c r="D203" s="250">
        <v>25.7</v>
      </c>
      <c r="E203" s="250">
        <f t="shared" si="38"/>
        <v>4268.2560000000003</v>
      </c>
      <c r="F203" s="243">
        <v>14.7</v>
      </c>
      <c r="G203" s="250">
        <f>E203*0.147</f>
        <v>627.43363199999999</v>
      </c>
      <c r="H203" s="243">
        <v>20</v>
      </c>
      <c r="I203" s="250">
        <f>E203*0.2</f>
        <v>853.65120000000013</v>
      </c>
      <c r="J203" s="250">
        <f>I203+G203+E203</f>
        <v>5749.3408319999999</v>
      </c>
      <c r="K203" s="250">
        <f t="shared" ref="K203:K208" si="39">J203*C203</f>
        <v>5749.3408319999999</v>
      </c>
      <c r="L203" t="s">
        <v>626</v>
      </c>
      <c r="M203" s="239">
        <f>(M202-M206)*22%+M206*8.41%</f>
        <v>433617.18180000002</v>
      </c>
      <c r="N203" s="239">
        <f>(N202-N206)*22%+N206*8.41%</f>
        <v>871348.88280000002</v>
      </c>
      <c r="O203" s="239">
        <f>(O202-O206)*22%+O206*8.41%</f>
        <v>1309080.5838000001</v>
      </c>
      <c r="P203" s="239">
        <f>(P202-P206)*22%+P206*8.41%</f>
        <v>1746812.2848</v>
      </c>
    </row>
    <row r="204" spans="2:21">
      <c r="B204" s="253" t="s">
        <v>612</v>
      </c>
      <c r="C204" s="243">
        <v>1</v>
      </c>
      <c r="D204" s="250">
        <v>37.74</v>
      </c>
      <c r="E204" s="250">
        <f t="shared" si="38"/>
        <v>6267.8592000000008</v>
      </c>
      <c r="F204" s="243">
        <v>20</v>
      </c>
      <c r="G204" s="250">
        <f>E204*0.2</f>
        <v>1253.5718400000003</v>
      </c>
      <c r="H204" s="243">
        <v>20</v>
      </c>
      <c r="I204" s="250">
        <f>E204*0.2</f>
        <v>1253.5718400000003</v>
      </c>
      <c r="J204" s="250">
        <f>E204+I204</f>
        <v>7521.4310400000013</v>
      </c>
      <c r="K204" s="250">
        <f t="shared" si="39"/>
        <v>7521.4310400000013</v>
      </c>
      <c r="M204" s="239"/>
      <c r="N204" s="239"/>
      <c r="O204" s="239"/>
      <c r="P204" s="239"/>
    </row>
    <row r="205" spans="2:21">
      <c r="B205" s="253" t="s">
        <v>613</v>
      </c>
      <c r="C205" s="243">
        <v>1</v>
      </c>
      <c r="D205" s="250">
        <v>37.74</v>
      </c>
      <c r="E205" s="250">
        <f t="shared" si="38"/>
        <v>6267.8592000000008</v>
      </c>
      <c r="F205" s="243">
        <v>20</v>
      </c>
      <c r="G205" s="250">
        <f>E205*0.2</f>
        <v>1253.5718400000003</v>
      </c>
      <c r="H205" s="243">
        <v>20</v>
      </c>
      <c r="I205" s="250">
        <f>E205*0.2</f>
        <v>1253.5718400000003</v>
      </c>
      <c r="J205" s="250">
        <f>E205+I205</f>
        <v>7521.4310400000013</v>
      </c>
      <c r="K205" s="250">
        <f t="shared" si="39"/>
        <v>7521.4310400000013</v>
      </c>
      <c r="L205" s="257" t="s">
        <v>628</v>
      </c>
      <c r="M205" s="258">
        <f>SUM($K$201:$K$207)*3</f>
        <v>192314.79066240005</v>
      </c>
      <c r="N205" s="258">
        <f>SUM($K$201:$K$207)*6</f>
        <v>384629.58132480009</v>
      </c>
      <c r="O205" s="258">
        <f>SUM($K$201:$K$207)*9</f>
        <v>576944.37198720011</v>
      </c>
      <c r="P205" s="258">
        <f>SUM($K$201:$K$207)*12</f>
        <v>769259.16264960018</v>
      </c>
    </row>
    <row r="206" spans="2:21">
      <c r="B206" s="254" t="s">
        <v>561</v>
      </c>
      <c r="C206" s="243">
        <v>1</v>
      </c>
      <c r="D206" s="250">
        <v>39.729999999999997</v>
      </c>
      <c r="E206" s="250">
        <f t="shared" si="38"/>
        <v>6598.3584000000001</v>
      </c>
      <c r="F206" s="243">
        <v>17</v>
      </c>
      <c r="G206" s="250">
        <f>E206*0.17</f>
        <v>1121.7209280000002</v>
      </c>
      <c r="H206" s="243">
        <v>25</v>
      </c>
      <c r="I206" s="250">
        <f>E206*0.25</f>
        <v>1649.5896</v>
      </c>
      <c r="J206" s="250">
        <f>I206+G206+E206</f>
        <v>9369.6689279999991</v>
      </c>
      <c r="K206" s="250">
        <f t="shared" si="39"/>
        <v>9369.6689279999991</v>
      </c>
      <c r="L206" s="257" t="s">
        <v>629</v>
      </c>
      <c r="M206" s="258">
        <f>K208*3</f>
        <v>26862</v>
      </c>
      <c r="N206" s="258">
        <f>K208*6</f>
        <v>53724</v>
      </c>
      <c r="O206" s="258">
        <f>K208*9</f>
        <v>80586</v>
      </c>
      <c r="P206" s="258">
        <f>K208*12</f>
        <v>107448</v>
      </c>
    </row>
    <row r="207" spans="2:21">
      <c r="B207" s="254" t="s">
        <v>562</v>
      </c>
      <c r="C207" s="243">
        <v>1</v>
      </c>
      <c r="D207" s="250">
        <v>36.020000000000003</v>
      </c>
      <c r="E207" s="250">
        <f t="shared" si="38"/>
        <v>5982.2016000000012</v>
      </c>
      <c r="F207" s="243">
        <v>52</v>
      </c>
      <c r="G207" s="250">
        <f>E207*0.52</f>
        <v>3110.7448320000008</v>
      </c>
      <c r="H207" s="243">
        <v>25</v>
      </c>
      <c r="I207" s="250">
        <f>E207*0.25</f>
        <v>1495.5504000000003</v>
      </c>
      <c r="J207" s="250">
        <f>I207+G207+E207</f>
        <v>10588.496832000003</v>
      </c>
      <c r="K207" s="250">
        <f t="shared" si="39"/>
        <v>10588.496832000003</v>
      </c>
      <c r="M207" s="239"/>
      <c r="N207" s="239"/>
      <c r="O207" s="239"/>
      <c r="P207" s="239"/>
    </row>
    <row r="208" spans="2:21">
      <c r="B208" s="254" t="s">
        <v>643</v>
      </c>
      <c r="C208" s="255">
        <v>1</v>
      </c>
      <c r="D208" s="254"/>
      <c r="E208" s="255">
        <v>8954</v>
      </c>
      <c r="F208" s="254"/>
      <c r="G208" s="254"/>
      <c r="H208" s="254"/>
      <c r="I208" s="250"/>
      <c r="J208" s="255">
        <f>E208</f>
        <v>8954</v>
      </c>
      <c r="K208" s="250">
        <f t="shared" si="39"/>
        <v>8954</v>
      </c>
    </row>
    <row r="209" spans="2:16">
      <c r="B209" s="254" t="s">
        <v>511</v>
      </c>
      <c r="C209" s="255">
        <f>SUM(C201:C208)</f>
        <v>10</v>
      </c>
      <c r="D209" s="254"/>
      <c r="E209" s="254"/>
      <c r="F209" s="254"/>
      <c r="G209" s="254"/>
      <c r="H209" s="254"/>
      <c r="I209" s="254"/>
      <c r="J209" s="254"/>
      <c r="K209" s="256">
        <f>SUM(K201:K208)</f>
        <v>73058.930220800015</v>
      </c>
    </row>
    <row r="210" spans="2:16">
      <c r="L210" t="s">
        <v>630</v>
      </c>
      <c r="M210" s="239">
        <f t="shared" ref="M210:P211" si="40">M199+M202</f>
        <v>10634211.374159995</v>
      </c>
      <c r="N210" s="239">
        <f t="shared" si="40"/>
        <v>21287125.10831999</v>
      </c>
      <c r="O210" s="239">
        <f t="shared" si="40"/>
        <v>31940038.842479996</v>
      </c>
      <c r="P210" s="239">
        <f t="shared" si="40"/>
        <v>42592952.57663998</v>
      </c>
    </row>
    <row r="211" spans="2:16">
      <c r="L211" t="s">
        <v>450</v>
      </c>
      <c r="M211" s="239">
        <f t="shared" si="40"/>
        <v>2309740.3764641788</v>
      </c>
      <c r="N211" s="239">
        <f t="shared" si="40"/>
        <v>4623595.2721283576</v>
      </c>
      <c r="O211" s="239">
        <f t="shared" si="40"/>
        <v>6937450.1677925382</v>
      </c>
      <c r="P211" s="239">
        <f t="shared" si="40"/>
        <v>9251305.0634567142</v>
      </c>
    </row>
    <row r="213" spans="2:16">
      <c r="L213" t="s">
        <v>631</v>
      </c>
    </row>
    <row r="215" spans="2:16">
      <c r="L215" t="s">
        <v>632</v>
      </c>
    </row>
    <row r="216" spans="2:16">
      <c r="L216" t="s">
        <v>272</v>
      </c>
      <c r="M216" s="164">
        <f>U8</f>
        <v>420881.4</v>
      </c>
    </row>
    <row r="217" spans="2:16">
      <c r="L217" t="s">
        <v>633</v>
      </c>
      <c r="M217" s="164">
        <f>P202-M216</f>
        <v>7585548</v>
      </c>
    </row>
    <row r="218" spans="2:16">
      <c r="L218" t="s">
        <v>273</v>
      </c>
      <c r="M218" s="164">
        <f>P199</f>
        <v>34586523.176639982</v>
      </c>
    </row>
    <row r="219" spans="2:16">
      <c r="M219" s="164"/>
    </row>
    <row r="220" spans="2:16">
      <c r="L220" t="s">
        <v>634</v>
      </c>
      <c r="M220" s="164"/>
    </row>
    <row r="221" spans="2:16">
      <c r="L221" t="s">
        <v>272</v>
      </c>
      <c r="M221" s="164">
        <f>M216*1.22</f>
        <v>513475.30800000002</v>
      </c>
    </row>
    <row r="222" spans="2:16">
      <c r="L222" t="s">
        <v>633</v>
      </c>
      <c r="M222" s="164">
        <f>P202+P203-M221</f>
        <v>9239766.3768000007</v>
      </c>
    </row>
    <row r="223" spans="2:16">
      <c r="L223" t="s">
        <v>273</v>
      </c>
      <c r="M223" s="164">
        <f>P199+P200</f>
        <v>42091015.955296695</v>
      </c>
    </row>
    <row r="224" spans="2:16">
      <c r="M224" s="164"/>
    </row>
    <row r="225" spans="12:13">
      <c r="L225" t="s">
        <v>635</v>
      </c>
      <c r="M225" s="164"/>
    </row>
    <row r="226" spans="12:13">
      <c r="L226" t="s">
        <v>272</v>
      </c>
      <c r="M226" s="164">
        <f>M216/12</f>
        <v>35073.450000000004</v>
      </c>
    </row>
    <row r="227" spans="12:13">
      <c r="L227" t="s">
        <v>633</v>
      </c>
      <c r="M227" s="164">
        <f>SUM(S9:S80)/12/65</f>
        <v>9719.4</v>
      </c>
    </row>
    <row r="228" spans="12:13">
      <c r="L228" t="s">
        <v>273</v>
      </c>
      <c r="M228" s="164">
        <f>SUM(S87:S194)/12/312</f>
        <v>4530.8590064102546</v>
      </c>
    </row>
    <row r="229" spans="12:13">
      <c r="M229" s="164"/>
    </row>
    <row r="230" spans="12:13">
      <c r="L230" t="s">
        <v>636</v>
      </c>
      <c r="M230" s="164"/>
    </row>
    <row r="231" spans="12:13">
      <c r="L231" t="s">
        <v>272</v>
      </c>
      <c r="M231" s="164">
        <f>M226</f>
        <v>35073.450000000004</v>
      </c>
    </row>
    <row r="232" spans="12:13">
      <c r="L232" t="s">
        <v>633</v>
      </c>
      <c r="M232" s="164">
        <f>SUM(S9:T80)/12/65</f>
        <v>9725.0615384615376</v>
      </c>
    </row>
    <row r="233" spans="12:13">
      <c r="L233" t="s">
        <v>273</v>
      </c>
      <c r="M233" s="164">
        <f>SUM(S87:T194)/12/312</f>
        <v>9237.8534125640981</v>
      </c>
    </row>
  </sheetData>
  <sheetProtection password="CF66" sheet="1" objects="1" scenarios="1"/>
  <mergeCells count="7">
    <mergeCell ref="B200:K200"/>
    <mergeCell ref="B5:B7"/>
    <mergeCell ref="C5:C7"/>
    <mergeCell ref="D5:D7"/>
    <mergeCell ref="E5:F5"/>
    <mergeCell ref="G5:G7"/>
    <mergeCell ref="E6:F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</sheetPr>
  <dimension ref="A1:AX232"/>
  <sheetViews>
    <sheetView windowProtection="1" zoomScale="77" zoomScaleNormal="77" workbookViewId="0">
      <pane ySplit="2" topLeftCell="A3" activePane="bottomLeft" state="frozen"/>
      <selection activeCell="G1" sqref="G1"/>
      <selection pane="bottomLeft" activeCell="S212" sqref="S212:V232"/>
    </sheetView>
  </sheetViews>
  <sheetFormatPr defaultRowHeight="15"/>
  <cols>
    <col min="1" max="1" width="72.42578125" style="308" customWidth="1"/>
    <col min="2" max="2" width="10" style="308" customWidth="1"/>
    <col min="3" max="3" width="26.5703125" style="308" customWidth="1"/>
    <col min="4" max="6" width="16.140625" style="311" customWidth="1"/>
    <col min="7" max="8" width="16.140625" style="523" customWidth="1"/>
    <col min="9" max="9" width="18.7109375" style="523" customWidth="1"/>
    <col min="10" max="10" width="16.28515625" style="523" customWidth="1"/>
    <col min="11" max="11" width="9.140625" style="523" customWidth="1"/>
    <col min="12" max="12" width="14" style="523" customWidth="1"/>
    <col min="13" max="13" width="9.140625" style="523" customWidth="1"/>
    <col min="14" max="14" width="16.7109375" style="523" customWidth="1"/>
    <col min="15" max="15" width="12.28515625" style="523" customWidth="1"/>
    <col min="16" max="17" width="13.140625" style="523" customWidth="1"/>
    <col min="18" max="18" width="26.28515625" style="523" customWidth="1"/>
    <col min="19" max="19" width="28.42578125" style="523" customWidth="1"/>
    <col min="20" max="20" width="23.42578125" style="523" customWidth="1"/>
    <col min="21" max="21" width="20.140625" style="523" customWidth="1"/>
    <col min="22" max="22" width="15.140625" style="523" customWidth="1"/>
    <col min="23" max="23" width="11" style="523" customWidth="1"/>
    <col min="24" max="24" width="21.140625" style="523" customWidth="1"/>
    <col min="25" max="25" width="14.140625" style="523" customWidth="1"/>
    <col min="26" max="26" width="9.140625" style="523" customWidth="1"/>
    <col min="27" max="27" width="11.7109375" style="523" customWidth="1"/>
    <col min="28" max="29" width="13.7109375" style="523" customWidth="1"/>
    <col min="30" max="30" width="3" style="522" customWidth="1"/>
    <col min="31" max="31" width="3" style="523" customWidth="1"/>
    <col min="32" max="32" width="15.140625" style="524" customWidth="1"/>
    <col min="33" max="33" width="20.7109375" style="524" customWidth="1"/>
    <col min="34" max="34" width="18.28515625" style="524" customWidth="1"/>
    <col min="35" max="35" width="25" style="524" customWidth="1"/>
    <col min="36" max="39" width="13.5703125" style="524" customWidth="1"/>
    <col min="40" max="43" width="16.28515625" style="523" customWidth="1"/>
    <col min="44" max="44" width="14.5703125" style="523" customWidth="1"/>
    <col min="45" max="45" width="18.28515625" style="523" customWidth="1"/>
    <col min="46" max="48" width="9.140625" style="523" customWidth="1"/>
    <col min="49" max="50" width="9.140625" style="523"/>
    <col min="51" max="16384" width="9.140625" style="308"/>
  </cols>
  <sheetData>
    <row r="1" spans="1:50" ht="41.25" customHeight="1">
      <c r="A1" s="305"/>
      <c r="B1" s="305"/>
      <c r="C1" s="305"/>
      <c r="D1" s="306"/>
      <c r="E1" s="306"/>
      <c r="F1" s="306"/>
      <c r="G1" s="519"/>
      <c r="H1" s="519"/>
      <c r="I1" s="519"/>
      <c r="J1" s="519"/>
      <c r="K1" s="519"/>
      <c r="L1" s="519" t="s">
        <v>734</v>
      </c>
      <c r="M1" s="519"/>
      <c r="N1" s="519"/>
      <c r="O1" s="519"/>
      <c r="P1" s="520"/>
      <c r="Q1" s="521"/>
      <c r="R1" s="521"/>
      <c r="S1" s="1119" t="s">
        <v>731</v>
      </c>
      <c r="T1" s="1119"/>
      <c r="U1" s="1119"/>
      <c r="V1" s="1119"/>
      <c r="W1" s="1119"/>
      <c r="X1" s="1119"/>
      <c r="Y1" s="1119"/>
      <c r="Z1" s="1119"/>
      <c r="AA1" s="1119"/>
      <c r="AB1" s="1119"/>
      <c r="AC1" s="576"/>
      <c r="AF1" s="524" t="s">
        <v>735</v>
      </c>
      <c r="AJ1" s="524" t="s">
        <v>736</v>
      </c>
      <c r="AN1" s="523" t="s">
        <v>737</v>
      </c>
    </row>
    <row r="2" spans="1:50" ht="77.25" customHeight="1">
      <c r="A2" s="403" t="s">
        <v>518</v>
      </c>
      <c r="B2" s="309"/>
      <c r="C2" s="309"/>
      <c r="D2" s="442" t="s">
        <v>738</v>
      </c>
      <c r="E2" s="442" t="s">
        <v>739</v>
      </c>
      <c r="F2" s="442" t="s">
        <v>740</v>
      </c>
      <c r="G2" s="525" t="s">
        <v>519</v>
      </c>
      <c r="H2" s="525" t="s">
        <v>741</v>
      </c>
      <c r="I2" s="525" t="s">
        <v>742</v>
      </c>
      <c r="J2" s="525" t="s">
        <v>521</v>
      </c>
      <c r="K2" s="525" t="s">
        <v>522</v>
      </c>
      <c r="L2" s="525" t="s">
        <v>523</v>
      </c>
      <c r="M2" s="526" t="s">
        <v>524</v>
      </c>
      <c r="N2" s="525" t="s">
        <v>525</v>
      </c>
      <c r="O2" s="525" t="s">
        <v>526</v>
      </c>
      <c r="P2" s="525" t="s">
        <v>527</v>
      </c>
      <c r="Q2" s="527"/>
      <c r="R2" s="626"/>
      <c r="S2" s="627" t="s">
        <v>743</v>
      </c>
      <c r="T2" s="627" t="s">
        <v>1072</v>
      </c>
      <c r="U2" s="627" t="s">
        <v>372</v>
      </c>
      <c r="V2" s="627" t="s">
        <v>1072</v>
      </c>
      <c r="W2" s="627" t="s">
        <v>744</v>
      </c>
      <c r="X2" s="627" t="s">
        <v>373</v>
      </c>
      <c r="Y2" s="627" t="s">
        <v>1072</v>
      </c>
      <c r="Z2" s="627" t="s">
        <v>745</v>
      </c>
      <c r="AA2" s="627" t="s">
        <v>746</v>
      </c>
      <c r="AB2" s="627" t="s">
        <v>87</v>
      </c>
      <c r="AC2" s="627" t="s">
        <v>623</v>
      </c>
      <c r="AD2" s="528">
        <v>0.04</v>
      </c>
      <c r="AE2" s="529" t="s">
        <v>748</v>
      </c>
      <c r="AF2" s="530" t="s">
        <v>749</v>
      </c>
      <c r="AG2" s="530" t="s">
        <v>750</v>
      </c>
      <c r="AH2" s="530" t="s">
        <v>751</v>
      </c>
      <c r="AI2" s="530" t="s">
        <v>752</v>
      </c>
      <c r="AJ2" s="530" t="s">
        <v>749</v>
      </c>
      <c r="AK2" s="530" t="s">
        <v>750</v>
      </c>
      <c r="AL2" s="530" t="s">
        <v>751</v>
      </c>
      <c r="AM2" s="530" t="s">
        <v>752</v>
      </c>
      <c r="AN2" s="530" t="s">
        <v>749</v>
      </c>
      <c r="AO2" s="530" t="s">
        <v>750</v>
      </c>
      <c r="AP2" s="530" t="s">
        <v>751</v>
      </c>
      <c r="AQ2" s="530" t="s">
        <v>752</v>
      </c>
      <c r="AR2" s="529" t="s">
        <v>956</v>
      </c>
      <c r="AS2" s="529" t="s">
        <v>957</v>
      </c>
    </row>
    <row r="3" spans="1:50" ht="15.75">
      <c r="A3" s="310">
        <v>1</v>
      </c>
      <c r="B3" s="310"/>
      <c r="C3" s="310"/>
      <c r="D3" s="307">
        <v>2</v>
      </c>
      <c r="E3" s="307">
        <v>3</v>
      </c>
      <c r="F3" s="307">
        <v>4</v>
      </c>
      <c r="G3" s="520">
        <v>5</v>
      </c>
      <c r="H3" s="520">
        <v>6</v>
      </c>
      <c r="I3" s="520">
        <v>7</v>
      </c>
      <c r="J3" s="520">
        <v>8</v>
      </c>
      <c r="K3" s="520">
        <v>9</v>
      </c>
      <c r="L3" s="520">
        <v>10</v>
      </c>
      <c r="M3" s="520">
        <v>11</v>
      </c>
      <c r="N3" s="520">
        <v>12</v>
      </c>
      <c r="O3" s="520">
        <v>13</v>
      </c>
      <c r="P3" s="531">
        <v>14</v>
      </c>
      <c r="Q3" s="521"/>
      <c r="R3" s="521"/>
      <c r="W3" s="523">
        <v>14</v>
      </c>
      <c r="AA3" s="523">
        <v>14</v>
      </c>
    </row>
    <row r="4" spans="1:50" s="401" customFormat="1" ht="15.75" hidden="1">
      <c r="A4" s="400" t="s">
        <v>753</v>
      </c>
      <c r="B4" s="400" t="s">
        <v>754</v>
      </c>
      <c r="C4" s="400" t="s">
        <v>755</v>
      </c>
      <c r="D4" s="400">
        <v>8332</v>
      </c>
      <c r="E4" s="400"/>
      <c r="F4" s="400"/>
      <c r="G4" s="532">
        <v>1</v>
      </c>
      <c r="H4" s="532">
        <v>1</v>
      </c>
      <c r="I4" s="532">
        <v>26.72</v>
      </c>
      <c r="J4" s="532">
        <f>I4*166.08</f>
        <v>4437.6576000000005</v>
      </c>
      <c r="K4" s="532">
        <v>47</v>
      </c>
      <c r="L4" s="533">
        <f>J4*K4%</f>
        <v>2085.6990719999999</v>
      </c>
      <c r="M4" s="532">
        <v>70</v>
      </c>
      <c r="N4" s="532">
        <f>J4*M4%</f>
        <v>3106.3603200000002</v>
      </c>
      <c r="O4" s="533">
        <f>J4+L4+N4</f>
        <v>9629.7169919999997</v>
      </c>
      <c r="P4" s="580">
        <f>O4*G4</f>
        <v>9629.7169919999997</v>
      </c>
      <c r="Q4" s="532">
        <f>N4*G4</f>
        <v>3106.3603200000002</v>
      </c>
      <c r="R4" s="534">
        <f>J4/I4</f>
        <v>166.08</v>
      </c>
      <c r="S4" s="535">
        <f>J4*3*G4</f>
        <v>13312.972800000001</v>
      </c>
      <c r="T4" s="535">
        <f>(L4+N4)*3*G4</f>
        <v>15576.178176000001</v>
      </c>
      <c r="U4" s="535">
        <f>J4*6*G4</f>
        <v>26625.945600000003</v>
      </c>
      <c r="V4" s="535">
        <f>(L4+N4)*6*G4</f>
        <v>31152.356352000003</v>
      </c>
      <c r="W4" s="532">
        <v>10062.540000000001</v>
      </c>
      <c r="X4" s="535">
        <f>J4*9*G4</f>
        <v>39938.918400000002</v>
      </c>
      <c r="Y4" s="535">
        <f>(L4+N4)*9*G4</f>
        <v>46728.534528000004</v>
      </c>
      <c r="Z4" s="535"/>
      <c r="AA4" s="532">
        <v>10499.8</v>
      </c>
      <c r="AB4" s="535">
        <f>J4*12*G4</f>
        <v>53251.891200000005</v>
      </c>
      <c r="AC4" s="577">
        <f>(L4+N4)*12*G4</f>
        <v>62304.712704000005</v>
      </c>
      <c r="AD4" s="536">
        <v>0.04</v>
      </c>
      <c r="AE4" s="537">
        <f>G4*AD4</f>
        <v>0.04</v>
      </c>
      <c r="AF4" s="538">
        <f>S4/G4*AE4</f>
        <v>532.51891200000011</v>
      </c>
      <c r="AG4" s="538">
        <f>AF4</f>
        <v>532.51891200000011</v>
      </c>
      <c r="AH4" s="538">
        <f>X4/G4*AE4</f>
        <v>1597.5567360000002</v>
      </c>
      <c r="AI4" s="538">
        <f>AB4/G4*AE4</f>
        <v>2130.0756480000005</v>
      </c>
      <c r="AJ4" s="538">
        <f t="shared" ref="AJ4:AJ35" si="0">S4-AF4</f>
        <v>12780.453888000002</v>
      </c>
      <c r="AK4" s="538">
        <f>U4-AG4</f>
        <v>26093.426688000003</v>
      </c>
      <c r="AL4" s="538">
        <f>X4-AH4</f>
        <v>38341.361664000004</v>
      </c>
      <c r="AM4" s="538">
        <f>AB4-AI4</f>
        <v>51121.815552000007</v>
      </c>
      <c r="AN4" s="537">
        <f>AF4*AU4+AJ4*AV4</f>
        <v>2856.4846958592007</v>
      </c>
      <c r="AO4" s="537">
        <f>AG4*AU4+AK4*AV4</f>
        <v>5785.3387118592009</v>
      </c>
      <c r="AP4" s="537">
        <f>AH4*AU4++++AL4*AV4</f>
        <v>8569.454087577602</v>
      </c>
      <c r="AQ4" s="537">
        <f>AI4*AU4+AM4*AV4</f>
        <v>11425.938783436803</v>
      </c>
      <c r="AR4" s="537">
        <f>S4+U4+X4+AB4</f>
        <v>133129.728</v>
      </c>
      <c r="AS4" s="537">
        <f>AR4/12/G4</f>
        <v>11094.144</v>
      </c>
      <c r="AT4" s="537"/>
      <c r="AU4" s="539">
        <v>8.4099999999999994E-2</v>
      </c>
      <c r="AV4" s="540">
        <v>0.22</v>
      </c>
      <c r="AW4" s="537"/>
      <c r="AX4" s="537"/>
    </row>
    <row r="5" spans="1:50" ht="15.75" hidden="1">
      <c r="A5" s="305" t="s">
        <v>642</v>
      </c>
      <c r="B5" s="305" t="s">
        <v>754</v>
      </c>
      <c r="C5" s="305" t="s">
        <v>755</v>
      </c>
      <c r="D5" s="306">
        <v>8332</v>
      </c>
      <c r="E5" s="306"/>
      <c r="F5" s="306"/>
      <c r="G5" s="519">
        <v>11</v>
      </c>
      <c r="H5" s="519">
        <v>1</v>
      </c>
      <c r="I5" s="519">
        <v>26.72</v>
      </c>
      <c r="J5" s="519">
        <v>4438.13</v>
      </c>
      <c r="K5" s="519">
        <v>12</v>
      </c>
      <c r="L5" s="533">
        <f t="shared" ref="L5:L68" si="1">J5*K5%</f>
        <v>532.57560000000001</v>
      </c>
      <c r="M5" s="519">
        <v>70</v>
      </c>
      <c r="N5" s="532">
        <f t="shared" ref="N5:N68" si="2">J5*M5%</f>
        <v>3106.6909999999998</v>
      </c>
      <c r="O5" s="533">
        <f t="shared" ref="O5:O68" si="3">J5+L5+N5</f>
        <v>8077.3966</v>
      </c>
      <c r="P5" s="580">
        <f t="shared" ref="P5:P68" si="4">O5*G5</f>
        <v>88851.362599999993</v>
      </c>
      <c r="Q5" s="519">
        <f t="shared" ref="Q5:Q79" si="5">N5*G5</f>
        <v>34173.600999999995</v>
      </c>
      <c r="R5" s="541">
        <f>J5/I5</f>
        <v>166.09767964071858</v>
      </c>
      <c r="S5" s="535">
        <f t="shared" ref="S5:S68" si="6">J5*3*G5</f>
        <v>146458.28999999998</v>
      </c>
      <c r="T5" s="535">
        <f t="shared" ref="T5:T68" si="7">(L5+N5)*3*G5</f>
        <v>120095.7978</v>
      </c>
      <c r="U5" s="535">
        <f t="shared" ref="U5:U68" si="8">J5*6*G5</f>
        <v>292916.57999999996</v>
      </c>
      <c r="V5" s="535">
        <f t="shared" ref="V5:V68" si="9">(L5+N5)*6*G5</f>
        <v>240191.5956</v>
      </c>
      <c r="W5" s="519">
        <v>92835.06</v>
      </c>
      <c r="X5" s="535">
        <f t="shared" ref="X5:X68" si="10">J5*9*G5</f>
        <v>439374.87</v>
      </c>
      <c r="Y5" s="535">
        <f t="shared" ref="Y5:Y68" si="11">(L5+N5)*9*G5</f>
        <v>360287.3934</v>
      </c>
      <c r="Z5" s="542"/>
      <c r="AA5" s="519">
        <v>96869.11</v>
      </c>
      <c r="AB5" s="535">
        <f t="shared" ref="AB5:AB68" si="12">J5*12*G5</f>
        <v>585833.15999999992</v>
      </c>
      <c r="AC5" s="577">
        <f t="shared" ref="AC5:AC68" si="13">(L5+N5)*12*G5</f>
        <v>480383.1912</v>
      </c>
      <c r="AD5" s="522">
        <v>0.04</v>
      </c>
      <c r="AE5" s="523">
        <f>G5*AD5</f>
        <v>0.44</v>
      </c>
      <c r="AF5" s="524">
        <f t="shared" ref="AF5:AF79" si="14">S5/G5*AE5</f>
        <v>5858.3315999999986</v>
      </c>
      <c r="AG5" s="524">
        <f t="shared" ref="AG5:AG79" si="15">AF5</f>
        <v>5858.3315999999986</v>
      </c>
      <c r="AH5" s="524">
        <f t="shared" ref="AH5:AH79" si="16">X5/G5*AE5</f>
        <v>17574.9948</v>
      </c>
      <c r="AI5" s="524">
        <f t="shared" ref="AI5:AI79" si="17">AB5/G5*AE5</f>
        <v>23433.326399999994</v>
      </c>
      <c r="AJ5" s="524">
        <f t="shared" si="0"/>
        <v>140599.95839999997</v>
      </c>
      <c r="AK5" s="524">
        <f t="shared" ref="AK5:AK79" si="18">U5-AG5</f>
        <v>287058.24839999998</v>
      </c>
      <c r="AL5" s="524">
        <f t="shared" ref="AL5:AL79" si="19">X5-AH5</f>
        <v>421799.87520000001</v>
      </c>
      <c r="AM5" s="524">
        <f t="shared" ref="AM5:AM79" si="20">AB5-AI5</f>
        <v>562399.8335999999</v>
      </c>
      <c r="AN5" s="537">
        <f t="shared" ref="AN5:AN68" si="21">AF5*AU5+AJ5*AV5</f>
        <v>31424.676535559993</v>
      </c>
      <c r="AO5" s="537">
        <f t="shared" ref="AO5:AO68" si="22">AG5*AU5+AK5*AV5</f>
        <v>63645.500335559998</v>
      </c>
      <c r="AP5" s="537">
        <f t="shared" ref="AP5:AP68" si="23">AH5*AU5++++AL5*AV5</f>
        <v>94274.029606680007</v>
      </c>
      <c r="AQ5" s="537">
        <f t="shared" ref="AQ5:AQ68" si="24">AI5*AU5+AM5*AV5</f>
        <v>125698.70614223997</v>
      </c>
      <c r="AR5" s="523">
        <f t="shared" ref="AR5:AR68" si="25">S5+U5+X5+AB5</f>
        <v>1464582.9</v>
      </c>
      <c r="AS5" s="523">
        <f t="shared" ref="AS5:AS68" si="26">AR5/12/G5</f>
        <v>11095.324999999999</v>
      </c>
      <c r="AU5" s="539">
        <v>8.4099999999999994E-2</v>
      </c>
      <c r="AV5" s="540">
        <v>0.22</v>
      </c>
    </row>
    <row r="6" spans="1:50" ht="15.75" hidden="1">
      <c r="A6" s="305" t="s">
        <v>756</v>
      </c>
      <c r="B6" s="305" t="s">
        <v>754</v>
      </c>
      <c r="C6" s="305" t="s">
        <v>755</v>
      </c>
      <c r="D6" s="306">
        <v>8332</v>
      </c>
      <c r="E6" s="306"/>
      <c r="F6" s="306"/>
      <c r="G6" s="519">
        <v>1</v>
      </c>
      <c r="H6" s="519">
        <v>1</v>
      </c>
      <c r="I6" s="519">
        <v>26.72</v>
      </c>
      <c r="J6" s="519">
        <v>4438.13</v>
      </c>
      <c r="K6" s="519">
        <v>47</v>
      </c>
      <c r="L6" s="533">
        <f t="shared" si="1"/>
        <v>2085.9211</v>
      </c>
      <c r="M6" s="519">
        <v>70</v>
      </c>
      <c r="N6" s="532">
        <f t="shared" si="2"/>
        <v>3106.6909999999998</v>
      </c>
      <c r="O6" s="533">
        <f t="shared" si="3"/>
        <v>9630.7420999999995</v>
      </c>
      <c r="P6" s="580">
        <f t="shared" si="4"/>
        <v>9630.7420999999995</v>
      </c>
      <c r="Q6" s="519">
        <f t="shared" si="5"/>
        <v>3106.6909999999998</v>
      </c>
      <c r="R6" s="519"/>
      <c r="S6" s="535">
        <f t="shared" si="6"/>
        <v>13314.39</v>
      </c>
      <c r="T6" s="535">
        <f t="shared" si="7"/>
        <v>15577.836300000001</v>
      </c>
      <c r="U6" s="535">
        <f t="shared" si="8"/>
        <v>26628.78</v>
      </c>
      <c r="V6" s="535">
        <f t="shared" si="9"/>
        <v>31155.672600000002</v>
      </c>
      <c r="W6" s="519">
        <v>10062.540000000001</v>
      </c>
      <c r="X6" s="535">
        <f t="shared" si="10"/>
        <v>39943.17</v>
      </c>
      <c r="Y6" s="535">
        <f t="shared" si="11"/>
        <v>46733.508900000001</v>
      </c>
      <c r="Z6" s="542"/>
      <c r="AA6" s="519">
        <v>10499.8</v>
      </c>
      <c r="AB6" s="535">
        <f t="shared" si="12"/>
        <v>53257.56</v>
      </c>
      <c r="AC6" s="577">
        <f t="shared" si="13"/>
        <v>62311.345200000003</v>
      </c>
      <c r="AD6" s="522">
        <v>0.04</v>
      </c>
      <c r="AE6" s="523">
        <f t="shared" ref="AE6:AE79" si="27">G6*AD6</f>
        <v>0.04</v>
      </c>
      <c r="AF6" s="524">
        <f t="shared" si="14"/>
        <v>532.57560000000001</v>
      </c>
      <c r="AG6" s="524">
        <f t="shared" si="15"/>
        <v>532.57560000000001</v>
      </c>
      <c r="AH6" s="524">
        <f t="shared" si="16"/>
        <v>1597.7267999999999</v>
      </c>
      <c r="AI6" s="524">
        <f t="shared" si="17"/>
        <v>2130.3024</v>
      </c>
      <c r="AJ6" s="524">
        <f t="shared" si="0"/>
        <v>12781.814399999999</v>
      </c>
      <c r="AK6" s="524">
        <f t="shared" si="18"/>
        <v>26096.204399999999</v>
      </c>
      <c r="AL6" s="524">
        <f t="shared" si="19"/>
        <v>38345.443200000002</v>
      </c>
      <c r="AM6" s="524">
        <f t="shared" si="20"/>
        <v>51127.257599999997</v>
      </c>
      <c r="AN6" s="537">
        <f t="shared" si="21"/>
        <v>2856.7887759599998</v>
      </c>
      <c r="AO6" s="537">
        <f t="shared" si="22"/>
        <v>5785.9545759599996</v>
      </c>
      <c r="AP6" s="537">
        <f t="shared" si="23"/>
        <v>8570.3663278800013</v>
      </c>
      <c r="AQ6" s="537">
        <f t="shared" si="24"/>
        <v>11427.155103839999</v>
      </c>
      <c r="AR6" s="523">
        <f t="shared" si="25"/>
        <v>133143.9</v>
      </c>
      <c r="AS6" s="523">
        <f t="shared" si="26"/>
        <v>11095.324999999999</v>
      </c>
      <c r="AU6" s="539">
        <v>8.4099999999999994E-2</v>
      </c>
      <c r="AV6" s="540">
        <v>0.22</v>
      </c>
    </row>
    <row r="7" spans="1:50" ht="15.75" hidden="1">
      <c r="A7" s="305" t="s">
        <v>642</v>
      </c>
      <c r="B7" s="305" t="s">
        <v>754</v>
      </c>
      <c r="C7" s="305" t="s">
        <v>755</v>
      </c>
      <c r="D7" s="306">
        <v>8332</v>
      </c>
      <c r="E7" s="306"/>
      <c r="F7" s="306"/>
      <c r="G7" s="519">
        <v>17</v>
      </c>
      <c r="H7" s="519">
        <v>1</v>
      </c>
      <c r="I7" s="519">
        <v>26.72</v>
      </c>
      <c r="J7" s="519">
        <v>4438.13</v>
      </c>
      <c r="K7" s="519">
        <v>12</v>
      </c>
      <c r="L7" s="533">
        <f t="shared" si="1"/>
        <v>532.57560000000001</v>
      </c>
      <c r="M7" s="519">
        <v>70</v>
      </c>
      <c r="N7" s="532">
        <f t="shared" si="2"/>
        <v>3106.6909999999998</v>
      </c>
      <c r="O7" s="533">
        <f t="shared" si="3"/>
        <v>8077.3966</v>
      </c>
      <c r="P7" s="580">
        <f t="shared" si="4"/>
        <v>137315.74220000001</v>
      </c>
      <c r="Q7" s="519">
        <f>N7*G7</f>
        <v>52813.746999999996</v>
      </c>
      <c r="R7" s="519"/>
      <c r="S7" s="535">
        <f t="shared" si="6"/>
        <v>226344.63</v>
      </c>
      <c r="T7" s="535">
        <f t="shared" si="7"/>
        <v>185602.59660000002</v>
      </c>
      <c r="U7" s="535">
        <f t="shared" si="8"/>
        <v>452689.26</v>
      </c>
      <c r="V7" s="535">
        <f t="shared" si="9"/>
        <v>371205.19320000004</v>
      </c>
      <c r="W7" s="519">
        <v>143472.35999999999</v>
      </c>
      <c r="X7" s="535">
        <f t="shared" si="10"/>
        <v>679033.89</v>
      </c>
      <c r="Y7" s="535">
        <f t="shared" si="11"/>
        <v>556807.78980000003</v>
      </c>
      <c r="Z7" s="542"/>
      <c r="AA7" s="519">
        <v>149706.81</v>
      </c>
      <c r="AB7" s="535">
        <f t="shared" si="12"/>
        <v>905378.52</v>
      </c>
      <c r="AC7" s="577">
        <f t="shared" si="13"/>
        <v>742410.38640000008</v>
      </c>
      <c r="AD7" s="522">
        <v>0.04</v>
      </c>
      <c r="AE7" s="523">
        <f t="shared" si="27"/>
        <v>0.68</v>
      </c>
      <c r="AF7" s="524">
        <f t="shared" si="14"/>
        <v>9053.7852000000003</v>
      </c>
      <c r="AG7" s="524">
        <f t="shared" si="15"/>
        <v>9053.7852000000003</v>
      </c>
      <c r="AH7" s="524">
        <f t="shared" si="16"/>
        <v>27161.355599999999</v>
      </c>
      <c r="AI7" s="524">
        <f t="shared" si="17"/>
        <v>36215.140800000001</v>
      </c>
      <c r="AJ7" s="524">
        <f t="shared" si="0"/>
        <v>217290.84479999999</v>
      </c>
      <c r="AK7" s="524">
        <f t="shared" si="18"/>
        <v>443635.47480000003</v>
      </c>
      <c r="AL7" s="524">
        <f t="shared" si="19"/>
        <v>651872.5344</v>
      </c>
      <c r="AM7" s="524">
        <f t="shared" si="20"/>
        <v>869163.37919999997</v>
      </c>
      <c r="AN7" s="537">
        <f t="shared" si="21"/>
        <v>48565.409191320003</v>
      </c>
      <c r="AO7" s="537">
        <f t="shared" si="22"/>
        <v>98361.227791320009</v>
      </c>
      <c r="AP7" s="537">
        <f t="shared" si="23"/>
        <v>145696.22757396</v>
      </c>
      <c r="AQ7" s="537">
        <f t="shared" si="24"/>
        <v>194261.63676528001</v>
      </c>
      <c r="AR7" s="523">
        <f t="shared" si="25"/>
        <v>2263446.2999999998</v>
      </c>
      <c r="AS7" s="523">
        <f t="shared" si="26"/>
        <v>11095.324999999999</v>
      </c>
      <c r="AU7" s="539">
        <v>8.4099999999999994E-2</v>
      </c>
      <c r="AV7" s="540">
        <v>0.22</v>
      </c>
    </row>
    <row r="8" spans="1:50" ht="15.75" hidden="1">
      <c r="A8" s="305" t="s">
        <v>757</v>
      </c>
      <c r="B8" s="305" t="s">
        <v>754</v>
      </c>
      <c r="C8" s="305" t="s">
        <v>755</v>
      </c>
      <c r="D8" s="306">
        <v>8332</v>
      </c>
      <c r="E8" s="306"/>
      <c r="F8" s="306"/>
      <c r="G8" s="519">
        <v>1</v>
      </c>
      <c r="H8" s="519">
        <v>1</v>
      </c>
      <c r="I8" s="519">
        <v>26.72</v>
      </c>
      <c r="J8" s="519">
        <v>4438.13</v>
      </c>
      <c r="K8" s="519">
        <v>37</v>
      </c>
      <c r="L8" s="533">
        <f t="shared" si="1"/>
        <v>1642.1080999999999</v>
      </c>
      <c r="M8" s="519">
        <v>70</v>
      </c>
      <c r="N8" s="532">
        <f t="shared" si="2"/>
        <v>3106.6909999999998</v>
      </c>
      <c r="O8" s="533">
        <f t="shared" si="3"/>
        <v>9186.9291000000012</v>
      </c>
      <c r="P8" s="580">
        <f t="shared" si="4"/>
        <v>9186.9291000000012</v>
      </c>
      <c r="Q8" s="519">
        <f t="shared" si="5"/>
        <v>3106.6909999999998</v>
      </c>
      <c r="R8" s="519"/>
      <c r="S8" s="535">
        <f t="shared" si="6"/>
        <v>13314.39</v>
      </c>
      <c r="T8" s="535">
        <f t="shared" si="7"/>
        <v>14246.397300000001</v>
      </c>
      <c r="U8" s="535">
        <f t="shared" si="8"/>
        <v>26628.78</v>
      </c>
      <c r="V8" s="535">
        <f t="shared" si="9"/>
        <v>28492.794600000001</v>
      </c>
      <c r="W8" s="519">
        <v>9598.83</v>
      </c>
      <c r="X8" s="535">
        <f t="shared" si="10"/>
        <v>39943.17</v>
      </c>
      <c r="Y8" s="535">
        <f t="shared" si="11"/>
        <v>42739.191900000005</v>
      </c>
      <c r="Z8" s="542"/>
      <c r="AA8" s="519">
        <v>10015.94</v>
      </c>
      <c r="AB8" s="535">
        <f t="shared" si="12"/>
        <v>53257.56</v>
      </c>
      <c r="AC8" s="577">
        <f t="shared" si="13"/>
        <v>56985.589200000002</v>
      </c>
      <c r="AD8" s="522">
        <v>0.04</v>
      </c>
      <c r="AE8" s="523">
        <f t="shared" si="27"/>
        <v>0.04</v>
      </c>
      <c r="AF8" s="524">
        <f t="shared" si="14"/>
        <v>532.57560000000001</v>
      </c>
      <c r="AG8" s="524">
        <f t="shared" si="15"/>
        <v>532.57560000000001</v>
      </c>
      <c r="AH8" s="524">
        <f t="shared" si="16"/>
        <v>1597.7267999999999</v>
      </c>
      <c r="AI8" s="524">
        <f t="shared" si="17"/>
        <v>2130.3024</v>
      </c>
      <c r="AJ8" s="524">
        <f t="shared" si="0"/>
        <v>12781.814399999999</v>
      </c>
      <c r="AK8" s="524">
        <f t="shared" si="18"/>
        <v>26096.204399999999</v>
      </c>
      <c r="AL8" s="524">
        <f t="shared" si="19"/>
        <v>38345.443200000002</v>
      </c>
      <c r="AM8" s="524">
        <f t="shared" si="20"/>
        <v>51127.257599999997</v>
      </c>
      <c r="AN8" s="537">
        <f t="shared" si="21"/>
        <v>2856.7887759599998</v>
      </c>
      <c r="AO8" s="537">
        <f t="shared" si="22"/>
        <v>5785.9545759599996</v>
      </c>
      <c r="AP8" s="537">
        <f t="shared" si="23"/>
        <v>8570.3663278800013</v>
      </c>
      <c r="AQ8" s="537">
        <f t="shared" si="24"/>
        <v>11427.155103839999</v>
      </c>
      <c r="AR8" s="523">
        <f t="shared" si="25"/>
        <v>133143.9</v>
      </c>
      <c r="AS8" s="523">
        <f t="shared" si="26"/>
        <v>11095.324999999999</v>
      </c>
      <c r="AU8" s="539">
        <v>8.4099999999999994E-2</v>
      </c>
      <c r="AV8" s="540">
        <v>0.22</v>
      </c>
    </row>
    <row r="9" spans="1:50" ht="15.75" hidden="1">
      <c r="A9" s="305" t="s">
        <v>642</v>
      </c>
      <c r="B9" s="305" t="s">
        <v>754</v>
      </c>
      <c r="C9" s="305" t="s">
        <v>755</v>
      </c>
      <c r="D9" s="306">
        <v>8332</v>
      </c>
      <c r="E9" s="306"/>
      <c r="F9" s="306"/>
      <c r="G9" s="519">
        <v>10</v>
      </c>
      <c r="H9" s="519">
        <v>1</v>
      </c>
      <c r="I9" s="519">
        <v>26.72</v>
      </c>
      <c r="J9" s="519">
        <v>4438.13</v>
      </c>
      <c r="K9" s="519">
        <v>12</v>
      </c>
      <c r="L9" s="533">
        <f t="shared" si="1"/>
        <v>532.57560000000001</v>
      </c>
      <c r="M9" s="519">
        <v>70</v>
      </c>
      <c r="N9" s="532">
        <f t="shared" si="2"/>
        <v>3106.6909999999998</v>
      </c>
      <c r="O9" s="533">
        <f t="shared" si="3"/>
        <v>8077.3966</v>
      </c>
      <c r="P9" s="580">
        <f t="shared" si="4"/>
        <v>80773.966</v>
      </c>
      <c r="Q9" s="519">
        <f t="shared" si="5"/>
        <v>31066.909999999996</v>
      </c>
      <c r="R9" s="519"/>
      <c r="S9" s="535">
        <f t="shared" si="6"/>
        <v>133143.9</v>
      </c>
      <c r="T9" s="535">
        <f t="shared" si="7"/>
        <v>109177.99800000001</v>
      </c>
      <c r="U9" s="535">
        <f t="shared" si="8"/>
        <v>266287.8</v>
      </c>
      <c r="V9" s="535">
        <f t="shared" si="9"/>
        <v>218355.99600000001</v>
      </c>
      <c r="W9" s="519">
        <v>84395.51</v>
      </c>
      <c r="X9" s="535">
        <f t="shared" si="10"/>
        <v>399431.69999999995</v>
      </c>
      <c r="Y9" s="535">
        <f t="shared" si="11"/>
        <v>327533.99400000001</v>
      </c>
      <c r="Z9" s="542"/>
      <c r="AA9" s="519">
        <v>88062.83</v>
      </c>
      <c r="AB9" s="535">
        <f t="shared" si="12"/>
        <v>532575.6</v>
      </c>
      <c r="AC9" s="577">
        <f t="shared" si="13"/>
        <v>436711.99200000003</v>
      </c>
      <c r="AD9" s="522">
        <v>0.04</v>
      </c>
      <c r="AE9" s="523">
        <f t="shared" si="27"/>
        <v>0.4</v>
      </c>
      <c r="AF9" s="524">
        <f t="shared" si="14"/>
        <v>5325.7560000000003</v>
      </c>
      <c r="AG9" s="524">
        <f t="shared" si="15"/>
        <v>5325.7560000000003</v>
      </c>
      <c r="AH9" s="524">
        <f t="shared" si="16"/>
        <v>15977.268</v>
      </c>
      <c r="AI9" s="524">
        <f t="shared" si="17"/>
        <v>21303.024000000001</v>
      </c>
      <c r="AJ9" s="524">
        <f t="shared" si="0"/>
        <v>127818.144</v>
      </c>
      <c r="AK9" s="524">
        <f t="shared" si="18"/>
        <v>260962.04399999999</v>
      </c>
      <c r="AL9" s="524">
        <f t="shared" si="19"/>
        <v>383454.43199999997</v>
      </c>
      <c r="AM9" s="524">
        <f t="shared" si="20"/>
        <v>511272.576</v>
      </c>
      <c r="AN9" s="537">
        <f t="shared" si="21"/>
        <v>28567.887759599998</v>
      </c>
      <c r="AO9" s="537">
        <f t="shared" si="22"/>
        <v>57859.545759600005</v>
      </c>
      <c r="AP9" s="537">
        <f t="shared" si="23"/>
        <v>85703.663278799984</v>
      </c>
      <c r="AQ9" s="537">
        <f t="shared" si="24"/>
        <v>114271.55103839999</v>
      </c>
      <c r="AR9" s="523">
        <f t="shared" si="25"/>
        <v>1331439</v>
      </c>
      <c r="AS9" s="523">
        <f t="shared" si="26"/>
        <v>11095.325000000001</v>
      </c>
      <c r="AU9" s="539">
        <v>8.4099999999999994E-2</v>
      </c>
      <c r="AV9" s="540">
        <v>0.22</v>
      </c>
    </row>
    <row r="10" spans="1:50" ht="15.75" hidden="1">
      <c r="A10" s="305" t="s">
        <v>758</v>
      </c>
      <c r="B10" s="305" t="s">
        <v>754</v>
      </c>
      <c r="C10" s="305" t="s">
        <v>755</v>
      </c>
      <c r="D10" s="306">
        <v>8332</v>
      </c>
      <c r="E10" s="306"/>
      <c r="F10" s="306"/>
      <c r="G10" s="519">
        <v>1</v>
      </c>
      <c r="H10" s="519">
        <v>1</v>
      </c>
      <c r="I10" s="519">
        <v>26.72</v>
      </c>
      <c r="J10" s="519">
        <v>4438.13</v>
      </c>
      <c r="K10" s="519">
        <v>37</v>
      </c>
      <c r="L10" s="533">
        <f t="shared" si="1"/>
        <v>1642.1080999999999</v>
      </c>
      <c r="M10" s="519">
        <v>70</v>
      </c>
      <c r="N10" s="532">
        <f t="shared" si="2"/>
        <v>3106.6909999999998</v>
      </c>
      <c r="O10" s="533">
        <f t="shared" si="3"/>
        <v>9186.9291000000012</v>
      </c>
      <c r="P10" s="580">
        <f t="shared" si="4"/>
        <v>9186.9291000000012</v>
      </c>
      <c r="Q10" s="519">
        <f t="shared" si="5"/>
        <v>3106.6909999999998</v>
      </c>
      <c r="R10" s="519"/>
      <c r="S10" s="535">
        <f t="shared" si="6"/>
        <v>13314.39</v>
      </c>
      <c r="T10" s="535">
        <f t="shared" si="7"/>
        <v>14246.397300000001</v>
      </c>
      <c r="U10" s="535">
        <f t="shared" si="8"/>
        <v>26628.78</v>
      </c>
      <c r="V10" s="535">
        <f t="shared" si="9"/>
        <v>28492.794600000001</v>
      </c>
      <c r="W10" s="519">
        <v>9598.83</v>
      </c>
      <c r="X10" s="535">
        <f t="shared" si="10"/>
        <v>39943.17</v>
      </c>
      <c r="Y10" s="535">
        <f t="shared" si="11"/>
        <v>42739.191900000005</v>
      </c>
      <c r="Z10" s="542"/>
      <c r="AA10" s="519">
        <v>10015.94</v>
      </c>
      <c r="AB10" s="535">
        <f t="shared" si="12"/>
        <v>53257.56</v>
      </c>
      <c r="AC10" s="577">
        <f t="shared" si="13"/>
        <v>56985.589200000002</v>
      </c>
      <c r="AD10" s="522">
        <v>0.04</v>
      </c>
      <c r="AE10" s="523">
        <f t="shared" si="27"/>
        <v>0.04</v>
      </c>
      <c r="AF10" s="524">
        <f t="shared" si="14"/>
        <v>532.57560000000001</v>
      </c>
      <c r="AG10" s="524">
        <f t="shared" si="15"/>
        <v>532.57560000000001</v>
      </c>
      <c r="AH10" s="524">
        <f t="shared" si="16"/>
        <v>1597.7267999999999</v>
      </c>
      <c r="AI10" s="524">
        <f t="shared" si="17"/>
        <v>2130.3024</v>
      </c>
      <c r="AJ10" s="524">
        <f t="shared" si="0"/>
        <v>12781.814399999999</v>
      </c>
      <c r="AK10" s="524">
        <f t="shared" si="18"/>
        <v>26096.204399999999</v>
      </c>
      <c r="AL10" s="524">
        <f t="shared" si="19"/>
        <v>38345.443200000002</v>
      </c>
      <c r="AM10" s="524">
        <f t="shared" si="20"/>
        <v>51127.257599999997</v>
      </c>
      <c r="AN10" s="537">
        <f t="shared" si="21"/>
        <v>2856.7887759599998</v>
      </c>
      <c r="AO10" s="537">
        <f t="shared" si="22"/>
        <v>5785.9545759599996</v>
      </c>
      <c r="AP10" s="537">
        <f t="shared" si="23"/>
        <v>8570.3663278800013</v>
      </c>
      <c r="AQ10" s="537">
        <f t="shared" si="24"/>
        <v>11427.155103839999</v>
      </c>
      <c r="AR10" s="523">
        <f t="shared" si="25"/>
        <v>133143.9</v>
      </c>
      <c r="AS10" s="523">
        <f t="shared" si="26"/>
        <v>11095.324999999999</v>
      </c>
      <c r="AU10" s="539">
        <v>8.4099999999999994E-2</v>
      </c>
      <c r="AV10" s="540">
        <v>0.22</v>
      </c>
    </row>
    <row r="11" spans="1:50" ht="15.75" hidden="1">
      <c r="A11" s="305" t="s">
        <v>642</v>
      </c>
      <c r="B11" s="305" t="s">
        <v>754</v>
      </c>
      <c r="C11" s="305" t="s">
        <v>755</v>
      </c>
      <c r="D11" s="306">
        <v>8332</v>
      </c>
      <c r="E11" s="306"/>
      <c r="F11" s="306"/>
      <c r="G11" s="519">
        <v>25</v>
      </c>
      <c r="H11" s="519">
        <v>1</v>
      </c>
      <c r="I11" s="519">
        <v>26.72</v>
      </c>
      <c r="J11" s="519">
        <v>4438.13</v>
      </c>
      <c r="K11" s="519">
        <v>12</v>
      </c>
      <c r="L11" s="533">
        <f t="shared" si="1"/>
        <v>532.57560000000001</v>
      </c>
      <c r="M11" s="519">
        <v>70</v>
      </c>
      <c r="N11" s="532">
        <f t="shared" si="2"/>
        <v>3106.6909999999998</v>
      </c>
      <c r="O11" s="533">
        <f t="shared" si="3"/>
        <v>8077.3966</v>
      </c>
      <c r="P11" s="580">
        <f t="shared" si="4"/>
        <v>201934.91500000001</v>
      </c>
      <c r="Q11" s="519">
        <f t="shared" si="5"/>
        <v>77667.274999999994</v>
      </c>
      <c r="R11" s="519"/>
      <c r="S11" s="535">
        <f t="shared" si="6"/>
        <v>332859.75</v>
      </c>
      <c r="T11" s="535">
        <f t="shared" si="7"/>
        <v>272944.995</v>
      </c>
      <c r="U11" s="535">
        <f t="shared" si="8"/>
        <v>665719.5</v>
      </c>
      <c r="V11" s="535">
        <f t="shared" si="9"/>
        <v>545889.99</v>
      </c>
      <c r="W11" s="519">
        <v>210988.77</v>
      </c>
      <c r="X11" s="535">
        <f t="shared" si="10"/>
        <v>998579.25</v>
      </c>
      <c r="Y11" s="535">
        <f t="shared" si="11"/>
        <v>818834.98499999999</v>
      </c>
      <c r="Z11" s="542"/>
      <c r="AA11" s="519">
        <v>220157.07</v>
      </c>
      <c r="AB11" s="535">
        <f t="shared" si="12"/>
        <v>1331439</v>
      </c>
      <c r="AC11" s="577">
        <f t="shared" si="13"/>
        <v>1091779.98</v>
      </c>
      <c r="AD11" s="522">
        <v>0.04</v>
      </c>
      <c r="AE11" s="523">
        <f>G11*AD11</f>
        <v>1</v>
      </c>
      <c r="AF11" s="524">
        <f t="shared" si="14"/>
        <v>13314.39</v>
      </c>
      <c r="AG11" s="524">
        <f t="shared" si="15"/>
        <v>13314.39</v>
      </c>
      <c r="AH11" s="524">
        <f t="shared" si="16"/>
        <v>39943.17</v>
      </c>
      <c r="AI11" s="524">
        <f t="shared" si="17"/>
        <v>53257.56</v>
      </c>
      <c r="AJ11" s="524">
        <f t="shared" si="0"/>
        <v>319545.36</v>
      </c>
      <c r="AK11" s="524">
        <f t="shared" si="18"/>
        <v>652405.11</v>
      </c>
      <c r="AL11" s="524">
        <f t="shared" si="19"/>
        <v>958636.08</v>
      </c>
      <c r="AM11" s="524">
        <f t="shared" si="20"/>
        <v>1278181.44</v>
      </c>
      <c r="AN11" s="537">
        <f t="shared" si="21"/>
        <v>71419.719398999994</v>
      </c>
      <c r="AO11" s="537">
        <f t="shared" si="22"/>
        <v>144648.86439899998</v>
      </c>
      <c r="AP11" s="537">
        <f t="shared" si="23"/>
        <v>214259.15819700001</v>
      </c>
      <c r="AQ11" s="537">
        <f t="shared" si="24"/>
        <v>285678.87759599998</v>
      </c>
      <c r="AR11" s="523">
        <f t="shared" si="25"/>
        <v>3328597.5</v>
      </c>
      <c r="AS11" s="523">
        <f t="shared" si="26"/>
        <v>11095.325000000001</v>
      </c>
      <c r="AU11" s="539">
        <v>8.4099999999999994E-2</v>
      </c>
      <c r="AV11" s="540">
        <v>0.22</v>
      </c>
    </row>
    <row r="12" spans="1:50" ht="15.75" hidden="1">
      <c r="A12" s="305" t="s">
        <v>537</v>
      </c>
      <c r="B12" s="305" t="s">
        <v>754</v>
      </c>
      <c r="C12" s="305" t="s">
        <v>755</v>
      </c>
      <c r="D12" s="306">
        <v>8332</v>
      </c>
      <c r="E12" s="306"/>
      <c r="F12" s="306"/>
      <c r="G12" s="519">
        <v>24</v>
      </c>
      <c r="H12" s="519">
        <v>1</v>
      </c>
      <c r="I12" s="519">
        <v>26.72</v>
      </c>
      <c r="J12" s="519">
        <v>4438.13</v>
      </c>
      <c r="K12" s="519">
        <v>12</v>
      </c>
      <c r="L12" s="533">
        <f t="shared" si="1"/>
        <v>532.57560000000001</v>
      </c>
      <c r="M12" s="519">
        <v>70</v>
      </c>
      <c r="N12" s="532">
        <f t="shared" si="2"/>
        <v>3106.6909999999998</v>
      </c>
      <c r="O12" s="533">
        <f t="shared" si="3"/>
        <v>8077.3966</v>
      </c>
      <c r="P12" s="580">
        <f t="shared" si="4"/>
        <v>193857.5184</v>
      </c>
      <c r="Q12" s="519">
        <f t="shared" si="5"/>
        <v>74560.584000000003</v>
      </c>
      <c r="R12" s="519"/>
      <c r="S12" s="535">
        <f t="shared" si="6"/>
        <v>319545.36</v>
      </c>
      <c r="T12" s="535">
        <f t="shared" si="7"/>
        <v>262027.19520000002</v>
      </c>
      <c r="U12" s="535">
        <f t="shared" si="8"/>
        <v>639090.72</v>
      </c>
      <c r="V12" s="535">
        <f t="shared" si="9"/>
        <v>524054.39040000003</v>
      </c>
      <c r="W12" s="519">
        <v>202549.22</v>
      </c>
      <c r="X12" s="535">
        <f t="shared" si="10"/>
        <v>958636.08</v>
      </c>
      <c r="Y12" s="535">
        <f t="shared" si="11"/>
        <v>786081.58559999999</v>
      </c>
      <c r="Z12" s="542"/>
      <c r="AA12" s="519">
        <v>211350.79</v>
      </c>
      <c r="AB12" s="535">
        <f t="shared" si="12"/>
        <v>1278181.44</v>
      </c>
      <c r="AC12" s="577">
        <f t="shared" si="13"/>
        <v>1048108.7808000001</v>
      </c>
      <c r="AD12" s="522">
        <v>0.04</v>
      </c>
      <c r="AE12" s="523">
        <f t="shared" si="27"/>
        <v>0.96</v>
      </c>
      <c r="AF12" s="524">
        <f t="shared" si="14"/>
        <v>12781.814399999999</v>
      </c>
      <c r="AG12" s="524">
        <f t="shared" si="15"/>
        <v>12781.814399999999</v>
      </c>
      <c r="AH12" s="524">
        <f t="shared" si="16"/>
        <v>38345.443199999994</v>
      </c>
      <c r="AI12" s="524">
        <f t="shared" si="17"/>
        <v>51127.257599999997</v>
      </c>
      <c r="AJ12" s="524">
        <f t="shared" si="0"/>
        <v>306763.54560000001</v>
      </c>
      <c r="AK12" s="524">
        <f t="shared" si="18"/>
        <v>626308.90559999994</v>
      </c>
      <c r="AL12" s="524">
        <f t="shared" si="19"/>
        <v>920290.63679999998</v>
      </c>
      <c r="AM12" s="524">
        <f t="shared" si="20"/>
        <v>1227054.1824</v>
      </c>
      <c r="AN12" s="537">
        <f t="shared" si="21"/>
        <v>68562.930623040011</v>
      </c>
      <c r="AO12" s="537">
        <f t="shared" si="22"/>
        <v>138862.90982303998</v>
      </c>
      <c r="AP12" s="537">
        <f t="shared" si="23"/>
        <v>205688.79186912</v>
      </c>
      <c r="AQ12" s="537">
        <f t="shared" si="24"/>
        <v>274251.72249216004</v>
      </c>
      <c r="AR12" s="523">
        <f t="shared" si="25"/>
        <v>3195453.5999999996</v>
      </c>
      <c r="AS12" s="523">
        <f t="shared" si="26"/>
        <v>11095.324999999999</v>
      </c>
      <c r="AU12" s="539">
        <v>8.4099999999999994E-2</v>
      </c>
      <c r="AV12" s="540">
        <v>0.22</v>
      </c>
    </row>
    <row r="13" spans="1:50" ht="15.75" hidden="1">
      <c r="A13" s="305" t="s">
        <v>538</v>
      </c>
      <c r="B13" s="305" t="s">
        <v>754</v>
      </c>
      <c r="C13" s="305" t="s">
        <v>755</v>
      </c>
      <c r="D13" s="306">
        <v>8332</v>
      </c>
      <c r="E13" s="306"/>
      <c r="F13" s="306"/>
      <c r="G13" s="519">
        <v>1</v>
      </c>
      <c r="H13" s="519">
        <v>1</v>
      </c>
      <c r="I13" s="519">
        <v>26.72</v>
      </c>
      <c r="J13" s="519">
        <v>4438.13</v>
      </c>
      <c r="K13" s="519">
        <v>47</v>
      </c>
      <c r="L13" s="533">
        <f t="shared" si="1"/>
        <v>2085.9211</v>
      </c>
      <c r="M13" s="519">
        <v>70</v>
      </c>
      <c r="N13" s="532">
        <f t="shared" si="2"/>
        <v>3106.6909999999998</v>
      </c>
      <c r="O13" s="533">
        <f t="shared" si="3"/>
        <v>9630.7420999999995</v>
      </c>
      <c r="P13" s="580">
        <f t="shared" si="4"/>
        <v>9630.7420999999995</v>
      </c>
      <c r="Q13" s="519">
        <f t="shared" si="5"/>
        <v>3106.6909999999998</v>
      </c>
      <c r="R13" s="519"/>
      <c r="S13" s="535">
        <f t="shared" si="6"/>
        <v>13314.39</v>
      </c>
      <c r="T13" s="535">
        <f t="shared" si="7"/>
        <v>15577.836300000001</v>
      </c>
      <c r="U13" s="535">
        <f t="shared" si="8"/>
        <v>26628.78</v>
      </c>
      <c r="V13" s="535">
        <f t="shared" si="9"/>
        <v>31155.672600000002</v>
      </c>
      <c r="W13" s="519">
        <v>10062.540000000001</v>
      </c>
      <c r="X13" s="535">
        <f t="shared" si="10"/>
        <v>39943.17</v>
      </c>
      <c r="Y13" s="535">
        <f t="shared" si="11"/>
        <v>46733.508900000001</v>
      </c>
      <c r="Z13" s="542"/>
      <c r="AA13" s="519">
        <v>10499.8</v>
      </c>
      <c r="AB13" s="535">
        <f t="shared" si="12"/>
        <v>53257.56</v>
      </c>
      <c r="AC13" s="577">
        <f t="shared" si="13"/>
        <v>62311.345200000003</v>
      </c>
      <c r="AD13" s="522">
        <v>0.04</v>
      </c>
      <c r="AE13" s="523">
        <f>G13*AD13</f>
        <v>0.04</v>
      </c>
      <c r="AF13" s="524">
        <f t="shared" si="14"/>
        <v>532.57560000000001</v>
      </c>
      <c r="AG13" s="524">
        <f t="shared" si="15"/>
        <v>532.57560000000001</v>
      </c>
      <c r="AH13" s="524">
        <f t="shared" si="16"/>
        <v>1597.7267999999999</v>
      </c>
      <c r="AI13" s="524">
        <f t="shared" si="17"/>
        <v>2130.3024</v>
      </c>
      <c r="AJ13" s="524">
        <f t="shared" si="0"/>
        <v>12781.814399999999</v>
      </c>
      <c r="AK13" s="524">
        <f t="shared" si="18"/>
        <v>26096.204399999999</v>
      </c>
      <c r="AL13" s="524">
        <f t="shared" si="19"/>
        <v>38345.443200000002</v>
      </c>
      <c r="AM13" s="524">
        <f t="shared" si="20"/>
        <v>51127.257599999997</v>
      </c>
      <c r="AN13" s="537">
        <f t="shared" si="21"/>
        <v>2856.7887759599998</v>
      </c>
      <c r="AO13" s="537">
        <f t="shared" si="22"/>
        <v>5785.9545759599996</v>
      </c>
      <c r="AP13" s="537">
        <f t="shared" si="23"/>
        <v>8570.3663278800013</v>
      </c>
      <c r="AQ13" s="537">
        <f t="shared" si="24"/>
        <v>11427.155103839999</v>
      </c>
      <c r="AR13" s="523">
        <f t="shared" si="25"/>
        <v>133143.9</v>
      </c>
      <c r="AS13" s="523">
        <f t="shared" si="26"/>
        <v>11095.324999999999</v>
      </c>
      <c r="AU13" s="539">
        <v>8.4099999999999994E-2</v>
      </c>
      <c r="AV13" s="540">
        <v>0.22</v>
      </c>
    </row>
    <row r="14" spans="1:50" ht="15.75" hidden="1">
      <c r="A14" s="305" t="s">
        <v>539</v>
      </c>
      <c r="B14" s="305" t="s">
        <v>754</v>
      </c>
      <c r="C14" s="305" t="s">
        <v>755</v>
      </c>
      <c r="D14" s="306">
        <v>8332</v>
      </c>
      <c r="E14" s="306"/>
      <c r="F14" s="306"/>
      <c r="G14" s="519">
        <v>1</v>
      </c>
      <c r="H14" s="519">
        <v>3</v>
      </c>
      <c r="I14" s="519">
        <v>32.85</v>
      </c>
      <c r="J14" s="519">
        <v>5455.38</v>
      </c>
      <c r="K14" s="519">
        <v>67</v>
      </c>
      <c r="L14" s="533">
        <f t="shared" si="1"/>
        <v>3655.1046000000001</v>
      </c>
      <c r="M14" s="519">
        <v>70</v>
      </c>
      <c r="N14" s="532">
        <f t="shared" si="2"/>
        <v>3818.7659999999996</v>
      </c>
      <c r="O14" s="533">
        <f t="shared" si="3"/>
        <v>12929.250599999999</v>
      </c>
      <c r="P14" s="580">
        <f t="shared" si="4"/>
        <v>12929.250599999999</v>
      </c>
      <c r="Q14" s="519">
        <f t="shared" si="5"/>
        <v>3818.7659999999996</v>
      </c>
      <c r="R14" s="519"/>
      <c r="S14" s="535">
        <f t="shared" si="6"/>
        <v>16366.14</v>
      </c>
      <c r="T14" s="535">
        <f t="shared" si="7"/>
        <v>22421.611799999999</v>
      </c>
      <c r="U14" s="535">
        <f t="shared" si="8"/>
        <v>32732.28</v>
      </c>
      <c r="V14" s="535">
        <f t="shared" si="9"/>
        <v>44843.223599999998</v>
      </c>
      <c r="W14" s="519">
        <v>13508.94</v>
      </c>
      <c r="X14" s="535">
        <f t="shared" si="10"/>
        <v>49098.42</v>
      </c>
      <c r="Y14" s="535">
        <f t="shared" si="11"/>
        <v>67264.835399999996</v>
      </c>
      <c r="Z14" s="542"/>
      <c r="AA14" s="519">
        <v>14095.96</v>
      </c>
      <c r="AB14" s="535">
        <f t="shared" si="12"/>
        <v>65464.56</v>
      </c>
      <c r="AC14" s="577">
        <f t="shared" si="13"/>
        <v>89686.447199999995</v>
      </c>
      <c r="AD14" s="522">
        <v>0.04</v>
      </c>
      <c r="AE14" s="523">
        <f>G14*AD14</f>
        <v>0.04</v>
      </c>
      <c r="AF14" s="524">
        <f t="shared" si="14"/>
        <v>654.64559999999994</v>
      </c>
      <c r="AG14" s="524">
        <f t="shared" si="15"/>
        <v>654.64559999999994</v>
      </c>
      <c r="AH14" s="524">
        <f t="shared" si="16"/>
        <v>1963.9367999999999</v>
      </c>
      <c r="AI14" s="524">
        <f t="shared" si="17"/>
        <v>2618.5823999999998</v>
      </c>
      <c r="AJ14" s="524">
        <f t="shared" si="0"/>
        <v>15711.4944</v>
      </c>
      <c r="AK14" s="524">
        <f t="shared" si="18"/>
        <v>32077.634399999999</v>
      </c>
      <c r="AL14" s="524">
        <f t="shared" si="19"/>
        <v>47134.483199999995</v>
      </c>
      <c r="AM14" s="524">
        <f t="shared" si="20"/>
        <v>62845.977599999998</v>
      </c>
      <c r="AN14" s="537">
        <f t="shared" si="21"/>
        <v>3511.5844629600001</v>
      </c>
      <c r="AO14" s="537">
        <f t="shared" si="22"/>
        <v>7112.1352629600005</v>
      </c>
      <c r="AP14" s="537">
        <f t="shared" si="23"/>
        <v>10534.753388879999</v>
      </c>
      <c r="AQ14" s="537">
        <f t="shared" si="24"/>
        <v>14046.33785184</v>
      </c>
      <c r="AR14" s="523">
        <f t="shared" si="25"/>
        <v>163661.4</v>
      </c>
      <c r="AS14" s="523">
        <f t="shared" si="26"/>
        <v>13638.449999999999</v>
      </c>
      <c r="AU14" s="539">
        <v>8.4099999999999994E-2</v>
      </c>
      <c r="AV14" s="540">
        <v>0.22</v>
      </c>
    </row>
    <row r="15" spans="1:50" ht="15.75" hidden="1">
      <c r="A15" s="305" t="s">
        <v>540</v>
      </c>
      <c r="B15" s="305" t="s">
        <v>754</v>
      </c>
      <c r="C15" s="305" t="s">
        <v>755</v>
      </c>
      <c r="D15" s="306">
        <v>8332</v>
      </c>
      <c r="E15" s="306"/>
      <c r="F15" s="306"/>
      <c r="G15" s="519">
        <v>1</v>
      </c>
      <c r="H15" s="519">
        <v>2</v>
      </c>
      <c r="I15" s="519">
        <v>29.56</v>
      </c>
      <c r="J15" s="519">
        <v>4909.5</v>
      </c>
      <c r="K15" s="519">
        <v>20</v>
      </c>
      <c r="L15" s="533">
        <f t="shared" si="1"/>
        <v>981.90000000000009</v>
      </c>
      <c r="M15" s="519">
        <v>70</v>
      </c>
      <c r="N15" s="532">
        <f t="shared" si="2"/>
        <v>3436.6499999999996</v>
      </c>
      <c r="O15" s="533">
        <f t="shared" si="3"/>
        <v>9328.0499999999993</v>
      </c>
      <c r="P15" s="580">
        <f t="shared" si="4"/>
        <v>9328.0499999999993</v>
      </c>
      <c r="Q15" s="519">
        <f t="shared" si="5"/>
        <v>3436.6499999999996</v>
      </c>
      <c r="R15" s="519"/>
      <c r="S15" s="535">
        <f t="shared" si="6"/>
        <v>14728.5</v>
      </c>
      <c r="T15" s="535">
        <f t="shared" si="7"/>
        <v>13255.649999999998</v>
      </c>
      <c r="U15" s="535">
        <f t="shared" si="8"/>
        <v>29457</v>
      </c>
      <c r="V15" s="535">
        <f t="shared" si="9"/>
        <v>26511.299999999996</v>
      </c>
      <c r="W15" s="519">
        <v>9746.27</v>
      </c>
      <c r="X15" s="535">
        <f t="shared" si="10"/>
        <v>44185.5</v>
      </c>
      <c r="Y15" s="535">
        <f t="shared" si="11"/>
        <v>39766.949999999997</v>
      </c>
      <c r="Z15" s="542"/>
      <c r="AA15" s="519">
        <v>10169.790000000001</v>
      </c>
      <c r="AB15" s="535">
        <f t="shared" si="12"/>
        <v>58914</v>
      </c>
      <c r="AC15" s="577">
        <f t="shared" si="13"/>
        <v>53022.599999999991</v>
      </c>
      <c r="AD15" s="522">
        <v>0.04</v>
      </c>
      <c r="AE15" s="523">
        <f>G15*AD15</f>
        <v>0.04</v>
      </c>
      <c r="AF15" s="524">
        <f t="shared" si="14"/>
        <v>589.14</v>
      </c>
      <c r="AG15" s="524">
        <f t="shared" si="15"/>
        <v>589.14</v>
      </c>
      <c r="AH15" s="524">
        <f t="shared" si="16"/>
        <v>1767.42</v>
      </c>
      <c r="AI15" s="524">
        <f t="shared" si="17"/>
        <v>2356.56</v>
      </c>
      <c r="AJ15" s="524">
        <f t="shared" si="0"/>
        <v>14139.36</v>
      </c>
      <c r="AK15" s="524">
        <f t="shared" si="18"/>
        <v>28867.86</v>
      </c>
      <c r="AL15" s="524">
        <f t="shared" si="19"/>
        <v>42418.080000000002</v>
      </c>
      <c r="AM15" s="524">
        <f t="shared" si="20"/>
        <v>56557.440000000002</v>
      </c>
      <c r="AN15" s="537">
        <f t="shared" si="21"/>
        <v>3160.2058740000002</v>
      </c>
      <c r="AO15" s="537">
        <f t="shared" si="22"/>
        <v>6400.4758740000007</v>
      </c>
      <c r="AP15" s="537">
        <f t="shared" si="23"/>
        <v>9480.6176219999998</v>
      </c>
      <c r="AQ15" s="537">
        <f t="shared" si="24"/>
        <v>12640.823496000001</v>
      </c>
      <c r="AR15" s="523">
        <f t="shared" si="25"/>
        <v>147285</v>
      </c>
      <c r="AS15" s="523">
        <f t="shared" si="26"/>
        <v>12273.75</v>
      </c>
      <c r="AU15" s="539">
        <v>8.4099999999999994E-2</v>
      </c>
      <c r="AV15" s="540">
        <v>0.22</v>
      </c>
    </row>
    <row r="16" spans="1:50" ht="15.75" hidden="1">
      <c r="A16" s="305" t="s">
        <v>540</v>
      </c>
      <c r="B16" s="305" t="s">
        <v>754</v>
      </c>
      <c r="C16" s="305" t="s">
        <v>755</v>
      </c>
      <c r="D16" s="306">
        <v>8332</v>
      </c>
      <c r="E16" s="306"/>
      <c r="F16" s="306"/>
      <c r="G16" s="519">
        <v>13</v>
      </c>
      <c r="H16" s="519">
        <v>3</v>
      </c>
      <c r="I16" s="519">
        <v>32.85</v>
      </c>
      <c r="J16" s="519">
        <v>5455.38</v>
      </c>
      <c r="K16" s="519">
        <v>32</v>
      </c>
      <c r="L16" s="533">
        <f t="shared" si="1"/>
        <v>1745.7216000000001</v>
      </c>
      <c r="M16" s="519">
        <v>70</v>
      </c>
      <c r="N16" s="532">
        <f t="shared" si="2"/>
        <v>3818.7659999999996</v>
      </c>
      <c r="O16" s="533">
        <f t="shared" si="3"/>
        <v>11019.8676</v>
      </c>
      <c r="P16" s="580">
        <f t="shared" si="4"/>
        <v>143258.2788</v>
      </c>
      <c r="Q16" s="519">
        <f t="shared" si="5"/>
        <v>49643.957999999999</v>
      </c>
      <c r="R16" s="519"/>
      <c r="S16" s="535">
        <f t="shared" si="6"/>
        <v>212759.82</v>
      </c>
      <c r="T16" s="535">
        <f t="shared" si="7"/>
        <v>217015.01639999996</v>
      </c>
      <c r="U16" s="535">
        <f t="shared" si="8"/>
        <v>425519.64</v>
      </c>
      <c r="V16" s="535">
        <f t="shared" si="9"/>
        <v>434030.03279999993</v>
      </c>
      <c r="W16" s="519">
        <v>149681.39000000001</v>
      </c>
      <c r="X16" s="535">
        <f t="shared" si="10"/>
        <v>638279.46</v>
      </c>
      <c r="Y16" s="535">
        <f t="shared" si="11"/>
        <v>651045.04920000001</v>
      </c>
      <c r="Z16" s="542"/>
      <c r="AA16" s="519">
        <v>156185.64000000001</v>
      </c>
      <c r="AB16" s="535">
        <f t="shared" si="12"/>
        <v>851039.28</v>
      </c>
      <c r="AC16" s="577">
        <f t="shared" si="13"/>
        <v>868060.06559999986</v>
      </c>
      <c r="AD16" s="522">
        <v>0.04</v>
      </c>
      <c r="AE16" s="523">
        <f t="shared" si="27"/>
        <v>0.52</v>
      </c>
      <c r="AF16" s="524">
        <f t="shared" si="14"/>
        <v>8510.3928000000014</v>
      </c>
      <c r="AG16" s="524">
        <f t="shared" si="15"/>
        <v>8510.3928000000014</v>
      </c>
      <c r="AH16" s="524">
        <f t="shared" si="16"/>
        <v>25531.178400000001</v>
      </c>
      <c r="AI16" s="524">
        <f t="shared" si="17"/>
        <v>34041.571200000006</v>
      </c>
      <c r="AJ16" s="524">
        <f t="shared" si="0"/>
        <v>204249.42720000001</v>
      </c>
      <c r="AK16" s="524">
        <f t="shared" si="18"/>
        <v>417009.24719999998</v>
      </c>
      <c r="AL16" s="524">
        <f t="shared" si="19"/>
        <v>612748.28159999999</v>
      </c>
      <c r="AM16" s="524">
        <f t="shared" si="20"/>
        <v>816997.70880000002</v>
      </c>
      <c r="AN16" s="537">
        <f t="shared" si="21"/>
        <v>45650.598018479999</v>
      </c>
      <c r="AO16" s="537">
        <f t="shared" si="22"/>
        <v>92457.758418479993</v>
      </c>
      <c r="AP16" s="537">
        <f t="shared" si="23"/>
        <v>136951.79405544</v>
      </c>
      <c r="AQ16" s="537">
        <f t="shared" si="24"/>
        <v>182602.39207392</v>
      </c>
      <c r="AR16" s="523">
        <f t="shared" si="25"/>
        <v>2127598.2000000002</v>
      </c>
      <c r="AS16" s="523">
        <f t="shared" si="26"/>
        <v>13638.45</v>
      </c>
      <c r="AU16" s="539">
        <v>8.4099999999999994E-2</v>
      </c>
      <c r="AV16" s="540">
        <v>0.22</v>
      </c>
    </row>
    <row r="17" spans="1:50" ht="15.75" hidden="1">
      <c r="A17" s="305" t="s">
        <v>541</v>
      </c>
      <c r="B17" s="305" t="s">
        <v>754</v>
      </c>
      <c r="C17" s="305" t="s">
        <v>755</v>
      </c>
      <c r="D17" s="306">
        <v>8332</v>
      </c>
      <c r="E17" s="306"/>
      <c r="F17" s="306"/>
      <c r="G17" s="519">
        <v>2</v>
      </c>
      <c r="H17" s="519">
        <v>2</v>
      </c>
      <c r="I17" s="519">
        <v>29.56</v>
      </c>
      <c r="J17" s="519">
        <v>4909.5</v>
      </c>
      <c r="K17" s="519">
        <v>12</v>
      </c>
      <c r="L17" s="533">
        <f t="shared" si="1"/>
        <v>589.14</v>
      </c>
      <c r="M17" s="519">
        <v>70</v>
      </c>
      <c r="N17" s="532">
        <f t="shared" si="2"/>
        <v>3436.6499999999996</v>
      </c>
      <c r="O17" s="533">
        <f t="shared" si="3"/>
        <v>8935.2900000000009</v>
      </c>
      <c r="P17" s="580">
        <f t="shared" si="4"/>
        <v>17870.580000000002</v>
      </c>
      <c r="Q17" s="519">
        <f t="shared" si="5"/>
        <v>6873.2999999999993</v>
      </c>
      <c r="R17" s="519"/>
      <c r="S17" s="535">
        <f t="shared" si="6"/>
        <v>29457</v>
      </c>
      <c r="T17" s="535">
        <f t="shared" si="7"/>
        <v>24154.739999999998</v>
      </c>
      <c r="U17" s="535">
        <f t="shared" si="8"/>
        <v>58914</v>
      </c>
      <c r="V17" s="535">
        <f t="shared" si="9"/>
        <v>48309.479999999996</v>
      </c>
      <c r="W17" s="519">
        <v>18671.810000000001</v>
      </c>
      <c r="X17" s="535">
        <f t="shared" si="10"/>
        <v>88371</v>
      </c>
      <c r="Y17" s="535">
        <f t="shared" si="11"/>
        <v>72464.219999999987</v>
      </c>
      <c r="Z17" s="542"/>
      <c r="AA17" s="519">
        <v>19483.169999999998</v>
      </c>
      <c r="AB17" s="535">
        <f t="shared" si="12"/>
        <v>117828</v>
      </c>
      <c r="AC17" s="577">
        <f t="shared" si="13"/>
        <v>96618.959999999992</v>
      </c>
      <c r="AD17" s="522">
        <v>0.04</v>
      </c>
      <c r="AE17" s="523">
        <f t="shared" si="27"/>
        <v>0.08</v>
      </c>
      <c r="AF17" s="524">
        <f t="shared" si="14"/>
        <v>1178.28</v>
      </c>
      <c r="AG17" s="524">
        <f t="shared" si="15"/>
        <v>1178.28</v>
      </c>
      <c r="AH17" s="524">
        <f t="shared" si="16"/>
        <v>3534.84</v>
      </c>
      <c r="AI17" s="524">
        <f t="shared" si="17"/>
        <v>4713.12</v>
      </c>
      <c r="AJ17" s="524">
        <f t="shared" si="0"/>
        <v>28278.720000000001</v>
      </c>
      <c r="AK17" s="524">
        <f t="shared" si="18"/>
        <v>57735.72</v>
      </c>
      <c r="AL17" s="524">
        <f t="shared" si="19"/>
        <v>84836.160000000003</v>
      </c>
      <c r="AM17" s="524">
        <f t="shared" si="20"/>
        <v>113114.88</v>
      </c>
      <c r="AN17" s="537">
        <f t="shared" si="21"/>
        <v>6320.4117480000004</v>
      </c>
      <c r="AO17" s="537">
        <f t="shared" si="22"/>
        <v>12800.951748000001</v>
      </c>
      <c r="AP17" s="537">
        <f t="shared" si="23"/>
        <v>18961.235244</v>
      </c>
      <c r="AQ17" s="537">
        <f t="shared" si="24"/>
        <v>25281.646992000002</v>
      </c>
      <c r="AR17" s="523">
        <f t="shared" si="25"/>
        <v>294570</v>
      </c>
      <c r="AS17" s="523">
        <f t="shared" si="26"/>
        <v>12273.75</v>
      </c>
      <c r="AU17" s="539">
        <v>8.4099999999999994E-2</v>
      </c>
      <c r="AV17" s="540">
        <v>0.22</v>
      </c>
    </row>
    <row r="18" spans="1:50" ht="15.75" hidden="1">
      <c r="A18" s="305" t="s">
        <v>541</v>
      </c>
      <c r="B18" s="305" t="s">
        <v>754</v>
      </c>
      <c r="C18" s="305" t="s">
        <v>755</v>
      </c>
      <c r="D18" s="306">
        <v>8332</v>
      </c>
      <c r="E18" s="306"/>
      <c r="F18" s="306"/>
      <c r="G18" s="519">
        <v>12</v>
      </c>
      <c r="H18" s="519">
        <v>3</v>
      </c>
      <c r="I18" s="519">
        <v>32.85</v>
      </c>
      <c r="J18" s="519">
        <v>5455.38</v>
      </c>
      <c r="K18" s="519">
        <v>24</v>
      </c>
      <c r="L18" s="533">
        <f t="shared" si="1"/>
        <v>1309.2911999999999</v>
      </c>
      <c r="M18" s="519">
        <v>70</v>
      </c>
      <c r="N18" s="532">
        <f t="shared" si="2"/>
        <v>3818.7659999999996</v>
      </c>
      <c r="O18" s="533">
        <f t="shared" si="3"/>
        <v>10583.4372</v>
      </c>
      <c r="P18" s="580">
        <f t="shared" si="4"/>
        <v>127001.2464</v>
      </c>
      <c r="Q18" s="519">
        <f t="shared" si="5"/>
        <v>45825.191999999995</v>
      </c>
      <c r="R18" s="519"/>
      <c r="S18" s="535">
        <f t="shared" si="6"/>
        <v>196393.68</v>
      </c>
      <c r="T18" s="535">
        <f t="shared" si="7"/>
        <v>184610.05919999996</v>
      </c>
      <c r="U18" s="535">
        <f t="shared" si="8"/>
        <v>392787.36</v>
      </c>
      <c r="V18" s="535">
        <f t="shared" si="9"/>
        <v>369220.11839999992</v>
      </c>
      <c r="W18" s="519">
        <v>132695.46</v>
      </c>
      <c r="X18" s="535">
        <f t="shared" si="10"/>
        <v>589181.04</v>
      </c>
      <c r="Y18" s="535">
        <f t="shared" si="11"/>
        <v>553830.17759999982</v>
      </c>
      <c r="Z18" s="542"/>
      <c r="AA18" s="519">
        <v>138461.60999999999</v>
      </c>
      <c r="AB18" s="535">
        <f t="shared" si="12"/>
        <v>785574.72</v>
      </c>
      <c r="AC18" s="577">
        <f t="shared" si="13"/>
        <v>738440.23679999984</v>
      </c>
      <c r="AD18" s="522">
        <v>0.04</v>
      </c>
      <c r="AE18" s="523">
        <f t="shared" si="27"/>
        <v>0.48</v>
      </c>
      <c r="AF18" s="524">
        <f t="shared" si="14"/>
        <v>7855.7471999999998</v>
      </c>
      <c r="AG18" s="524">
        <f t="shared" si="15"/>
        <v>7855.7471999999998</v>
      </c>
      <c r="AH18" s="524">
        <f t="shared" si="16"/>
        <v>23567.241600000001</v>
      </c>
      <c r="AI18" s="524">
        <f t="shared" si="17"/>
        <v>31422.988799999999</v>
      </c>
      <c r="AJ18" s="524">
        <f t="shared" si="0"/>
        <v>188537.93279999998</v>
      </c>
      <c r="AK18" s="524">
        <f t="shared" si="18"/>
        <v>384931.6128</v>
      </c>
      <c r="AL18" s="524">
        <f t="shared" si="19"/>
        <v>565613.79840000009</v>
      </c>
      <c r="AM18" s="524">
        <f t="shared" si="20"/>
        <v>754151.73119999992</v>
      </c>
      <c r="AN18" s="537">
        <f t="shared" si="21"/>
        <v>42139.013555519996</v>
      </c>
      <c r="AO18" s="537">
        <f t="shared" si="22"/>
        <v>85345.623155519992</v>
      </c>
      <c r="AP18" s="537">
        <f t="shared" si="23"/>
        <v>126417.04066656002</v>
      </c>
      <c r="AQ18" s="537">
        <f t="shared" si="24"/>
        <v>168556.05422207998</v>
      </c>
      <c r="AR18" s="523">
        <f t="shared" si="25"/>
        <v>1963936.8</v>
      </c>
      <c r="AS18" s="523">
        <f t="shared" si="26"/>
        <v>13638.449999999999</v>
      </c>
      <c r="AU18" s="539">
        <v>8.4099999999999994E-2</v>
      </c>
      <c r="AV18" s="540">
        <v>0.22</v>
      </c>
    </row>
    <row r="19" spans="1:50" ht="15.75" hidden="1">
      <c r="A19" s="305" t="s">
        <v>542</v>
      </c>
      <c r="B19" s="305" t="s">
        <v>754</v>
      </c>
      <c r="C19" s="305" t="s">
        <v>755</v>
      </c>
      <c r="D19" s="306">
        <v>8332</v>
      </c>
      <c r="E19" s="306">
        <v>3</v>
      </c>
      <c r="F19" s="306"/>
      <c r="G19" s="519">
        <v>3</v>
      </c>
      <c r="H19" s="519">
        <v>4</v>
      </c>
      <c r="I19" s="519">
        <v>41</v>
      </c>
      <c r="J19" s="519">
        <v>6808.83</v>
      </c>
      <c r="K19" s="519">
        <v>28</v>
      </c>
      <c r="L19" s="533">
        <f t="shared" si="1"/>
        <v>1906.4724000000001</v>
      </c>
      <c r="M19" s="519">
        <v>20</v>
      </c>
      <c r="N19" s="532">
        <f t="shared" si="2"/>
        <v>1361.7660000000001</v>
      </c>
      <c r="O19" s="533">
        <f t="shared" si="3"/>
        <v>10077.0684</v>
      </c>
      <c r="P19" s="580">
        <f t="shared" si="4"/>
        <v>30231.2052</v>
      </c>
      <c r="Q19" s="519">
        <f t="shared" si="5"/>
        <v>4085.2980000000002</v>
      </c>
      <c r="R19" s="519"/>
      <c r="S19" s="535">
        <f t="shared" si="6"/>
        <v>61279.469999999994</v>
      </c>
      <c r="T19" s="535">
        <f t="shared" si="7"/>
        <v>29414.145600000003</v>
      </c>
      <c r="U19" s="535">
        <f t="shared" si="8"/>
        <v>122558.93999999999</v>
      </c>
      <c r="V19" s="535">
        <f t="shared" si="9"/>
        <v>58828.291200000007</v>
      </c>
      <c r="W19" s="519">
        <v>31586.63</v>
      </c>
      <c r="X19" s="535">
        <f t="shared" si="10"/>
        <v>183838.41</v>
      </c>
      <c r="Y19" s="535">
        <f t="shared" si="11"/>
        <v>88242.43680000001</v>
      </c>
      <c r="Z19" s="542"/>
      <c r="AA19" s="519">
        <v>32959.199999999997</v>
      </c>
      <c r="AB19" s="535">
        <f t="shared" si="12"/>
        <v>245117.87999999998</v>
      </c>
      <c r="AC19" s="577">
        <f t="shared" si="13"/>
        <v>117656.58240000001</v>
      </c>
      <c r="AD19" s="522">
        <v>0.04</v>
      </c>
      <c r="AE19" s="523">
        <f>G19*AD19</f>
        <v>0.12</v>
      </c>
      <c r="AF19" s="524">
        <f t="shared" si="14"/>
        <v>2451.1787999999997</v>
      </c>
      <c r="AG19" s="524">
        <f t="shared" si="15"/>
        <v>2451.1787999999997</v>
      </c>
      <c r="AH19" s="524">
        <f t="shared" si="16"/>
        <v>7353.5364</v>
      </c>
      <c r="AI19" s="524">
        <f t="shared" si="17"/>
        <v>9804.7151999999987</v>
      </c>
      <c r="AJ19" s="524">
        <f t="shared" si="0"/>
        <v>58828.291199999992</v>
      </c>
      <c r="AK19" s="524">
        <f t="shared" si="18"/>
        <v>120107.76119999999</v>
      </c>
      <c r="AL19" s="524">
        <f t="shared" si="19"/>
        <v>176484.87359999999</v>
      </c>
      <c r="AM19" s="524">
        <f t="shared" si="20"/>
        <v>235313.16479999997</v>
      </c>
      <c r="AN19" s="537">
        <f t="shared" si="21"/>
        <v>13148.368201079998</v>
      </c>
      <c r="AO19" s="537">
        <f t="shared" si="22"/>
        <v>26629.851601079998</v>
      </c>
      <c r="AP19" s="537">
        <f t="shared" si="23"/>
        <v>39445.104603239997</v>
      </c>
      <c r="AQ19" s="537">
        <f t="shared" si="24"/>
        <v>52593.472804319994</v>
      </c>
      <c r="AR19" s="523">
        <f t="shared" si="25"/>
        <v>612794.69999999995</v>
      </c>
      <c r="AS19" s="523">
        <f t="shared" si="26"/>
        <v>17022.075000000001</v>
      </c>
      <c r="AU19" s="539">
        <v>8.4099999999999994E-2</v>
      </c>
      <c r="AV19" s="540">
        <v>0.22</v>
      </c>
    </row>
    <row r="20" spans="1:50" ht="15.75" hidden="1">
      <c r="A20" s="305" t="s">
        <v>543</v>
      </c>
      <c r="B20" s="305" t="s">
        <v>754</v>
      </c>
      <c r="C20" s="305" t="s">
        <v>755</v>
      </c>
      <c r="D20" s="306">
        <v>8332</v>
      </c>
      <c r="E20" s="306">
        <v>1</v>
      </c>
      <c r="F20" s="306"/>
      <c r="G20" s="519">
        <v>1</v>
      </c>
      <c r="H20" s="519">
        <v>5</v>
      </c>
      <c r="I20" s="519">
        <v>46.76</v>
      </c>
      <c r="J20" s="519">
        <v>7765.43</v>
      </c>
      <c r="K20" s="519">
        <v>32</v>
      </c>
      <c r="L20" s="533">
        <f t="shared" si="1"/>
        <v>2484.9376000000002</v>
      </c>
      <c r="M20" s="519">
        <v>20</v>
      </c>
      <c r="N20" s="532">
        <f t="shared" si="2"/>
        <v>1553.0860000000002</v>
      </c>
      <c r="O20" s="533">
        <f t="shared" si="3"/>
        <v>11803.453600000001</v>
      </c>
      <c r="P20" s="580">
        <f t="shared" si="4"/>
        <v>11803.453600000001</v>
      </c>
      <c r="Q20" s="519">
        <f t="shared" si="5"/>
        <v>1553.0860000000002</v>
      </c>
      <c r="R20" s="519"/>
      <c r="S20" s="535">
        <f t="shared" si="6"/>
        <v>23296.29</v>
      </c>
      <c r="T20" s="535">
        <f t="shared" si="7"/>
        <v>12114.070800000001</v>
      </c>
      <c r="U20" s="535">
        <f t="shared" si="8"/>
        <v>46592.58</v>
      </c>
      <c r="V20" s="535">
        <f t="shared" si="9"/>
        <v>24228.141600000003</v>
      </c>
      <c r="W20" s="519">
        <v>12332.66</v>
      </c>
      <c r="X20" s="535">
        <f t="shared" si="10"/>
        <v>69888.87</v>
      </c>
      <c r="Y20" s="535">
        <f t="shared" si="11"/>
        <v>36342.212400000004</v>
      </c>
      <c r="Z20" s="542"/>
      <c r="AA20" s="519">
        <v>12868.57</v>
      </c>
      <c r="AB20" s="535">
        <f t="shared" si="12"/>
        <v>93185.16</v>
      </c>
      <c r="AC20" s="577">
        <f t="shared" si="13"/>
        <v>48456.283200000005</v>
      </c>
      <c r="AD20" s="522">
        <v>0.04</v>
      </c>
      <c r="AE20" s="523">
        <f t="shared" si="27"/>
        <v>0.04</v>
      </c>
      <c r="AF20" s="524">
        <f t="shared" si="14"/>
        <v>931.85160000000008</v>
      </c>
      <c r="AG20" s="524">
        <f t="shared" si="15"/>
        <v>931.85160000000008</v>
      </c>
      <c r="AH20" s="524">
        <f t="shared" si="16"/>
        <v>2795.5547999999999</v>
      </c>
      <c r="AI20" s="524">
        <f t="shared" si="17"/>
        <v>3727.4064000000003</v>
      </c>
      <c r="AJ20" s="524">
        <f t="shared" si="0"/>
        <v>22364.438399999999</v>
      </c>
      <c r="AK20" s="524">
        <f t="shared" si="18"/>
        <v>45660.7284</v>
      </c>
      <c r="AL20" s="524">
        <f t="shared" si="19"/>
        <v>67093.315199999997</v>
      </c>
      <c r="AM20" s="524">
        <f t="shared" si="20"/>
        <v>89457.753599999996</v>
      </c>
      <c r="AN20" s="537">
        <f t="shared" si="21"/>
        <v>4998.5451675599998</v>
      </c>
      <c r="AO20" s="537">
        <f t="shared" si="22"/>
        <v>10123.72896756</v>
      </c>
      <c r="AP20" s="537">
        <f t="shared" si="23"/>
        <v>14995.635502679999</v>
      </c>
      <c r="AQ20" s="537">
        <f t="shared" si="24"/>
        <v>19994.180670239999</v>
      </c>
      <c r="AR20" s="523">
        <f t="shared" si="25"/>
        <v>232962.9</v>
      </c>
      <c r="AS20" s="523">
        <f t="shared" si="26"/>
        <v>19413.575000000001</v>
      </c>
      <c r="AU20" s="539">
        <v>8.4099999999999994E-2</v>
      </c>
      <c r="AV20" s="540">
        <v>0.22</v>
      </c>
    </row>
    <row r="21" spans="1:50" ht="15.75" hidden="1">
      <c r="A21" s="305" t="s">
        <v>545</v>
      </c>
      <c r="B21" s="305" t="s">
        <v>754</v>
      </c>
      <c r="C21" s="305" t="s">
        <v>755</v>
      </c>
      <c r="D21" s="306">
        <v>8322</v>
      </c>
      <c r="E21" s="306">
        <v>1</v>
      </c>
      <c r="F21" s="306" t="s">
        <v>759</v>
      </c>
      <c r="G21" s="519">
        <v>1</v>
      </c>
      <c r="H21" s="519">
        <v>3</v>
      </c>
      <c r="I21" s="519">
        <v>43.31</v>
      </c>
      <c r="J21" s="519">
        <v>7193.55</v>
      </c>
      <c r="K21" s="519">
        <v>26.7</v>
      </c>
      <c r="L21" s="533">
        <f t="shared" si="1"/>
        <v>1920.6778500000003</v>
      </c>
      <c r="M21" s="519">
        <v>25</v>
      </c>
      <c r="N21" s="532">
        <f t="shared" si="2"/>
        <v>1798.3875</v>
      </c>
      <c r="O21" s="533">
        <f t="shared" si="3"/>
        <v>10912.615350000002</v>
      </c>
      <c r="P21" s="580">
        <f t="shared" si="4"/>
        <v>10912.615350000002</v>
      </c>
      <c r="Q21" s="519">
        <f t="shared" si="5"/>
        <v>1798.3875</v>
      </c>
      <c r="R21" s="519"/>
      <c r="S21" s="535">
        <f t="shared" si="6"/>
        <v>21580.65</v>
      </c>
      <c r="T21" s="535">
        <f t="shared" si="7"/>
        <v>11157.19605</v>
      </c>
      <c r="U21" s="535">
        <f t="shared" si="8"/>
        <v>43161.3</v>
      </c>
      <c r="V21" s="535">
        <f t="shared" si="9"/>
        <v>22314.392100000001</v>
      </c>
      <c r="W21" s="519">
        <v>11401.89</v>
      </c>
      <c r="X21" s="535">
        <f t="shared" si="10"/>
        <v>64741.950000000004</v>
      </c>
      <c r="Y21" s="535">
        <f t="shared" si="11"/>
        <v>33471.588150000003</v>
      </c>
      <c r="Z21" s="542"/>
      <c r="AA21" s="519">
        <v>11897.34</v>
      </c>
      <c r="AB21" s="535">
        <f t="shared" si="12"/>
        <v>86322.6</v>
      </c>
      <c r="AC21" s="577">
        <f t="shared" si="13"/>
        <v>44628.784200000002</v>
      </c>
      <c r="AD21" s="522">
        <v>0.04</v>
      </c>
      <c r="AE21" s="523">
        <f t="shared" si="27"/>
        <v>0.04</v>
      </c>
      <c r="AF21" s="524">
        <f t="shared" si="14"/>
        <v>863.22600000000011</v>
      </c>
      <c r="AG21" s="524">
        <f t="shared" si="15"/>
        <v>863.22600000000011</v>
      </c>
      <c r="AH21" s="524">
        <f t="shared" si="16"/>
        <v>2589.6780000000003</v>
      </c>
      <c r="AI21" s="524">
        <f t="shared" si="17"/>
        <v>3452.9040000000005</v>
      </c>
      <c r="AJ21" s="524">
        <f t="shared" si="0"/>
        <v>20717.424000000003</v>
      </c>
      <c r="AK21" s="524">
        <f t="shared" si="18"/>
        <v>42298.074000000001</v>
      </c>
      <c r="AL21" s="524">
        <f t="shared" si="19"/>
        <v>62152.272000000004</v>
      </c>
      <c r="AM21" s="524">
        <f t="shared" si="20"/>
        <v>82869.696000000011</v>
      </c>
      <c r="AN21" s="537">
        <f t="shared" si="21"/>
        <v>4630.4305866000004</v>
      </c>
      <c r="AO21" s="537">
        <f t="shared" si="22"/>
        <v>9378.1735865999999</v>
      </c>
      <c r="AP21" s="537">
        <f t="shared" si="23"/>
        <v>13891.2917598</v>
      </c>
      <c r="AQ21" s="537">
        <f t="shared" si="24"/>
        <v>18521.722346400002</v>
      </c>
      <c r="AR21" s="523">
        <f t="shared" si="25"/>
        <v>215806.5</v>
      </c>
      <c r="AS21" s="523">
        <f t="shared" si="26"/>
        <v>17983.875</v>
      </c>
      <c r="AU21" s="539">
        <v>8.4099999999999994E-2</v>
      </c>
      <c r="AV21" s="540">
        <v>0.22</v>
      </c>
    </row>
    <row r="22" spans="1:50" ht="15.75" hidden="1">
      <c r="A22" s="305" t="s">
        <v>546</v>
      </c>
      <c r="B22" s="305" t="s">
        <v>754</v>
      </c>
      <c r="C22" s="305" t="s">
        <v>755</v>
      </c>
      <c r="D22" s="306">
        <v>8322</v>
      </c>
      <c r="E22" s="306">
        <v>1</v>
      </c>
      <c r="F22" s="306" t="s">
        <v>760</v>
      </c>
      <c r="G22" s="519">
        <v>2</v>
      </c>
      <c r="H22" s="519">
        <v>3</v>
      </c>
      <c r="I22" s="519">
        <v>44.94</v>
      </c>
      <c r="J22" s="519">
        <v>7463.89</v>
      </c>
      <c r="K22" s="519">
        <v>26.7</v>
      </c>
      <c r="L22" s="533">
        <f t="shared" si="1"/>
        <v>1992.8586300000002</v>
      </c>
      <c r="M22" s="519">
        <v>25</v>
      </c>
      <c r="N22" s="532">
        <f t="shared" si="2"/>
        <v>1865.9725000000001</v>
      </c>
      <c r="O22" s="533">
        <f t="shared" si="3"/>
        <v>11322.72113</v>
      </c>
      <c r="P22" s="580">
        <f t="shared" si="4"/>
        <v>22645.44226</v>
      </c>
      <c r="Q22" s="519">
        <f t="shared" si="5"/>
        <v>3731.9450000000002</v>
      </c>
      <c r="R22" s="519"/>
      <c r="S22" s="535">
        <f t="shared" si="6"/>
        <v>44783.340000000004</v>
      </c>
      <c r="T22" s="535">
        <f t="shared" si="7"/>
        <v>23152.986780000003</v>
      </c>
      <c r="U22" s="535">
        <f t="shared" si="8"/>
        <v>89566.680000000008</v>
      </c>
      <c r="V22" s="535">
        <f t="shared" si="9"/>
        <v>46305.973560000006</v>
      </c>
      <c r="W22" s="519">
        <v>23660.77</v>
      </c>
      <c r="X22" s="535">
        <f t="shared" si="10"/>
        <v>134350.02000000002</v>
      </c>
      <c r="Y22" s="535">
        <f t="shared" si="11"/>
        <v>69458.960340000005</v>
      </c>
      <c r="Z22" s="542"/>
      <c r="AA22" s="519">
        <v>24688.92</v>
      </c>
      <c r="AB22" s="535">
        <f t="shared" si="12"/>
        <v>179133.36000000002</v>
      </c>
      <c r="AC22" s="577">
        <f t="shared" si="13"/>
        <v>92611.947120000012</v>
      </c>
      <c r="AD22" s="522">
        <v>0.04</v>
      </c>
      <c r="AE22" s="523">
        <f t="shared" si="27"/>
        <v>0.08</v>
      </c>
      <c r="AF22" s="524">
        <f t="shared" si="14"/>
        <v>1791.3336000000002</v>
      </c>
      <c r="AG22" s="524">
        <f t="shared" si="15"/>
        <v>1791.3336000000002</v>
      </c>
      <c r="AH22" s="524">
        <f t="shared" si="16"/>
        <v>5374.0008000000007</v>
      </c>
      <c r="AI22" s="524">
        <f t="shared" si="17"/>
        <v>7165.3344000000006</v>
      </c>
      <c r="AJ22" s="524">
        <f t="shared" si="0"/>
        <v>42992.006400000006</v>
      </c>
      <c r="AK22" s="524">
        <f t="shared" si="18"/>
        <v>87775.346400000009</v>
      </c>
      <c r="AL22" s="524">
        <f t="shared" si="19"/>
        <v>128976.01920000002</v>
      </c>
      <c r="AM22" s="524">
        <f t="shared" si="20"/>
        <v>171968.02560000002</v>
      </c>
      <c r="AN22" s="537">
        <f t="shared" si="21"/>
        <v>9608.8925637600023</v>
      </c>
      <c r="AO22" s="537">
        <f t="shared" si="22"/>
        <v>19461.227363760001</v>
      </c>
      <c r="AP22" s="537">
        <f t="shared" si="23"/>
        <v>28826.677691280005</v>
      </c>
      <c r="AQ22" s="537">
        <f t="shared" si="24"/>
        <v>38435.570255040009</v>
      </c>
      <c r="AR22" s="523">
        <f t="shared" si="25"/>
        <v>447833.4</v>
      </c>
      <c r="AS22" s="523">
        <f t="shared" si="26"/>
        <v>18659.725000000002</v>
      </c>
      <c r="AU22" s="539">
        <v>8.4099999999999994E-2</v>
      </c>
      <c r="AV22" s="540">
        <v>0.22</v>
      </c>
    </row>
    <row r="23" spans="1:50" s="401" customFormat="1" ht="15.75" hidden="1">
      <c r="A23" s="400" t="s">
        <v>547</v>
      </c>
      <c r="B23" s="400" t="s">
        <v>754</v>
      </c>
      <c r="C23" s="400" t="s">
        <v>755</v>
      </c>
      <c r="D23" s="400">
        <v>8322</v>
      </c>
      <c r="E23" s="400">
        <v>1</v>
      </c>
      <c r="F23" s="400" t="s">
        <v>761</v>
      </c>
      <c r="G23" s="532">
        <v>4</v>
      </c>
      <c r="H23" s="532">
        <v>3</v>
      </c>
      <c r="I23" s="532">
        <v>51.21</v>
      </c>
      <c r="J23" s="532">
        <v>8505.41</v>
      </c>
      <c r="K23" s="532">
        <v>36.700000000000003</v>
      </c>
      <c r="L23" s="533">
        <f t="shared" si="1"/>
        <v>3121.4854700000005</v>
      </c>
      <c r="M23" s="532">
        <v>25</v>
      </c>
      <c r="N23" s="532">
        <f t="shared" si="2"/>
        <v>2126.3525</v>
      </c>
      <c r="O23" s="533">
        <f t="shared" si="3"/>
        <v>13753.24797</v>
      </c>
      <c r="P23" s="580">
        <f t="shared" si="4"/>
        <v>55012.991880000001</v>
      </c>
      <c r="Q23" s="532">
        <f t="shared" si="5"/>
        <v>8505.41</v>
      </c>
      <c r="R23" s="532"/>
      <c r="S23" s="535">
        <f t="shared" si="6"/>
        <v>102064.92</v>
      </c>
      <c r="T23" s="535">
        <f t="shared" si="7"/>
        <v>62974.055640000006</v>
      </c>
      <c r="U23" s="535">
        <f t="shared" si="8"/>
        <v>204129.84</v>
      </c>
      <c r="V23" s="535">
        <f t="shared" si="9"/>
        <v>125948.11128000001</v>
      </c>
      <c r="W23" s="532">
        <f>P23*R25</f>
        <v>57479.539561743266</v>
      </c>
      <c r="X23" s="535">
        <f t="shared" si="10"/>
        <v>306194.76</v>
      </c>
      <c r="Y23" s="535">
        <f t="shared" si="11"/>
        <v>188922.16692000002</v>
      </c>
      <c r="Z23" s="535"/>
      <c r="AA23" s="532">
        <f>W23*R26</f>
        <v>86219.309342614899</v>
      </c>
      <c r="AB23" s="535">
        <f t="shared" si="12"/>
        <v>408259.68</v>
      </c>
      <c r="AC23" s="577">
        <f t="shared" si="13"/>
        <v>251896.22256000002</v>
      </c>
      <c r="AD23" s="536">
        <v>0.04</v>
      </c>
      <c r="AE23" s="537">
        <f t="shared" si="27"/>
        <v>0.16</v>
      </c>
      <c r="AF23" s="538">
        <f t="shared" si="14"/>
        <v>4082.5967999999998</v>
      </c>
      <c r="AG23" s="538">
        <f t="shared" si="15"/>
        <v>4082.5967999999998</v>
      </c>
      <c r="AH23" s="538">
        <f t="shared" si="16"/>
        <v>12247.7904</v>
      </c>
      <c r="AI23" s="538">
        <f t="shared" si="17"/>
        <v>16330.387199999999</v>
      </c>
      <c r="AJ23" s="538">
        <f t="shared" si="0"/>
        <v>97982.323199999999</v>
      </c>
      <c r="AK23" s="538">
        <f t="shared" si="18"/>
        <v>200047.2432</v>
      </c>
      <c r="AL23" s="538">
        <f t="shared" si="19"/>
        <v>293946.96960000001</v>
      </c>
      <c r="AM23" s="538">
        <f t="shared" si="20"/>
        <v>391929.2928</v>
      </c>
      <c r="AN23" s="537">
        <f t="shared" si="21"/>
        <v>21899.45749488</v>
      </c>
      <c r="AO23" s="537">
        <f t="shared" si="22"/>
        <v>44353.739894879996</v>
      </c>
      <c r="AP23" s="537">
        <f t="shared" si="23"/>
        <v>65698.37248464</v>
      </c>
      <c r="AQ23" s="537">
        <f t="shared" si="24"/>
        <v>87597.82997952</v>
      </c>
      <c r="AR23" s="537">
        <f t="shared" si="25"/>
        <v>1020649.2</v>
      </c>
      <c r="AS23" s="537">
        <f t="shared" si="26"/>
        <v>21263.524999999998</v>
      </c>
      <c r="AT23" s="537"/>
      <c r="AU23" s="539">
        <v>8.4099999999999994E-2</v>
      </c>
      <c r="AV23" s="540">
        <v>0.22</v>
      </c>
      <c r="AW23" s="537"/>
      <c r="AX23" s="537"/>
    </row>
    <row r="24" spans="1:50" s="401" customFormat="1" ht="15.75" hidden="1">
      <c r="A24" s="400" t="s">
        <v>548</v>
      </c>
      <c r="B24" s="400" t="s">
        <v>754</v>
      </c>
      <c r="C24" s="400" t="s">
        <v>755</v>
      </c>
      <c r="D24" s="400">
        <v>8322</v>
      </c>
      <c r="E24" s="400">
        <v>1</v>
      </c>
      <c r="F24" s="400" t="s">
        <v>762</v>
      </c>
      <c r="G24" s="532">
        <v>1</v>
      </c>
      <c r="H24" s="532">
        <v>3</v>
      </c>
      <c r="I24" s="532">
        <v>51.21</v>
      </c>
      <c r="J24" s="532">
        <v>8505.41</v>
      </c>
      <c r="K24" s="532">
        <v>36.700000000000003</v>
      </c>
      <c r="L24" s="533">
        <f t="shared" si="1"/>
        <v>3121.4854700000005</v>
      </c>
      <c r="M24" s="532">
        <v>25</v>
      </c>
      <c r="N24" s="532">
        <f t="shared" si="2"/>
        <v>2126.3525</v>
      </c>
      <c r="O24" s="533">
        <f t="shared" si="3"/>
        <v>13753.24797</v>
      </c>
      <c r="P24" s="580">
        <f t="shared" si="4"/>
        <v>13753.24797</v>
      </c>
      <c r="Q24" s="532">
        <f t="shared" si="5"/>
        <v>2126.3525</v>
      </c>
      <c r="R24" s="532"/>
      <c r="S24" s="535">
        <f t="shared" si="6"/>
        <v>25516.23</v>
      </c>
      <c r="T24" s="535">
        <f t="shared" si="7"/>
        <v>15743.513910000001</v>
      </c>
      <c r="U24" s="535">
        <f t="shared" si="8"/>
        <v>51032.46</v>
      </c>
      <c r="V24" s="535">
        <f t="shared" si="9"/>
        <v>31487.027820000003</v>
      </c>
      <c r="W24" s="532">
        <f>P24*R25</f>
        <v>14369.884890435816</v>
      </c>
      <c r="X24" s="535">
        <f t="shared" si="10"/>
        <v>76548.69</v>
      </c>
      <c r="Y24" s="535">
        <f t="shared" si="11"/>
        <v>47230.541730000004</v>
      </c>
      <c r="Z24" s="535"/>
      <c r="AA24" s="532">
        <f>W24*R26</f>
        <v>21554.827335653725</v>
      </c>
      <c r="AB24" s="535">
        <f t="shared" si="12"/>
        <v>102064.92</v>
      </c>
      <c r="AC24" s="577">
        <f t="shared" si="13"/>
        <v>62974.055640000006</v>
      </c>
      <c r="AD24" s="536">
        <v>0.04</v>
      </c>
      <c r="AE24" s="537">
        <f t="shared" si="27"/>
        <v>0.04</v>
      </c>
      <c r="AF24" s="538">
        <f t="shared" si="14"/>
        <v>1020.6492</v>
      </c>
      <c r="AG24" s="538">
        <f t="shared" si="15"/>
        <v>1020.6492</v>
      </c>
      <c r="AH24" s="538">
        <f t="shared" si="16"/>
        <v>3061.9476</v>
      </c>
      <c r="AI24" s="538">
        <f t="shared" si="17"/>
        <v>4082.5967999999998</v>
      </c>
      <c r="AJ24" s="538">
        <f t="shared" si="0"/>
        <v>24495.5808</v>
      </c>
      <c r="AK24" s="538">
        <f t="shared" si="18"/>
        <v>50011.810799999999</v>
      </c>
      <c r="AL24" s="538">
        <f t="shared" si="19"/>
        <v>73486.742400000003</v>
      </c>
      <c r="AM24" s="538">
        <f t="shared" si="20"/>
        <v>97982.323199999999</v>
      </c>
      <c r="AN24" s="537">
        <f t="shared" si="21"/>
        <v>5474.86437372</v>
      </c>
      <c r="AO24" s="537">
        <f t="shared" si="22"/>
        <v>11088.434973719999</v>
      </c>
      <c r="AP24" s="537">
        <f t="shared" si="23"/>
        <v>16424.59312116</v>
      </c>
      <c r="AQ24" s="537">
        <f t="shared" si="24"/>
        <v>21899.45749488</v>
      </c>
      <c r="AR24" s="537">
        <f t="shared" si="25"/>
        <v>255162.3</v>
      </c>
      <c r="AS24" s="537">
        <f t="shared" si="26"/>
        <v>21263.524999999998</v>
      </c>
      <c r="AT24" s="537"/>
      <c r="AU24" s="539">
        <v>8.4099999999999994E-2</v>
      </c>
      <c r="AV24" s="540">
        <v>0.22</v>
      </c>
      <c r="AW24" s="537"/>
      <c r="AX24" s="537"/>
    </row>
    <row r="25" spans="1:50" ht="15.75" hidden="1">
      <c r="A25" s="305" t="s">
        <v>549</v>
      </c>
      <c r="B25" s="305" t="s">
        <v>754</v>
      </c>
      <c r="C25" s="305" t="s">
        <v>755</v>
      </c>
      <c r="D25" s="306">
        <v>8322</v>
      </c>
      <c r="E25" s="306">
        <v>4</v>
      </c>
      <c r="F25" s="306" t="s">
        <v>763</v>
      </c>
      <c r="G25" s="519">
        <v>8</v>
      </c>
      <c r="H25" s="519">
        <v>3</v>
      </c>
      <c r="I25" s="519">
        <v>44.94</v>
      </c>
      <c r="J25" s="519">
        <v>7463.89</v>
      </c>
      <c r="K25" s="519">
        <v>36.700000000000003</v>
      </c>
      <c r="L25" s="533">
        <f t="shared" si="1"/>
        <v>2739.2476300000003</v>
      </c>
      <c r="M25" s="519">
        <v>25</v>
      </c>
      <c r="N25" s="532">
        <f t="shared" si="2"/>
        <v>1865.9725000000001</v>
      </c>
      <c r="O25" s="533">
        <f t="shared" si="3"/>
        <v>12069.110130000001</v>
      </c>
      <c r="P25" s="580">
        <f t="shared" si="4"/>
        <v>96552.881040000007</v>
      </c>
      <c r="Q25" s="519">
        <f t="shared" si="5"/>
        <v>14927.78</v>
      </c>
      <c r="R25" s="519">
        <f>W25/P25</f>
        <v>1.044835730569309</v>
      </c>
      <c r="S25" s="535">
        <f t="shared" si="6"/>
        <v>179133.36000000002</v>
      </c>
      <c r="T25" s="535">
        <f t="shared" si="7"/>
        <v>110525.28312000001</v>
      </c>
      <c r="U25" s="535">
        <f t="shared" si="8"/>
        <v>358266.72000000003</v>
      </c>
      <c r="V25" s="535">
        <f t="shared" si="9"/>
        <v>221050.56624000001</v>
      </c>
      <c r="W25" s="519">
        <v>100881.9</v>
      </c>
      <c r="X25" s="535">
        <f t="shared" si="10"/>
        <v>537400.08000000007</v>
      </c>
      <c r="Y25" s="535">
        <f t="shared" si="11"/>
        <v>331575.84936000005</v>
      </c>
      <c r="Z25" s="542"/>
      <c r="AA25" s="519">
        <v>105265.62</v>
      </c>
      <c r="AB25" s="535">
        <f t="shared" si="12"/>
        <v>716533.44000000006</v>
      </c>
      <c r="AC25" s="577">
        <f t="shared" si="13"/>
        <v>442101.13248000003</v>
      </c>
      <c r="AD25" s="522">
        <v>0.04</v>
      </c>
      <c r="AE25" s="523">
        <f t="shared" si="27"/>
        <v>0.32</v>
      </c>
      <c r="AF25" s="524">
        <f t="shared" si="14"/>
        <v>7165.3344000000006</v>
      </c>
      <c r="AG25" s="524">
        <f t="shared" si="15"/>
        <v>7165.3344000000006</v>
      </c>
      <c r="AH25" s="524">
        <f t="shared" si="16"/>
        <v>21496.003200000003</v>
      </c>
      <c r="AI25" s="524">
        <f t="shared" si="17"/>
        <v>28661.337600000003</v>
      </c>
      <c r="AJ25" s="524">
        <f t="shared" si="0"/>
        <v>171968.02560000002</v>
      </c>
      <c r="AK25" s="524">
        <f t="shared" si="18"/>
        <v>351101.38560000004</v>
      </c>
      <c r="AL25" s="524">
        <f t="shared" si="19"/>
        <v>515904.0768000001</v>
      </c>
      <c r="AM25" s="524">
        <f t="shared" si="20"/>
        <v>687872.10240000009</v>
      </c>
      <c r="AN25" s="537">
        <f t="shared" si="21"/>
        <v>38435.570255040009</v>
      </c>
      <c r="AO25" s="537">
        <f t="shared" si="22"/>
        <v>77844.909455040004</v>
      </c>
      <c r="AP25" s="537">
        <f t="shared" si="23"/>
        <v>115306.71076512002</v>
      </c>
      <c r="AQ25" s="537">
        <f t="shared" si="24"/>
        <v>153742.28102016004</v>
      </c>
      <c r="AR25" s="523">
        <f t="shared" si="25"/>
        <v>1791333.6</v>
      </c>
      <c r="AS25" s="523">
        <f t="shared" si="26"/>
        <v>18659.725000000002</v>
      </c>
      <c r="AU25" s="539">
        <v>8.4099999999999994E-2</v>
      </c>
      <c r="AV25" s="540">
        <v>0.22</v>
      </c>
    </row>
    <row r="26" spans="1:50" ht="15.75" hidden="1">
      <c r="A26" s="305" t="s">
        <v>550</v>
      </c>
      <c r="B26" s="305" t="s">
        <v>754</v>
      </c>
      <c r="C26" s="305" t="s">
        <v>755</v>
      </c>
      <c r="D26" s="306">
        <v>8322</v>
      </c>
      <c r="E26" s="306">
        <v>2</v>
      </c>
      <c r="F26" s="306" t="s">
        <v>764</v>
      </c>
      <c r="G26" s="519">
        <v>4</v>
      </c>
      <c r="H26" s="519">
        <v>3</v>
      </c>
      <c r="I26" s="519">
        <v>47.36</v>
      </c>
      <c r="J26" s="519">
        <v>7865.94</v>
      </c>
      <c r="K26" s="519">
        <v>36.700000000000003</v>
      </c>
      <c r="L26" s="533">
        <f t="shared" si="1"/>
        <v>2886.7999800000002</v>
      </c>
      <c r="M26" s="519">
        <v>25</v>
      </c>
      <c r="N26" s="532">
        <f t="shared" si="2"/>
        <v>1966.4849999999999</v>
      </c>
      <c r="O26" s="533">
        <f t="shared" si="3"/>
        <v>12719.224980000001</v>
      </c>
      <c r="P26" s="580">
        <f t="shared" si="4"/>
        <v>50876.899920000003</v>
      </c>
      <c r="Q26" s="519">
        <f t="shared" si="5"/>
        <v>7865.94</v>
      </c>
      <c r="R26" s="519">
        <f>X25/U25</f>
        <v>1.5</v>
      </c>
      <c r="S26" s="535">
        <f t="shared" si="6"/>
        <v>94391.28</v>
      </c>
      <c r="T26" s="535">
        <f t="shared" si="7"/>
        <v>58239.419760000004</v>
      </c>
      <c r="U26" s="535">
        <f t="shared" si="8"/>
        <v>188782.56</v>
      </c>
      <c r="V26" s="535">
        <f t="shared" si="9"/>
        <v>116478.83952000001</v>
      </c>
      <c r="W26" s="519">
        <v>53157.99</v>
      </c>
      <c r="X26" s="535">
        <f t="shared" si="10"/>
        <v>283173.83999999997</v>
      </c>
      <c r="Y26" s="535">
        <f t="shared" si="11"/>
        <v>174718.25928</v>
      </c>
      <c r="Z26" s="542"/>
      <c r="AA26" s="519">
        <v>55467.92</v>
      </c>
      <c r="AB26" s="535">
        <f t="shared" si="12"/>
        <v>377565.12</v>
      </c>
      <c r="AC26" s="577">
        <f t="shared" si="13"/>
        <v>232957.67904000002</v>
      </c>
      <c r="AD26" s="522">
        <v>0.04</v>
      </c>
      <c r="AE26" s="523">
        <f t="shared" si="27"/>
        <v>0.16</v>
      </c>
      <c r="AF26" s="524">
        <f t="shared" si="14"/>
        <v>3775.6512000000002</v>
      </c>
      <c r="AG26" s="524">
        <f t="shared" si="15"/>
        <v>3775.6512000000002</v>
      </c>
      <c r="AH26" s="524">
        <f t="shared" si="16"/>
        <v>11326.953599999999</v>
      </c>
      <c r="AI26" s="524">
        <f t="shared" si="17"/>
        <v>15102.604800000001</v>
      </c>
      <c r="AJ26" s="524">
        <f t="shared" si="0"/>
        <v>90615.628800000006</v>
      </c>
      <c r="AK26" s="524">
        <f t="shared" si="18"/>
        <v>185006.9088</v>
      </c>
      <c r="AL26" s="524">
        <f t="shared" si="19"/>
        <v>271846.88639999996</v>
      </c>
      <c r="AM26" s="524">
        <f t="shared" si="20"/>
        <v>362462.51520000002</v>
      </c>
      <c r="AN26" s="537">
        <f t="shared" si="21"/>
        <v>20252.970601920002</v>
      </c>
      <c r="AO26" s="537">
        <f t="shared" si="22"/>
        <v>41019.052201920007</v>
      </c>
      <c r="AP26" s="537">
        <f t="shared" si="23"/>
        <v>60758.911805759992</v>
      </c>
      <c r="AQ26" s="537">
        <f t="shared" si="24"/>
        <v>81011.882407680008</v>
      </c>
      <c r="AR26" s="523">
        <f t="shared" si="25"/>
        <v>943912.79999999993</v>
      </c>
      <c r="AS26" s="523">
        <f t="shared" si="26"/>
        <v>19664.849999999999</v>
      </c>
      <c r="AU26" s="539">
        <v>8.4099999999999994E-2</v>
      </c>
      <c r="AV26" s="540">
        <v>0.22</v>
      </c>
    </row>
    <row r="27" spans="1:50" ht="15.75" hidden="1">
      <c r="A27" s="305" t="s">
        <v>551</v>
      </c>
      <c r="B27" s="305" t="s">
        <v>754</v>
      </c>
      <c r="C27" s="305" t="s">
        <v>755</v>
      </c>
      <c r="D27" s="306">
        <v>8322</v>
      </c>
      <c r="E27" s="306">
        <v>2</v>
      </c>
      <c r="F27" s="306" t="s">
        <v>765</v>
      </c>
      <c r="G27" s="519">
        <v>4</v>
      </c>
      <c r="H27" s="519">
        <v>3</v>
      </c>
      <c r="I27" s="519">
        <v>47.36</v>
      </c>
      <c r="J27" s="519">
        <v>7865.94</v>
      </c>
      <c r="K27" s="519">
        <v>26.7</v>
      </c>
      <c r="L27" s="533">
        <f t="shared" si="1"/>
        <v>2100.2059800000002</v>
      </c>
      <c r="M27" s="519">
        <v>25</v>
      </c>
      <c r="N27" s="532">
        <f t="shared" si="2"/>
        <v>1966.4849999999999</v>
      </c>
      <c r="O27" s="533">
        <f t="shared" si="3"/>
        <v>11932.63098</v>
      </c>
      <c r="P27" s="580">
        <f t="shared" si="4"/>
        <v>47730.52392</v>
      </c>
      <c r="Q27" s="519">
        <f t="shared" si="5"/>
        <v>7865.94</v>
      </c>
      <c r="R27" s="519"/>
      <c r="S27" s="535">
        <f t="shared" si="6"/>
        <v>94391.28</v>
      </c>
      <c r="T27" s="535">
        <f t="shared" si="7"/>
        <v>48800.291760000007</v>
      </c>
      <c r="U27" s="535">
        <f t="shared" si="8"/>
        <v>188782.56</v>
      </c>
      <c r="V27" s="535">
        <f t="shared" si="9"/>
        <v>97600.583520000015</v>
      </c>
      <c r="W27" s="519">
        <v>49870.54</v>
      </c>
      <c r="X27" s="535">
        <f t="shared" si="10"/>
        <v>283173.83999999997</v>
      </c>
      <c r="Y27" s="535">
        <f t="shared" si="11"/>
        <v>146400.87528000001</v>
      </c>
      <c r="Z27" s="542"/>
      <c r="AA27" s="519">
        <v>52037.62</v>
      </c>
      <c r="AB27" s="535">
        <f t="shared" si="12"/>
        <v>377565.12</v>
      </c>
      <c r="AC27" s="577">
        <f t="shared" si="13"/>
        <v>195201.16704000003</v>
      </c>
      <c r="AD27" s="522">
        <v>0.04</v>
      </c>
      <c r="AE27" s="523">
        <f t="shared" si="27"/>
        <v>0.16</v>
      </c>
      <c r="AF27" s="524">
        <f t="shared" si="14"/>
        <v>3775.6512000000002</v>
      </c>
      <c r="AG27" s="524">
        <f t="shared" si="15"/>
        <v>3775.6512000000002</v>
      </c>
      <c r="AH27" s="524">
        <f t="shared" si="16"/>
        <v>11326.953599999999</v>
      </c>
      <c r="AI27" s="524">
        <f t="shared" si="17"/>
        <v>15102.604800000001</v>
      </c>
      <c r="AJ27" s="524">
        <f t="shared" si="0"/>
        <v>90615.628800000006</v>
      </c>
      <c r="AK27" s="524">
        <f t="shared" si="18"/>
        <v>185006.9088</v>
      </c>
      <c r="AL27" s="524">
        <f t="shared" si="19"/>
        <v>271846.88639999996</v>
      </c>
      <c r="AM27" s="524">
        <f t="shared" si="20"/>
        <v>362462.51520000002</v>
      </c>
      <c r="AN27" s="537">
        <f t="shared" si="21"/>
        <v>20252.970601920002</v>
      </c>
      <c r="AO27" s="537">
        <f t="shared" si="22"/>
        <v>41019.052201920007</v>
      </c>
      <c r="AP27" s="537">
        <f t="shared" si="23"/>
        <v>60758.911805759992</v>
      </c>
      <c r="AQ27" s="537">
        <f t="shared" si="24"/>
        <v>81011.882407680008</v>
      </c>
      <c r="AR27" s="523">
        <f t="shared" si="25"/>
        <v>943912.79999999993</v>
      </c>
      <c r="AS27" s="523">
        <f t="shared" si="26"/>
        <v>19664.849999999999</v>
      </c>
      <c r="AU27" s="539">
        <v>8.4099999999999994E-2</v>
      </c>
      <c r="AV27" s="540">
        <v>0.22</v>
      </c>
    </row>
    <row r="28" spans="1:50" ht="15.75" hidden="1">
      <c r="A28" s="305" t="s">
        <v>552</v>
      </c>
      <c r="B28" s="305" t="s">
        <v>754</v>
      </c>
      <c r="C28" s="305" t="s">
        <v>755</v>
      </c>
      <c r="D28" s="306">
        <v>8322</v>
      </c>
      <c r="E28" s="306">
        <v>2</v>
      </c>
      <c r="F28" s="306" t="s">
        <v>766</v>
      </c>
      <c r="G28" s="519">
        <v>4</v>
      </c>
      <c r="H28" s="519">
        <v>3</v>
      </c>
      <c r="I28" s="519">
        <v>44.94</v>
      </c>
      <c r="J28" s="519">
        <v>7463.89</v>
      </c>
      <c r="K28" s="519">
        <v>29.7</v>
      </c>
      <c r="L28" s="533">
        <f t="shared" si="1"/>
        <v>2216.7753299999999</v>
      </c>
      <c r="M28" s="519">
        <v>25</v>
      </c>
      <c r="N28" s="532">
        <f t="shared" si="2"/>
        <v>1865.9725000000001</v>
      </c>
      <c r="O28" s="533">
        <f t="shared" si="3"/>
        <v>11546.63783</v>
      </c>
      <c r="P28" s="580">
        <f t="shared" si="4"/>
        <v>46186.551319999999</v>
      </c>
      <c r="Q28" s="519">
        <f t="shared" si="5"/>
        <v>7463.89</v>
      </c>
      <c r="R28" s="519"/>
      <c r="S28" s="535">
        <f t="shared" si="6"/>
        <v>89566.680000000008</v>
      </c>
      <c r="T28" s="535">
        <f t="shared" si="7"/>
        <v>48992.973960000003</v>
      </c>
      <c r="U28" s="535">
        <f t="shared" si="8"/>
        <v>179133.36000000002</v>
      </c>
      <c r="V28" s="535">
        <f t="shared" si="9"/>
        <v>97985.947920000006</v>
      </c>
      <c r="W28" s="519">
        <v>48257.36</v>
      </c>
      <c r="X28" s="535">
        <f t="shared" si="10"/>
        <v>268700.04000000004</v>
      </c>
      <c r="Y28" s="535">
        <f t="shared" si="11"/>
        <v>146978.92188000001</v>
      </c>
      <c r="Z28" s="542"/>
      <c r="AA28" s="519">
        <v>50354.33</v>
      </c>
      <c r="AB28" s="535">
        <f t="shared" si="12"/>
        <v>358266.72000000003</v>
      </c>
      <c r="AC28" s="577">
        <f t="shared" si="13"/>
        <v>195971.89584000001</v>
      </c>
      <c r="AD28" s="522">
        <v>0.04</v>
      </c>
      <c r="AE28" s="523">
        <f t="shared" si="27"/>
        <v>0.16</v>
      </c>
      <c r="AF28" s="524">
        <f t="shared" si="14"/>
        <v>3582.6672000000003</v>
      </c>
      <c r="AG28" s="524">
        <f t="shared" si="15"/>
        <v>3582.6672000000003</v>
      </c>
      <c r="AH28" s="524">
        <f t="shared" si="16"/>
        <v>10748.001600000001</v>
      </c>
      <c r="AI28" s="524">
        <f t="shared" si="17"/>
        <v>14330.668800000001</v>
      </c>
      <c r="AJ28" s="524">
        <f t="shared" si="0"/>
        <v>85984.012800000011</v>
      </c>
      <c r="AK28" s="524">
        <f t="shared" si="18"/>
        <v>175550.69280000002</v>
      </c>
      <c r="AL28" s="524">
        <f t="shared" si="19"/>
        <v>257952.03840000005</v>
      </c>
      <c r="AM28" s="524">
        <f t="shared" si="20"/>
        <v>343936.05120000005</v>
      </c>
      <c r="AN28" s="537">
        <f t="shared" si="21"/>
        <v>19217.785127520005</v>
      </c>
      <c r="AO28" s="537">
        <f t="shared" si="22"/>
        <v>38922.454727520002</v>
      </c>
      <c r="AP28" s="537">
        <f t="shared" si="23"/>
        <v>57653.35538256001</v>
      </c>
      <c r="AQ28" s="537">
        <f t="shared" si="24"/>
        <v>76871.140510080018</v>
      </c>
      <c r="AR28" s="523">
        <f t="shared" si="25"/>
        <v>895666.8</v>
      </c>
      <c r="AS28" s="523">
        <f t="shared" si="26"/>
        <v>18659.725000000002</v>
      </c>
      <c r="AU28" s="539">
        <v>8.4099999999999994E-2</v>
      </c>
      <c r="AV28" s="540">
        <v>0.22</v>
      </c>
    </row>
    <row r="29" spans="1:50" ht="15.75" hidden="1">
      <c r="A29" s="305" t="s">
        <v>553</v>
      </c>
      <c r="B29" s="305" t="s">
        <v>754</v>
      </c>
      <c r="C29" s="305" t="s">
        <v>755</v>
      </c>
      <c r="D29" s="306">
        <v>8322</v>
      </c>
      <c r="E29" s="306">
        <v>2</v>
      </c>
      <c r="F29" s="306" t="s">
        <v>767</v>
      </c>
      <c r="G29" s="519">
        <v>4</v>
      </c>
      <c r="H29" s="519">
        <v>3</v>
      </c>
      <c r="I29" s="519">
        <v>47.36</v>
      </c>
      <c r="J29" s="519">
        <v>7865.94</v>
      </c>
      <c r="K29" s="519">
        <v>26.7</v>
      </c>
      <c r="L29" s="533">
        <f t="shared" si="1"/>
        <v>2100.2059800000002</v>
      </c>
      <c r="M29" s="519">
        <v>25</v>
      </c>
      <c r="N29" s="532">
        <f t="shared" si="2"/>
        <v>1966.4849999999999</v>
      </c>
      <c r="O29" s="533">
        <f t="shared" si="3"/>
        <v>11932.63098</v>
      </c>
      <c r="P29" s="580">
        <f t="shared" si="4"/>
        <v>47730.52392</v>
      </c>
      <c r="Q29" s="519">
        <f t="shared" si="5"/>
        <v>7865.94</v>
      </c>
      <c r="R29" s="519"/>
      <c r="S29" s="535">
        <f t="shared" si="6"/>
        <v>94391.28</v>
      </c>
      <c r="T29" s="535">
        <f t="shared" si="7"/>
        <v>48800.291760000007</v>
      </c>
      <c r="U29" s="535">
        <f t="shared" si="8"/>
        <v>188782.56</v>
      </c>
      <c r="V29" s="535">
        <f t="shared" si="9"/>
        <v>97600.583520000015</v>
      </c>
      <c r="W29" s="519">
        <v>49870.54</v>
      </c>
      <c r="X29" s="535">
        <f t="shared" si="10"/>
        <v>283173.83999999997</v>
      </c>
      <c r="Y29" s="535">
        <f t="shared" si="11"/>
        <v>146400.87528000001</v>
      </c>
      <c r="Z29" s="542"/>
      <c r="AA29" s="519">
        <v>52037.62</v>
      </c>
      <c r="AB29" s="535">
        <f t="shared" si="12"/>
        <v>377565.12</v>
      </c>
      <c r="AC29" s="577">
        <f t="shared" si="13"/>
        <v>195201.16704000003</v>
      </c>
      <c r="AD29" s="522">
        <v>0.04</v>
      </c>
      <c r="AE29" s="523">
        <f t="shared" si="27"/>
        <v>0.16</v>
      </c>
      <c r="AF29" s="524">
        <f t="shared" si="14"/>
        <v>3775.6512000000002</v>
      </c>
      <c r="AG29" s="524">
        <f t="shared" si="15"/>
        <v>3775.6512000000002</v>
      </c>
      <c r="AH29" s="524">
        <f t="shared" si="16"/>
        <v>11326.953599999999</v>
      </c>
      <c r="AI29" s="524">
        <f t="shared" si="17"/>
        <v>15102.604800000001</v>
      </c>
      <c r="AJ29" s="524">
        <f t="shared" si="0"/>
        <v>90615.628800000006</v>
      </c>
      <c r="AK29" s="524">
        <f t="shared" si="18"/>
        <v>185006.9088</v>
      </c>
      <c r="AL29" s="524">
        <f t="shared" si="19"/>
        <v>271846.88639999996</v>
      </c>
      <c r="AM29" s="524">
        <f t="shared" si="20"/>
        <v>362462.51520000002</v>
      </c>
      <c r="AN29" s="537">
        <f t="shared" si="21"/>
        <v>20252.970601920002</v>
      </c>
      <c r="AO29" s="537">
        <f t="shared" si="22"/>
        <v>41019.052201920007</v>
      </c>
      <c r="AP29" s="537">
        <f t="shared" si="23"/>
        <v>60758.911805759992</v>
      </c>
      <c r="AQ29" s="537">
        <f t="shared" si="24"/>
        <v>81011.882407680008</v>
      </c>
      <c r="AR29" s="523">
        <f t="shared" si="25"/>
        <v>943912.79999999993</v>
      </c>
      <c r="AS29" s="523">
        <f t="shared" si="26"/>
        <v>19664.849999999999</v>
      </c>
      <c r="AU29" s="539">
        <v>8.4099999999999994E-2</v>
      </c>
      <c r="AV29" s="540">
        <v>0.22</v>
      </c>
    </row>
    <row r="30" spans="1:50" ht="15.75" hidden="1">
      <c r="A30" s="305" t="s">
        <v>554</v>
      </c>
      <c r="B30" s="305" t="s">
        <v>754</v>
      </c>
      <c r="C30" s="305" t="s">
        <v>755</v>
      </c>
      <c r="D30" s="306">
        <v>8322</v>
      </c>
      <c r="E30" s="306">
        <v>9</v>
      </c>
      <c r="F30" s="306" t="s">
        <v>768</v>
      </c>
      <c r="G30" s="519">
        <v>18</v>
      </c>
      <c r="H30" s="519">
        <v>3</v>
      </c>
      <c r="I30" s="519">
        <v>47.36</v>
      </c>
      <c r="J30" s="519">
        <v>7865.94</v>
      </c>
      <c r="K30" s="519">
        <v>26.7</v>
      </c>
      <c r="L30" s="533">
        <f t="shared" si="1"/>
        <v>2100.2059800000002</v>
      </c>
      <c r="M30" s="519">
        <v>25</v>
      </c>
      <c r="N30" s="532">
        <f t="shared" si="2"/>
        <v>1966.4849999999999</v>
      </c>
      <c r="O30" s="533">
        <f t="shared" si="3"/>
        <v>11932.63098</v>
      </c>
      <c r="P30" s="580">
        <f t="shared" si="4"/>
        <v>214787.35764</v>
      </c>
      <c r="Q30" s="519">
        <f t="shared" si="5"/>
        <v>35396.729999999996</v>
      </c>
      <c r="R30" s="519"/>
      <c r="S30" s="535">
        <f t="shared" si="6"/>
        <v>424760.76</v>
      </c>
      <c r="T30" s="535">
        <f t="shared" si="7"/>
        <v>219601.31292000003</v>
      </c>
      <c r="U30" s="535">
        <f t="shared" si="8"/>
        <v>849521.52</v>
      </c>
      <c r="V30" s="535">
        <f t="shared" si="9"/>
        <v>439202.62584000005</v>
      </c>
      <c r="W30" s="519">
        <v>224417.45</v>
      </c>
      <c r="X30" s="535">
        <f t="shared" si="10"/>
        <v>1274282.2799999998</v>
      </c>
      <c r="Y30" s="535">
        <f t="shared" si="11"/>
        <v>658803.93876000005</v>
      </c>
      <c r="Z30" s="542"/>
      <c r="AA30" s="519">
        <v>234169.29</v>
      </c>
      <c r="AB30" s="535">
        <f t="shared" si="12"/>
        <v>1699043.04</v>
      </c>
      <c r="AC30" s="577">
        <f t="shared" si="13"/>
        <v>878405.2516800001</v>
      </c>
      <c r="AD30" s="522">
        <v>0.04</v>
      </c>
      <c r="AE30" s="523">
        <f t="shared" si="27"/>
        <v>0.72</v>
      </c>
      <c r="AF30" s="524">
        <f t="shared" si="14"/>
        <v>16990.430399999997</v>
      </c>
      <c r="AG30" s="524">
        <f t="shared" si="15"/>
        <v>16990.430399999997</v>
      </c>
      <c r="AH30" s="524">
        <f t="shared" si="16"/>
        <v>50971.291199999992</v>
      </c>
      <c r="AI30" s="524">
        <f t="shared" si="17"/>
        <v>67961.72159999999</v>
      </c>
      <c r="AJ30" s="524">
        <f t="shared" si="0"/>
        <v>407770.3296</v>
      </c>
      <c r="AK30" s="524">
        <f t="shared" si="18"/>
        <v>832531.08960000006</v>
      </c>
      <c r="AL30" s="524">
        <f t="shared" si="19"/>
        <v>1223310.9887999997</v>
      </c>
      <c r="AM30" s="524">
        <f t="shared" si="20"/>
        <v>1631081.3184</v>
      </c>
      <c r="AN30" s="537">
        <f t="shared" si="21"/>
        <v>91138.367708639998</v>
      </c>
      <c r="AO30" s="537">
        <f t="shared" si="22"/>
        <v>184585.73490864001</v>
      </c>
      <c r="AP30" s="537">
        <f t="shared" si="23"/>
        <v>273415.10312591994</v>
      </c>
      <c r="AQ30" s="537">
        <f t="shared" si="24"/>
        <v>364553.47083455999</v>
      </c>
      <c r="AR30" s="523">
        <f t="shared" si="25"/>
        <v>4247607.5999999996</v>
      </c>
      <c r="AS30" s="523">
        <f t="shared" si="26"/>
        <v>19664.849999999999</v>
      </c>
      <c r="AU30" s="539">
        <v>8.4099999999999994E-2</v>
      </c>
      <c r="AV30" s="540">
        <v>0.22</v>
      </c>
    </row>
    <row r="31" spans="1:50" s="388" customFormat="1" ht="15.75" hidden="1">
      <c r="A31" s="314" t="s">
        <v>555</v>
      </c>
      <c r="B31" s="314" t="s">
        <v>754</v>
      </c>
      <c r="C31" s="314" t="s">
        <v>755</v>
      </c>
      <c r="D31" s="387">
        <v>8322</v>
      </c>
      <c r="E31" s="387">
        <v>4</v>
      </c>
      <c r="F31" s="387" t="s">
        <v>769</v>
      </c>
      <c r="G31" s="543">
        <v>4</v>
      </c>
      <c r="H31" s="543">
        <v>3</v>
      </c>
      <c r="I31" s="543">
        <v>31.98</v>
      </c>
      <c r="J31" s="543">
        <v>5311.55</v>
      </c>
      <c r="K31" s="543">
        <v>26.7</v>
      </c>
      <c r="L31" s="533">
        <f t="shared" si="1"/>
        <v>1418.1838500000001</v>
      </c>
      <c r="M31" s="543">
        <v>25</v>
      </c>
      <c r="N31" s="532">
        <f t="shared" si="2"/>
        <v>1327.8875</v>
      </c>
      <c r="O31" s="533">
        <f t="shared" si="3"/>
        <v>8057.6213500000003</v>
      </c>
      <c r="P31" s="580">
        <f t="shared" si="4"/>
        <v>32230.485400000001</v>
      </c>
      <c r="Q31" s="543">
        <f t="shared" si="5"/>
        <v>5311.55</v>
      </c>
      <c r="R31" s="543"/>
      <c r="S31" s="535">
        <f t="shared" si="6"/>
        <v>63738.600000000006</v>
      </c>
      <c r="T31" s="535">
        <f t="shared" si="7"/>
        <v>32952.856200000002</v>
      </c>
      <c r="U31" s="535">
        <f t="shared" si="8"/>
        <v>127477.20000000001</v>
      </c>
      <c r="V31" s="535">
        <f t="shared" si="9"/>
        <v>65905.712400000004</v>
      </c>
      <c r="W31" s="543">
        <v>33675.53</v>
      </c>
      <c r="X31" s="535">
        <f t="shared" si="10"/>
        <v>191215.80000000002</v>
      </c>
      <c r="Y31" s="535">
        <f t="shared" si="11"/>
        <v>98858.568599999999</v>
      </c>
      <c r="Z31" s="544"/>
      <c r="AA31" s="543">
        <v>35138.86</v>
      </c>
      <c r="AB31" s="535">
        <f t="shared" si="12"/>
        <v>254954.40000000002</v>
      </c>
      <c r="AC31" s="577">
        <f t="shared" si="13"/>
        <v>131811.42480000001</v>
      </c>
      <c r="AD31" s="545">
        <v>0.04</v>
      </c>
      <c r="AE31" s="546">
        <f t="shared" si="27"/>
        <v>0.16</v>
      </c>
      <c r="AF31" s="547">
        <f t="shared" si="14"/>
        <v>2549.5440000000003</v>
      </c>
      <c r="AG31" s="547">
        <f t="shared" si="15"/>
        <v>2549.5440000000003</v>
      </c>
      <c r="AH31" s="547">
        <f t="shared" si="16"/>
        <v>7648.6320000000005</v>
      </c>
      <c r="AI31" s="547">
        <f t="shared" si="17"/>
        <v>10198.176000000001</v>
      </c>
      <c r="AJ31" s="547">
        <f t="shared" si="0"/>
        <v>61189.056000000004</v>
      </c>
      <c r="AK31" s="547">
        <f t="shared" si="18"/>
        <v>124927.65600000002</v>
      </c>
      <c r="AL31" s="547">
        <f t="shared" si="19"/>
        <v>183567.16800000001</v>
      </c>
      <c r="AM31" s="547">
        <f t="shared" si="20"/>
        <v>244756.22400000002</v>
      </c>
      <c r="AN31" s="537">
        <f t="shared" si="21"/>
        <v>13676.008970400002</v>
      </c>
      <c r="AO31" s="537">
        <f t="shared" si="22"/>
        <v>27698.500970400004</v>
      </c>
      <c r="AP31" s="537">
        <f t="shared" si="23"/>
        <v>41028.026911200002</v>
      </c>
      <c r="AQ31" s="537">
        <f t="shared" si="24"/>
        <v>54704.035881600008</v>
      </c>
      <c r="AR31" s="523">
        <f t="shared" si="25"/>
        <v>637386</v>
      </c>
      <c r="AS31" s="523">
        <f t="shared" si="26"/>
        <v>13278.875</v>
      </c>
      <c r="AT31" s="546"/>
      <c r="AU31" s="539">
        <v>8.4099999999999994E-2</v>
      </c>
      <c r="AV31" s="540">
        <v>0.22</v>
      </c>
      <c r="AW31" s="546"/>
      <c r="AX31" s="546"/>
    </row>
    <row r="32" spans="1:50" s="402" customFormat="1" ht="15.75" hidden="1">
      <c r="A32" s="394" t="s">
        <v>556</v>
      </c>
      <c r="B32" s="394" t="s">
        <v>754</v>
      </c>
      <c r="C32" s="394" t="s">
        <v>755</v>
      </c>
      <c r="D32" s="394">
        <v>8322</v>
      </c>
      <c r="E32" s="394">
        <v>3</v>
      </c>
      <c r="F32" s="394" t="s">
        <v>770</v>
      </c>
      <c r="G32" s="548">
        <v>12</v>
      </c>
      <c r="H32" s="548">
        <v>3</v>
      </c>
      <c r="I32" s="548">
        <v>51.21</v>
      </c>
      <c r="J32" s="548">
        <v>8505.41</v>
      </c>
      <c r="K32" s="548">
        <v>26.7</v>
      </c>
      <c r="L32" s="533">
        <f t="shared" si="1"/>
        <v>2270.9444699999999</v>
      </c>
      <c r="M32" s="548">
        <v>25</v>
      </c>
      <c r="N32" s="532">
        <f t="shared" si="2"/>
        <v>2126.3525</v>
      </c>
      <c r="O32" s="533">
        <f t="shared" si="3"/>
        <v>12902.706969999999</v>
      </c>
      <c r="P32" s="580">
        <f t="shared" si="4"/>
        <v>154832.48363999999</v>
      </c>
      <c r="Q32" s="548">
        <f t="shared" si="5"/>
        <v>25516.23</v>
      </c>
      <c r="R32" s="548"/>
      <c r="S32" s="535">
        <f t="shared" si="6"/>
        <v>306194.76</v>
      </c>
      <c r="T32" s="535">
        <f t="shared" si="7"/>
        <v>158302.69091999996</v>
      </c>
      <c r="U32" s="535">
        <f t="shared" si="8"/>
        <v>612389.52</v>
      </c>
      <c r="V32" s="535">
        <f t="shared" si="9"/>
        <v>316605.38183999993</v>
      </c>
      <c r="W32" s="548">
        <v>161774.38</v>
      </c>
      <c r="X32" s="535">
        <f t="shared" si="10"/>
        <v>918584.28</v>
      </c>
      <c r="Y32" s="535">
        <f t="shared" si="11"/>
        <v>474908.07275999989</v>
      </c>
      <c r="Z32" s="549"/>
      <c r="AA32" s="548">
        <v>168804.12</v>
      </c>
      <c r="AB32" s="535">
        <f t="shared" si="12"/>
        <v>1224779.04</v>
      </c>
      <c r="AC32" s="577">
        <f t="shared" si="13"/>
        <v>633210.76367999986</v>
      </c>
      <c r="AD32" s="550">
        <v>0.04</v>
      </c>
      <c r="AE32" s="551">
        <f t="shared" si="27"/>
        <v>0.48</v>
      </c>
      <c r="AF32" s="552">
        <f t="shared" si="14"/>
        <v>12247.7904</v>
      </c>
      <c r="AG32" s="552">
        <f t="shared" si="15"/>
        <v>12247.7904</v>
      </c>
      <c r="AH32" s="552">
        <f t="shared" si="16"/>
        <v>36743.371200000001</v>
      </c>
      <c r="AI32" s="552">
        <f t="shared" si="17"/>
        <v>48991.161599999999</v>
      </c>
      <c r="AJ32" s="552">
        <f t="shared" si="0"/>
        <v>293946.96960000001</v>
      </c>
      <c r="AK32" s="552">
        <f t="shared" si="18"/>
        <v>600141.72959999996</v>
      </c>
      <c r="AL32" s="552">
        <f t="shared" si="19"/>
        <v>881840.90879999998</v>
      </c>
      <c r="AM32" s="552">
        <f t="shared" si="20"/>
        <v>1175787.8784</v>
      </c>
      <c r="AN32" s="537">
        <f t="shared" si="21"/>
        <v>65698.37248464</v>
      </c>
      <c r="AO32" s="537">
        <f t="shared" si="22"/>
        <v>133061.21968464</v>
      </c>
      <c r="AP32" s="537">
        <f t="shared" si="23"/>
        <v>197095.11745392001</v>
      </c>
      <c r="AQ32" s="537">
        <f t="shared" si="24"/>
        <v>262793.48993856</v>
      </c>
      <c r="AR32" s="537">
        <f t="shared" si="25"/>
        <v>3061947.6</v>
      </c>
      <c r="AS32" s="537">
        <f t="shared" si="26"/>
        <v>21263.525000000001</v>
      </c>
      <c r="AT32" s="551"/>
      <c r="AU32" s="539">
        <v>8.4099999999999994E-2</v>
      </c>
      <c r="AV32" s="540">
        <v>0.22</v>
      </c>
      <c r="AW32" s="551"/>
      <c r="AX32" s="551"/>
    </row>
    <row r="33" spans="1:50" s="388" customFormat="1" ht="15.75" hidden="1">
      <c r="A33" s="314" t="s">
        <v>557</v>
      </c>
      <c r="B33" s="314" t="s">
        <v>754</v>
      </c>
      <c r="C33" s="314" t="s">
        <v>755</v>
      </c>
      <c r="D33" s="387">
        <v>8322</v>
      </c>
      <c r="E33" s="387">
        <v>1</v>
      </c>
      <c r="F33" s="387" t="s">
        <v>771</v>
      </c>
      <c r="G33" s="543">
        <v>2</v>
      </c>
      <c r="H33" s="543">
        <v>3</v>
      </c>
      <c r="I33" s="543">
        <v>39.270000000000003</v>
      </c>
      <c r="J33" s="543">
        <v>6521.16</v>
      </c>
      <c r="K33" s="543">
        <v>26.7</v>
      </c>
      <c r="L33" s="533">
        <f t="shared" si="1"/>
        <v>1741.1497200000001</v>
      </c>
      <c r="M33" s="543">
        <v>25</v>
      </c>
      <c r="N33" s="532">
        <f t="shared" si="2"/>
        <v>1630.29</v>
      </c>
      <c r="O33" s="533">
        <f t="shared" si="3"/>
        <v>9892.5997199999983</v>
      </c>
      <c r="P33" s="580">
        <f t="shared" si="4"/>
        <v>19785.199439999997</v>
      </c>
      <c r="Q33" s="543">
        <f t="shared" si="5"/>
        <v>3260.58</v>
      </c>
      <c r="R33" s="543"/>
      <c r="S33" s="535">
        <f t="shared" si="6"/>
        <v>39126.959999999999</v>
      </c>
      <c r="T33" s="535">
        <f t="shared" si="7"/>
        <v>20228.638320000002</v>
      </c>
      <c r="U33" s="535">
        <f t="shared" si="8"/>
        <v>78253.919999999998</v>
      </c>
      <c r="V33" s="535">
        <f t="shared" si="9"/>
        <v>40457.276640000004</v>
      </c>
      <c r="W33" s="543">
        <v>22757.21</v>
      </c>
      <c r="X33" s="535">
        <f t="shared" si="10"/>
        <v>117380.88</v>
      </c>
      <c r="Y33" s="535">
        <f t="shared" si="11"/>
        <v>60685.914960000009</v>
      </c>
      <c r="Z33" s="544"/>
      <c r="AA33" s="543">
        <v>23746.1</v>
      </c>
      <c r="AB33" s="535">
        <f t="shared" si="12"/>
        <v>156507.84</v>
      </c>
      <c r="AC33" s="577">
        <f t="shared" si="13"/>
        <v>80914.553280000007</v>
      </c>
      <c r="AD33" s="545">
        <v>0.04</v>
      </c>
      <c r="AE33" s="546">
        <f t="shared" si="27"/>
        <v>0.08</v>
      </c>
      <c r="AF33" s="547">
        <f t="shared" si="14"/>
        <v>1565.0784000000001</v>
      </c>
      <c r="AG33" s="547">
        <f t="shared" si="15"/>
        <v>1565.0784000000001</v>
      </c>
      <c r="AH33" s="547">
        <f t="shared" si="16"/>
        <v>4695.2352000000001</v>
      </c>
      <c r="AI33" s="547">
        <f t="shared" si="17"/>
        <v>6260.3136000000004</v>
      </c>
      <c r="AJ33" s="547">
        <f t="shared" si="0"/>
        <v>37561.881600000001</v>
      </c>
      <c r="AK33" s="547">
        <f t="shared" si="18"/>
        <v>76688.8416</v>
      </c>
      <c r="AL33" s="547">
        <f t="shared" si="19"/>
        <v>112685.64480000001</v>
      </c>
      <c r="AM33" s="547">
        <f t="shared" si="20"/>
        <v>150247.5264</v>
      </c>
      <c r="AN33" s="537">
        <f t="shared" si="21"/>
        <v>8395.2370454399988</v>
      </c>
      <c r="AO33" s="537">
        <f t="shared" si="22"/>
        <v>17003.16824544</v>
      </c>
      <c r="AP33" s="537">
        <f t="shared" si="23"/>
        <v>25185.711136320002</v>
      </c>
      <c r="AQ33" s="537">
        <f t="shared" si="24"/>
        <v>33580.948181759995</v>
      </c>
      <c r="AR33" s="523">
        <f t="shared" si="25"/>
        <v>391269.6</v>
      </c>
      <c r="AS33" s="523">
        <f t="shared" si="26"/>
        <v>16302.9</v>
      </c>
      <c r="AT33" s="546"/>
      <c r="AU33" s="539">
        <v>8.4099999999999994E-2</v>
      </c>
      <c r="AV33" s="540">
        <v>0.22</v>
      </c>
      <c r="AW33" s="546"/>
      <c r="AX33" s="546"/>
    </row>
    <row r="34" spans="1:50" s="388" customFormat="1" ht="15.75" hidden="1">
      <c r="A34" s="314" t="s">
        <v>558</v>
      </c>
      <c r="B34" s="314" t="s">
        <v>754</v>
      </c>
      <c r="C34" s="314" t="s">
        <v>755</v>
      </c>
      <c r="D34" s="387">
        <v>8322</v>
      </c>
      <c r="E34" s="387">
        <v>1</v>
      </c>
      <c r="F34" s="387" t="s">
        <v>772</v>
      </c>
      <c r="G34" s="543">
        <v>1</v>
      </c>
      <c r="H34" s="543">
        <v>3</v>
      </c>
      <c r="I34" s="543">
        <v>43.31</v>
      </c>
      <c r="J34" s="543">
        <v>7193.55</v>
      </c>
      <c r="K34" s="543">
        <v>42</v>
      </c>
      <c r="L34" s="533">
        <f t="shared" si="1"/>
        <v>3021.2910000000002</v>
      </c>
      <c r="M34" s="543">
        <v>25</v>
      </c>
      <c r="N34" s="532">
        <f t="shared" si="2"/>
        <v>1798.3875</v>
      </c>
      <c r="O34" s="533">
        <f t="shared" si="3"/>
        <v>12013.228500000001</v>
      </c>
      <c r="P34" s="580">
        <f t="shared" si="4"/>
        <v>12013.228500000001</v>
      </c>
      <c r="Q34" s="543">
        <f t="shared" si="5"/>
        <v>1798.3875</v>
      </c>
      <c r="R34" s="543"/>
      <c r="S34" s="535">
        <f t="shared" si="6"/>
        <v>21580.65</v>
      </c>
      <c r="T34" s="535">
        <f t="shared" si="7"/>
        <v>14459.0355</v>
      </c>
      <c r="U34" s="535">
        <f t="shared" si="8"/>
        <v>43161.3</v>
      </c>
      <c r="V34" s="535">
        <f t="shared" si="9"/>
        <v>28918.071</v>
      </c>
      <c r="W34" s="543">
        <v>12551.84</v>
      </c>
      <c r="X34" s="535">
        <f t="shared" si="10"/>
        <v>64741.950000000004</v>
      </c>
      <c r="Y34" s="535">
        <f t="shared" si="11"/>
        <v>43377.106500000002</v>
      </c>
      <c r="Z34" s="544"/>
      <c r="AA34" s="543">
        <v>13097.27</v>
      </c>
      <c r="AB34" s="535">
        <f t="shared" si="12"/>
        <v>86322.6</v>
      </c>
      <c r="AC34" s="577">
        <f t="shared" si="13"/>
        <v>57836.142</v>
      </c>
      <c r="AD34" s="545">
        <v>0.04</v>
      </c>
      <c r="AE34" s="546">
        <f t="shared" si="27"/>
        <v>0.04</v>
      </c>
      <c r="AF34" s="547">
        <f t="shared" si="14"/>
        <v>863.22600000000011</v>
      </c>
      <c r="AG34" s="547">
        <f t="shared" si="15"/>
        <v>863.22600000000011</v>
      </c>
      <c r="AH34" s="547">
        <f t="shared" si="16"/>
        <v>2589.6780000000003</v>
      </c>
      <c r="AI34" s="547">
        <f t="shared" si="17"/>
        <v>3452.9040000000005</v>
      </c>
      <c r="AJ34" s="547">
        <f t="shared" si="0"/>
        <v>20717.424000000003</v>
      </c>
      <c r="AK34" s="547">
        <f t="shared" si="18"/>
        <v>42298.074000000001</v>
      </c>
      <c r="AL34" s="547">
        <f t="shared" si="19"/>
        <v>62152.272000000004</v>
      </c>
      <c r="AM34" s="547">
        <f t="shared" si="20"/>
        <v>82869.696000000011</v>
      </c>
      <c r="AN34" s="537">
        <f t="shared" si="21"/>
        <v>4630.4305866000004</v>
      </c>
      <c r="AO34" s="537">
        <f t="shared" si="22"/>
        <v>9378.1735865999999</v>
      </c>
      <c r="AP34" s="537">
        <f t="shared" si="23"/>
        <v>13891.2917598</v>
      </c>
      <c r="AQ34" s="537">
        <f t="shared" si="24"/>
        <v>18521.722346400002</v>
      </c>
      <c r="AR34" s="523">
        <f t="shared" si="25"/>
        <v>215806.5</v>
      </c>
      <c r="AS34" s="523">
        <f t="shared" si="26"/>
        <v>17983.875</v>
      </c>
      <c r="AT34" s="546"/>
      <c r="AU34" s="539">
        <v>8.4099999999999994E-2</v>
      </c>
      <c r="AV34" s="540">
        <v>0.22</v>
      </c>
      <c r="AW34" s="546"/>
      <c r="AX34" s="546"/>
    </row>
    <row r="35" spans="1:50" s="388" customFormat="1" ht="15.75" hidden="1">
      <c r="A35" s="314" t="s">
        <v>559</v>
      </c>
      <c r="B35" s="314" t="s">
        <v>754</v>
      </c>
      <c r="C35" s="314" t="s">
        <v>755</v>
      </c>
      <c r="D35" s="387">
        <v>8322</v>
      </c>
      <c r="E35" s="387">
        <v>1</v>
      </c>
      <c r="F35" s="387" t="s">
        <v>759</v>
      </c>
      <c r="G35" s="543">
        <v>1</v>
      </c>
      <c r="H35" s="543">
        <v>3</v>
      </c>
      <c r="I35" s="543">
        <v>44.94</v>
      </c>
      <c r="J35" s="543">
        <v>7463.89</v>
      </c>
      <c r="K35" s="543">
        <v>42</v>
      </c>
      <c r="L35" s="533">
        <f t="shared" si="1"/>
        <v>3134.8337999999999</v>
      </c>
      <c r="M35" s="543">
        <v>25</v>
      </c>
      <c r="N35" s="532">
        <f t="shared" si="2"/>
        <v>1865.9725000000001</v>
      </c>
      <c r="O35" s="533">
        <f t="shared" si="3"/>
        <v>12464.6963</v>
      </c>
      <c r="P35" s="580">
        <f t="shared" si="4"/>
        <v>12464.6963</v>
      </c>
      <c r="Q35" s="543">
        <f t="shared" si="5"/>
        <v>1865.9725000000001</v>
      </c>
      <c r="R35" s="543"/>
      <c r="S35" s="535">
        <f t="shared" si="6"/>
        <v>22391.670000000002</v>
      </c>
      <c r="T35" s="535">
        <f t="shared" si="7"/>
        <v>15002.418900000001</v>
      </c>
      <c r="U35" s="535">
        <f t="shared" si="8"/>
        <v>44783.340000000004</v>
      </c>
      <c r="V35" s="535">
        <f t="shared" si="9"/>
        <v>30004.837800000001</v>
      </c>
      <c r="W35" s="543">
        <v>13023.56</v>
      </c>
      <c r="X35" s="535">
        <f t="shared" si="10"/>
        <v>67175.010000000009</v>
      </c>
      <c r="Y35" s="535">
        <f t="shared" si="11"/>
        <v>45007.256699999998</v>
      </c>
      <c r="Z35" s="544"/>
      <c r="AA35" s="543">
        <v>13589.49</v>
      </c>
      <c r="AB35" s="535">
        <f t="shared" si="12"/>
        <v>89566.680000000008</v>
      </c>
      <c r="AC35" s="577">
        <f t="shared" si="13"/>
        <v>60009.675600000002</v>
      </c>
      <c r="AD35" s="545">
        <v>0.04</v>
      </c>
      <c r="AE35" s="546">
        <f t="shared" si="27"/>
        <v>0.04</v>
      </c>
      <c r="AF35" s="547">
        <f t="shared" si="14"/>
        <v>895.66680000000008</v>
      </c>
      <c r="AG35" s="547">
        <f t="shared" si="15"/>
        <v>895.66680000000008</v>
      </c>
      <c r="AH35" s="547">
        <f t="shared" si="16"/>
        <v>2687.0004000000004</v>
      </c>
      <c r="AI35" s="547">
        <f t="shared" si="17"/>
        <v>3582.6672000000003</v>
      </c>
      <c r="AJ35" s="547">
        <f t="shared" si="0"/>
        <v>21496.003200000003</v>
      </c>
      <c r="AK35" s="547">
        <f t="shared" si="18"/>
        <v>43887.673200000005</v>
      </c>
      <c r="AL35" s="547">
        <f t="shared" si="19"/>
        <v>64488.009600000012</v>
      </c>
      <c r="AM35" s="547">
        <f t="shared" si="20"/>
        <v>85984.012800000011</v>
      </c>
      <c r="AN35" s="537">
        <f t="shared" si="21"/>
        <v>4804.4462818800012</v>
      </c>
      <c r="AO35" s="537">
        <f t="shared" si="22"/>
        <v>9730.6136818800005</v>
      </c>
      <c r="AP35" s="537">
        <f t="shared" si="23"/>
        <v>14413.338845640003</v>
      </c>
      <c r="AQ35" s="537">
        <f t="shared" si="24"/>
        <v>19217.785127520005</v>
      </c>
      <c r="AR35" s="523">
        <f t="shared" si="25"/>
        <v>223916.7</v>
      </c>
      <c r="AS35" s="523">
        <f t="shared" si="26"/>
        <v>18659.725000000002</v>
      </c>
      <c r="AT35" s="546"/>
      <c r="AU35" s="539">
        <v>8.4099999999999994E-2</v>
      </c>
      <c r="AV35" s="540">
        <v>0.22</v>
      </c>
      <c r="AW35" s="546"/>
      <c r="AX35" s="546"/>
    </row>
    <row r="36" spans="1:50" s="388" customFormat="1" ht="15.75" hidden="1">
      <c r="A36" s="314" t="s">
        <v>560</v>
      </c>
      <c r="B36" s="314" t="s">
        <v>754</v>
      </c>
      <c r="C36" s="314" t="s">
        <v>755</v>
      </c>
      <c r="D36" s="387">
        <v>8322</v>
      </c>
      <c r="E36" s="387">
        <v>1</v>
      </c>
      <c r="F36" s="387" t="s">
        <v>773</v>
      </c>
      <c r="G36" s="543">
        <v>1</v>
      </c>
      <c r="H36" s="543">
        <v>3</v>
      </c>
      <c r="I36" s="543">
        <v>44.94</v>
      </c>
      <c r="J36" s="543">
        <v>7463.89</v>
      </c>
      <c r="K36" s="543">
        <v>42</v>
      </c>
      <c r="L36" s="533">
        <f t="shared" si="1"/>
        <v>3134.8337999999999</v>
      </c>
      <c r="M36" s="543">
        <v>25</v>
      </c>
      <c r="N36" s="532">
        <f t="shared" si="2"/>
        <v>1865.9725000000001</v>
      </c>
      <c r="O36" s="533">
        <f t="shared" si="3"/>
        <v>12464.6963</v>
      </c>
      <c r="P36" s="580">
        <f t="shared" si="4"/>
        <v>12464.6963</v>
      </c>
      <c r="Q36" s="543">
        <f t="shared" si="5"/>
        <v>1865.9725000000001</v>
      </c>
      <c r="R36" s="543"/>
      <c r="S36" s="535">
        <f t="shared" si="6"/>
        <v>22391.670000000002</v>
      </c>
      <c r="T36" s="535">
        <f t="shared" si="7"/>
        <v>15002.418900000001</v>
      </c>
      <c r="U36" s="535">
        <f t="shared" si="8"/>
        <v>44783.340000000004</v>
      </c>
      <c r="V36" s="535">
        <f t="shared" si="9"/>
        <v>30004.837800000001</v>
      </c>
      <c r="W36" s="543">
        <v>13023.56</v>
      </c>
      <c r="X36" s="535">
        <f t="shared" si="10"/>
        <v>67175.010000000009</v>
      </c>
      <c r="Y36" s="535">
        <f t="shared" si="11"/>
        <v>45007.256699999998</v>
      </c>
      <c r="Z36" s="544"/>
      <c r="AA36" s="543">
        <v>13589.49</v>
      </c>
      <c r="AB36" s="535">
        <f t="shared" si="12"/>
        <v>89566.680000000008</v>
      </c>
      <c r="AC36" s="577">
        <f t="shared" si="13"/>
        <v>60009.675600000002</v>
      </c>
      <c r="AD36" s="545">
        <v>0.04</v>
      </c>
      <c r="AE36" s="546">
        <f t="shared" si="27"/>
        <v>0.04</v>
      </c>
      <c r="AF36" s="547">
        <f t="shared" si="14"/>
        <v>895.66680000000008</v>
      </c>
      <c r="AG36" s="547">
        <f t="shared" si="15"/>
        <v>895.66680000000008</v>
      </c>
      <c r="AH36" s="547">
        <f t="shared" si="16"/>
        <v>2687.0004000000004</v>
      </c>
      <c r="AI36" s="547">
        <f t="shared" si="17"/>
        <v>3582.6672000000003</v>
      </c>
      <c r="AJ36" s="547">
        <f t="shared" ref="AJ36:AJ67" si="28">S36-AF36</f>
        <v>21496.003200000003</v>
      </c>
      <c r="AK36" s="547">
        <f t="shared" si="18"/>
        <v>43887.673200000005</v>
      </c>
      <c r="AL36" s="547">
        <f t="shared" si="19"/>
        <v>64488.009600000012</v>
      </c>
      <c r="AM36" s="547">
        <f t="shared" si="20"/>
        <v>85984.012800000011</v>
      </c>
      <c r="AN36" s="537">
        <f t="shared" si="21"/>
        <v>4804.4462818800012</v>
      </c>
      <c r="AO36" s="537">
        <f t="shared" si="22"/>
        <v>9730.6136818800005</v>
      </c>
      <c r="AP36" s="537">
        <f t="shared" si="23"/>
        <v>14413.338845640003</v>
      </c>
      <c r="AQ36" s="537">
        <f t="shared" si="24"/>
        <v>19217.785127520005</v>
      </c>
      <c r="AR36" s="523">
        <f t="shared" si="25"/>
        <v>223916.7</v>
      </c>
      <c r="AS36" s="523">
        <f t="shared" si="26"/>
        <v>18659.725000000002</v>
      </c>
      <c r="AT36" s="546"/>
      <c r="AU36" s="539">
        <v>8.4099999999999994E-2</v>
      </c>
      <c r="AV36" s="540">
        <v>0.22</v>
      </c>
      <c r="AW36" s="546"/>
      <c r="AX36" s="546"/>
    </row>
    <row r="37" spans="1:50" s="388" customFormat="1" ht="15.75" hidden="1">
      <c r="A37" s="314" t="s">
        <v>561</v>
      </c>
      <c r="B37" s="314" t="s">
        <v>754</v>
      </c>
      <c r="C37" s="314" t="s">
        <v>755</v>
      </c>
      <c r="D37" s="387">
        <v>8322</v>
      </c>
      <c r="E37" s="387">
        <v>3</v>
      </c>
      <c r="F37" s="387" t="s">
        <v>759</v>
      </c>
      <c r="G37" s="543">
        <v>3</v>
      </c>
      <c r="H37" s="543">
        <v>3</v>
      </c>
      <c r="I37" s="543">
        <v>43.31</v>
      </c>
      <c r="J37" s="543">
        <v>7193.55</v>
      </c>
      <c r="K37" s="543">
        <v>17</v>
      </c>
      <c r="L37" s="533">
        <f t="shared" si="1"/>
        <v>1222.9035000000001</v>
      </c>
      <c r="M37" s="543">
        <v>25</v>
      </c>
      <c r="N37" s="532">
        <f t="shared" si="2"/>
        <v>1798.3875</v>
      </c>
      <c r="O37" s="533">
        <f t="shared" si="3"/>
        <v>10214.841</v>
      </c>
      <c r="P37" s="580">
        <f t="shared" si="4"/>
        <v>30644.523000000001</v>
      </c>
      <c r="Q37" s="543">
        <f t="shared" si="5"/>
        <v>5395.1625000000004</v>
      </c>
      <c r="R37" s="543"/>
      <c r="S37" s="535">
        <f t="shared" si="6"/>
        <v>64741.950000000004</v>
      </c>
      <c r="T37" s="535">
        <f t="shared" si="7"/>
        <v>27191.618999999999</v>
      </c>
      <c r="U37" s="535">
        <f t="shared" si="8"/>
        <v>129483.90000000001</v>
      </c>
      <c r="V37" s="535">
        <f t="shared" si="9"/>
        <v>54383.237999999998</v>
      </c>
      <c r="W37" s="543">
        <v>32018.48</v>
      </c>
      <c r="X37" s="535">
        <f t="shared" si="10"/>
        <v>194225.85</v>
      </c>
      <c r="Y37" s="535">
        <f t="shared" si="11"/>
        <v>81574.857000000004</v>
      </c>
      <c r="Z37" s="544"/>
      <c r="AA37" s="543">
        <v>33409.81</v>
      </c>
      <c r="AB37" s="535">
        <f t="shared" si="12"/>
        <v>258967.80000000002</v>
      </c>
      <c r="AC37" s="577">
        <f t="shared" si="13"/>
        <v>108766.476</v>
      </c>
      <c r="AD37" s="545">
        <v>0.04</v>
      </c>
      <c r="AE37" s="546">
        <f t="shared" si="27"/>
        <v>0.12</v>
      </c>
      <c r="AF37" s="547">
        <f t="shared" si="14"/>
        <v>2589.6779999999999</v>
      </c>
      <c r="AG37" s="547">
        <f t="shared" si="15"/>
        <v>2589.6779999999999</v>
      </c>
      <c r="AH37" s="547">
        <f t="shared" si="16"/>
        <v>7769.0340000000006</v>
      </c>
      <c r="AI37" s="547">
        <f t="shared" si="17"/>
        <v>10358.712</v>
      </c>
      <c r="AJ37" s="547">
        <f t="shared" si="28"/>
        <v>62152.272000000004</v>
      </c>
      <c r="AK37" s="547">
        <f t="shared" si="18"/>
        <v>126894.22200000001</v>
      </c>
      <c r="AL37" s="547">
        <f t="shared" si="19"/>
        <v>186456.81599999999</v>
      </c>
      <c r="AM37" s="547">
        <f t="shared" si="20"/>
        <v>248609.08800000002</v>
      </c>
      <c r="AN37" s="537">
        <f t="shared" si="21"/>
        <v>13891.2917598</v>
      </c>
      <c r="AO37" s="537">
        <f t="shared" si="22"/>
        <v>28134.520759800005</v>
      </c>
      <c r="AP37" s="537">
        <f t="shared" si="23"/>
        <v>41673.875279399996</v>
      </c>
      <c r="AQ37" s="537">
        <f t="shared" si="24"/>
        <v>55565.167039200001</v>
      </c>
      <c r="AR37" s="523">
        <f t="shared" si="25"/>
        <v>647419.5</v>
      </c>
      <c r="AS37" s="523">
        <f t="shared" si="26"/>
        <v>17983.875</v>
      </c>
      <c r="AT37" s="546"/>
      <c r="AU37" s="539">
        <v>8.4099999999999994E-2</v>
      </c>
      <c r="AV37" s="540">
        <v>0.22</v>
      </c>
      <c r="AW37" s="546"/>
      <c r="AX37" s="546"/>
    </row>
    <row r="38" spans="1:50" s="388" customFormat="1" ht="15.75" hidden="1">
      <c r="A38" s="314" t="s">
        <v>562</v>
      </c>
      <c r="B38" s="314" t="s">
        <v>754</v>
      </c>
      <c r="C38" s="314" t="s">
        <v>755</v>
      </c>
      <c r="D38" s="387">
        <v>8322</v>
      </c>
      <c r="E38" s="387">
        <v>4</v>
      </c>
      <c r="F38" s="387" t="s">
        <v>774</v>
      </c>
      <c r="G38" s="543">
        <v>4</v>
      </c>
      <c r="H38" s="543">
        <v>3</v>
      </c>
      <c r="I38" s="543">
        <v>39.270000000000003</v>
      </c>
      <c r="J38" s="543">
        <v>6521.16</v>
      </c>
      <c r="K38" s="543">
        <v>52</v>
      </c>
      <c r="L38" s="533">
        <f t="shared" si="1"/>
        <v>3391.0032000000001</v>
      </c>
      <c r="M38" s="543">
        <v>25</v>
      </c>
      <c r="N38" s="532">
        <f t="shared" si="2"/>
        <v>1630.29</v>
      </c>
      <c r="O38" s="533">
        <f t="shared" si="3"/>
        <v>11542.4532</v>
      </c>
      <c r="P38" s="580">
        <f t="shared" si="4"/>
        <v>46169.8128</v>
      </c>
      <c r="Q38" s="543">
        <f t="shared" si="5"/>
        <v>6521.16</v>
      </c>
      <c r="R38" s="543"/>
      <c r="S38" s="535">
        <f t="shared" si="6"/>
        <v>78253.919999999998</v>
      </c>
      <c r="T38" s="535">
        <f t="shared" si="7"/>
        <v>60255.518400000001</v>
      </c>
      <c r="U38" s="535">
        <f t="shared" si="8"/>
        <v>156507.84</v>
      </c>
      <c r="V38" s="535">
        <f t="shared" si="9"/>
        <v>120511.0368</v>
      </c>
      <c r="W38" s="543">
        <v>48239.839999999997</v>
      </c>
      <c r="X38" s="535">
        <f t="shared" si="10"/>
        <v>234761.76</v>
      </c>
      <c r="Y38" s="535">
        <f t="shared" si="11"/>
        <v>180766.5552</v>
      </c>
      <c r="Z38" s="544"/>
      <c r="AA38" s="543">
        <v>50336.05</v>
      </c>
      <c r="AB38" s="535">
        <f t="shared" si="12"/>
        <v>313015.67999999999</v>
      </c>
      <c r="AC38" s="577">
        <f t="shared" si="13"/>
        <v>241022.0736</v>
      </c>
      <c r="AD38" s="545">
        <v>0.04</v>
      </c>
      <c r="AE38" s="546">
        <f t="shared" si="27"/>
        <v>0.16</v>
      </c>
      <c r="AF38" s="547">
        <f t="shared" si="14"/>
        <v>3130.1568000000002</v>
      </c>
      <c r="AG38" s="547">
        <f t="shared" si="15"/>
        <v>3130.1568000000002</v>
      </c>
      <c r="AH38" s="547">
        <f t="shared" si="16"/>
        <v>9390.4704000000002</v>
      </c>
      <c r="AI38" s="547">
        <f t="shared" si="17"/>
        <v>12520.627200000001</v>
      </c>
      <c r="AJ38" s="547">
        <f t="shared" si="28"/>
        <v>75123.763200000001</v>
      </c>
      <c r="AK38" s="547">
        <f t="shared" si="18"/>
        <v>153377.6832</v>
      </c>
      <c r="AL38" s="547">
        <f t="shared" si="19"/>
        <v>225371.28960000002</v>
      </c>
      <c r="AM38" s="547">
        <f t="shared" si="20"/>
        <v>300495.0528</v>
      </c>
      <c r="AN38" s="537">
        <f t="shared" si="21"/>
        <v>16790.474090879998</v>
      </c>
      <c r="AO38" s="537">
        <f t="shared" si="22"/>
        <v>34006.336490879999</v>
      </c>
      <c r="AP38" s="537">
        <f t="shared" si="23"/>
        <v>50371.422272640004</v>
      </c>
      <c r="AQ38" s="537">
        <f t="shared" si="24"/>
        <v>67161.896363519991</v>
      </c>
      <c r="AR38" s="523">
        <f t="shared" si="25"/>
        <v>782539.2</v>
      </c>
      <c r="AS38" s="523">
        <f t="shared" si="26"/>
        <v>16302.9</v>
      </c>
      <c r="AT38" s="546"/>
      <c r="AU38" s="539">
        <v>8.4099999999999994E-2</v>
      </c>
      <c r="AV38" s="540">
        <v>0.22</v>
      </c>
      <c r="AW38" s="546"/>
      <c r="AX38" s="546"/>
    </row>
    <row r="39" spans="1:50" s="388" customFormat="1" ht="15.75" hidden="1">
      <c r="A39" s="314" t="s">
        <v>563</v>
      </c>
      <c r="B39" s="314" t="s">
        <v>754</v>
      </c>
      <c r="C39" s="314" t="s">
        <v>755</v>
      </c>
      <c r="D39" s="387">
        <v>8322</v>
      </c>
      <c r="E39" s="387">
        <v>8</v>
      </c>
      <c r="F39" s="387" t="s">
        <v>775</v>
      </c>
      <c r="G39" s="543">
        <v>8</v>
      </c>
      <c r="H39" s="543">
        <v>3</v>
      </c>
      <c r="I39" s="543">
        <v>47.36</v>
      </c>
      <c r="J39" s="543">
        <v>7865.94</v>
      </c>
      <c r="K39" s="543">
        <v>12</v>
      </c>
      <c r="L39" s="533">
        <f t="shared" si="1"/>
        <v>943.91279999999995</v>
      </c>
      <c r="M39" s="543">
        <v>25</v>
      </c>
      <c r="N39" s="532">
        <f t="shared" si="2"/>
        <v>1966.4849999999999</v>
      </c>
      <c r="O39" s="533">
        <f t="shared" si="3"/>
        <v>10776.337799999999</v>
      </c>
      <c r="P39" s="580">
        <f t="shared" si="4"/>
        <v>86210.702399999995</v>
      </c>
      <c r="Q39" s="543">
        <f t="shared" si="5"/>
        <v>15731.88</v>
      </c>
      <c r="R39" s="543"/>
      <c r="S39" s="535">
        <f t="shared" si="6"/>
        <v>188782.56</v>
      </c>
      <c r="T39" s="535">
        <f t="shared" si="7"/>
        <v>69849.547200000001</v>
      </c>
      <c r="U39" s="535">
        <f t="shared" si="8"/>
        <v>377565.12</v>
      </c>
      <c r="V39" s="535">
        <f t="shared" si="9"/>
        <v>139699.0944</v>
      </c>
      <c r="W39" s="543">
        <v>90076</v>
      </c>
      <c r="X39" s="535">
        <f t="shared" si="10"/>
        <v>566347.67999999993</v>
      </c>
      <c r="Y39" s="535">
        <f t="shared" si="11"/>
        <v>209548.64159999997</v>
      </c>
      <c r="Z39" s="544"/>
      <c r="AA39" s="543">
        <v>93990.16</v>
      </c>
      <c r="AB39" s="535">
        <f t="shared" si="12"/>
        <v>755130.24</v>
      </c>
      <c r="AC39" s="577">
        <f t="shared" si="13"/>
        <v>279398.1888</v>
      </c>
      <c r="AD39" s="545">
        <v>0.04</v>
      </c>
      <c r="AE39" s="546">
        <f t="shared" si="27"/>
        <v>0.32</v>
      </c>
      <c r="AF39" s="547">
        <f t="shared" si="14"/>
        <v>7551.3024000000005</v>
      </c>
      <c r="AG39" s="547">
        <f t="shared" si="15"/>
        <v>7551.3024000000005</v>
      </c>
      <c r="AH39" s="547">
        <f t="shared" si="16"/>
        <v>22653.907199999998</v>
      </c>
      <c r="AI39" s="547">
        <f t="shared" si="17"/>
        <v>30205.209600000002</v>
      </c>
      <c r="AJ39" s="547">
        <f t="shared" si="28"/>
        <v>181231.25760000001</v>
      </c>
      <c r="AK39" s="547">
        <f t="shared" si="18"/>
        <v>370013.81760000001</v>
      </c>
      <c r="AL39" s="547">
        <f t="shared" si="19"/>
        <v>543693.77279999992</v>
      </c>
      <c r="AM39" s="547">
        <f t="shared" si="20"/>
        <v>724925.03040000005</v>
      </c>
      <c r="AN39" s="537">
        <f t="shared" si="21"/>
        <v>40505.941203840004</v>
      </c>
      <c r="AO39" s="537">
        <f t="shared" si="22"/>
        <v>82038.104403840014</v>
      </c>
      <c r="AP39" s="537">
        <f t="shared" si="23"/>
        <v>121517.82361151998</v>
      </c>
      <c r="AQ39" s="537">
        <f t="shared" si="24"/>
        <v>162023.76481536002</v>
      </c>
      <c r="AR39" s="523">
        <f t="shared" si="25"/>
        <v>1887825.5999999999</v>
      </c>
      <c r="AS39" s="523">
        <f t="shared" si="26"/>
        <v>19664.849999999999</v>
      </c>
      <c r="AT39" s="546"/>
      <c r="AU39" s="539">
        <v>8.4099999999999994E-2</v>
      </c>
      <c r="AV39" s="540">
        <v>0.22</v>
      </c>
      <c r="AW39" s="546"/>
      <c r="AX39" s="546"/>
    </row>
    <row r="40" spans="1:50" s="388" customFormat="1" ht="15.75" hidden="1">
      <c r="A40" s="314" t="s">
        <v>564</v>
      </c>
      <c r="B40" s="314" t="s">
        <v>754</v>
      </c>
      <c r="C40" s="314" t="s">
        <v>755</v>
      </c>
      <c r="D40" s="387">
        <v>8322</v>
      </c>
      <c r="E40" s="387">
        <v>1</v>
      </c>
      <c r="F40" s="387">
        <v>15.4</v>
      </c>
      <c r="G40" s="543">
        <v>1</v>
      </c>
      <c r="H40" s="543">
        <v>3</v>
      </c>
      <c r="I40" s="543">
        <v>47.36</v>
      </c>
      <c r="J40" s="543">
        <v>7865.94</v>
      </c>
      <c r="K40" s="543">
        <v>12</v>
      </c>
      <c r="L40" s="533">
        <f t="shared" si="1"/>
        <v>943.91279999999995</v>
      </c>
      <c r="M40" s="543">
        <v>25</v>
      </c>
      <c r="N40" s="532">
        <f t="shared" si="2"/>
        <v>1966.4849999999999</v>
      </c>
      <c r="O40" s="533">
        <f t="shared" si="3"/>
        <v>10776.337799999999</v>
      </c>
      <c r="P40" s="580">
        <f t="shared" si="4"/>
        <v>10776.337799999999</v>
      </c>
      <c r="Q40" s="543">
        <f t="shared" si="5"/>
        <v>1966.4849999999999</v>
      </c>
      <c r="R40" s="543"/>
      <c r="S40" s="535">
        <f t="shared" si="6"/>
        <v>23597.82</v>
      </c>
      <c r="T40" s="535">
        <f t="shared" si="7"/>
        <v>8731.1934000000001</v>
      </c>
      <c r="U40" s="535">
        <f t="shared" si="8"/>
        <v>47195.64</v>
      </c>
      <c r="V40" s="535">
        <f t="shared" si="9"/>
        <v>17462.3868</v>
      </c>
      <c r="W40" s="543">
        <v>11259.5</v>
      </c>
      <c r="X40" s="535">
        <f t="shared" si="10"/>
        <v>70793.459999999992</v>
      </c>
      <c r="Y40" s="535">
        <f t="shared" si="11"/>
        <v>26193.580199999997</v>
      </c>
      <c r="Z40" s="544"/>
      <c r="AA40" s="543">
        <v>11748.77</v>
      </c>
      <c r="AB40" s="535">
        <f t="shared" si="12"/>
        <v>94391.28</v>
      </c>
      <c r="AC40" s="577">
        <f t="shared" si="13"/>
        <v>34924.7736</v>
      </c>
      <c r="AD40" s="545">
        <v>0.04</v>
      </c>
      <c r="AE40" s="546">
        <f t="shared" si="27"/>
        <v>0.04</v>
      </c>
      <c r="AF40" s="547">
        <f t="shared" si="14"/>
        <v>943.91280000000006</v>
      </c>
      <c r="AG40" s="547">
        <f t="shared" si="15"/>
        <v>943.91280000000006</v>
      </c>
      <c r="AH40" s="547">
        <f t="shared" si="16"/>
        <v>2831.7383999999997</v>
      </c>
      <c r="AI40" s="547">
        <f t="shared" si="17"/>
        <v>3775.6512000000002</v>
      </c>
      <c r="AJ40" s="547">
        <f t="shared" si="28"/>
        <v>22653.907200000001</v>
      </c>
      <c r="AK40" s="547">
        <f t="shared" si="18"/>
        <v>46251.727200000001</v>
      </c>
      <c r="AL40" s="547">
        <f t="shared" si="19"/>
        <v>67961.72159999999</v>
      </c>
      <c r="AM40" s="547">
        <f t="shared" si="20"/>
        <v>90615.628800000006</v>
      </c>
      <c r="AN40" s="537">
        <f t="shared" si="21"/>
        <v>5063.2426504800005</v>
      </c>
      <c r="AO40" s="537">
        <f t="shared" si="22"/>
        <v>10254.763050480002</v>
      </c>
      <c r="AP40" s="537">
        <f t="shared" si="23"/>
        <v>15189.727951439998</v>
      </c>
      <c r="AQ40" s="537">
        <f t="shared" si="24"/>
        <v>20252.970601920002</v>
      </c>
      <c r="AR40" s="523">
        <f t="shared" si="25"/>
        <v>235978.19999999998</v>
      </c>
      <c r="AS40" s="523">
        <f t="shared" si="26"/>
        <v>19664.849999999999</v>
      </c>
      <c r="AT40" s="546"/>
      <c r="AU40" s="539">
        <v>8.4099999999999994E-2</v>
      </c>
      <c r="AV40" s="540">
        <v>0.22</v>
      </c>
      <c r="AW40" s="546"/>
      <c r="AX40" s="546"/>
    </row>
    <row r="41" spans="1:50" s="388" customFormat="1" ht="15.75" hidden="1">
      <c r="A41" s="314" t="s">
        <v>565</v>
      </c>
      <c r="B41" s="314" t="s">
        <v>754</v>
      </c>
      <c r="C41" s="314" t="s">
        <v>755</v>
      </c>
      <c r="D41" s="387">
        <v>8322</v>
      </c>
      <c r="E41" s="387">
        <v>1</v>
      </c>
      <c r="F41" s="387">
        <v>1.1599999999999999</v>
      </c>
      <c r="G41" s="543">
        <v>1</v>
      </c>
      <c r="H41" s="543">
        <v>3</v>
      </c>
      <c r="I41" s="543">
        <v>29.96</v>
      </c>
      <c r="J41" s="543">
        <v>4975.3500000000004</v>
      </c>
      <c r="K41" s="543">
        <v>12</v>
      </c>
      <c r="L41" s="533">
        <f t="shared" si="1"/>
        <v>597.04200000000003</v>
      </c>
      <c r="M41" s="543">
        <v>25</v>
      </c>
      <c r="N41" s="532">
        <f t="shared" si="2"/>
        <v>1243.8375000000001</v>
      </c>
      <c r="O41" s="533">
        <f t="shared" si="3"/>
        <v>6816.2295000000013</v>
      </c>
      <c r="P41" s="580">
        <f t="shared" si="4"/>
        <v>6816.2295000000013</v>
      </c>
      <c r="Q41" s="543">
        <f t="shared" si="5"/>
        <v>1243.8375000000001</v>
      </c>
      <c r="R41" s="543"/>
      <c r="S41" s="535">
        <f t="shared" si="6"/>
        <v>14926.050000000001</v>
      </c>
      <c r="T41" s="535">
        <f t="shared" si="7"/>
        <v>5522.6385</v>
      </c>
      <c r="U41" s="535">
        <f t="shared" si="8"/>
        <v>29852.100000000002</v>
      </c>
      <c r="V41" s="535">
        <f t="shared" si="9"/>
        <v>11045.277</v>
      </c>
      <c r="W41" s="543">
        <v>7121.84</v>
      </c>
      <c r="X41" s="535">
        <f t="shared" si="10"/>
        <v>44778.15</v>
      </c>
      <c r="Y41" s="535">
        <f t="shared" si="11"/>
        <v>16567.915499999999</v>
      </c>
      <c r="Z41" s="544"/>
      <c r="AA41" s="543">
        <v>7431.31</v>
      </c>
      <c r="AB41" s="535">
        <f t="shared" si="12"/>
        <v>59704.200000000004</v>
      </c>
      <c r="AC41" s="577">
        <f t="shared" si="13"/>
        <v>22090.554</v>
      </c>
      <c r="AD41" s="545">
        <v>0.04</v>
      </c>
      <c r="AE41" s="546">
        <f t="shared" si="27"/>
        <v>0.04</v>
      </c>
      <c r="AF41" s="547">
        <f t="shared" si="14"/>
        <v>597.04200000000003</v>
      </c>
      <c r="AG41" s="547">
        <f t="shared" si="15"/>
        <v>597.04200000000003</v>
      </c>
      <c r="AH41" s="547">
        <f t="shared" si="16"/>
        <v>1791.1260000000002</v>
      </c>
      <c r="AI41" s="547">
        <f t="shared" si="17"/>
        <v>2388.1680000000001</v>
      </c>
      <c r="AJ41" s="547">
        <f t="shared" si="28"/>
        <v>14329.008000000002</v>
      </c>
      <c r="AK41" s="547">
        <f t="shared" si="18"/>
        <v>29255.058000000001</v>
      </c>
      <c r="AL41" s="547">
        <f t="shared" si="19"/>
        <v>42987.024000000005</v>
      </c>
      <c r="AM41" s="547">
        <f t="shared" si="20"/>
        <v>57316.032000000007</v>
      </c>
      <c r="AN41" s="537">
        <f t="shared" si="21"/>
        <v>3202.5929922</v>
      </c>
      <c r="AO41" s="537">
        <f t="shared" si="22"/>
        <v>6486.3239922000002</v>
      </c>
      <c r="AP41" s="537">
        <f t="shared" si="23"/>
        <v>9607.7789766000005</v>
      </c>
      <c r="AQ41" s="537">
        <f t="shared" si="24"/>
        <v>12810.3719688</v>
      </c>
      <c r="AR41" s="523">
        <f t="shared" si="25"/>
        <v>149260.5</v>
      </c>
      <c r="AS41" s="523">
        <f t="shared" si="26"/>
        <v>12438.375</v>
      </c>
      <c r="AT41" s="546"/>
      <c r="AU41" s="539">
        <v>8.4099999999999994E-2</v>
      </c>
      <c r="AV41" s="540">
        <v>0.22</v>
      </c>
      <c r="AW41" s="546"/>
      <c r="AX41" s="546"/>
    </row>
    <row r="42" spans="1:50" s="388" customFormat="1" ht="15.75" hidden="1">
      <c r="A42" s="314" t="s">
        <v>566</v>
      </c>
      <c r="B42" s="314" t="s">
        <v>754</v>
      </c>
      <c r="C42" s="314" t="s">
        <v>755</v>
      </c>
      <c r="D42" s="387">
        <v>8322</v>
      </c>
      <c r="E42" s="387">
        <v>3</v>
      </c>
      <c r="F42" s="387" t="s">
        <v>776</v>
      </c>
      <c r="G42" s="543">
        <v>3</v>
      </c>
      <c r="H42" s="543">
        <v>3</v>
      </c>
      <c r="I42" s="543">
        <v>35.619999999999997</v>
      </c>
      <c r="J42" s="543">
        <v>5916.35</v>
      </c>
      <c r="K42" s="543">
        <v>42</v>
      </c>
      <c r="L42" s="533">
        <f t="shared" si="1"/>
        <v>2484.8670000000002</v>
      </c>
      <c r="M42" s="543">
        <v>25</v>
      </c>
      <c r="N42" s="532">
        <f t="shared" si="2"/>
        <v>1479.0875000000001</v>
      </c>
      <c r="O42" s="533">
        <f t="shared" si="3"/>
        <v>9880.3045000000002</v>
      </c>
      <c r="P42" s="580">
        <f t="shared" si="4"/>
        <v>29640.913500000002</v>
      </c>
      <c r="Q42" s="543">
        <f t="shared" si="5"/>
        <v>4437.2625000000007</v>
      </c>
      <c r="R42" s="543"/>
      <c r="S42" s="535">
        <f t="shared" si="6"/>
        <v>53247.150000000009</v>
      </c>
      <c r="T42" s="535">
        <f t="shared" si="7"/>
        <v>35675.590500000006</v>
      </c>
      <c r="U42" s="535">
        <f t="shared" si="8"/>
        <v>106494.30000000002</v>
      </c>
      <c r="V42" s="535">
        <f t="shared" si="9"/>
        <v>71351.181000000011</v>
      </c>
      <c r="W42" s="543">
        <v>30969.89</v>
      </c>
      <c r="X42" s="535">
        <f t="shared" si="10"/>
        <v>159741.45000000001</v>
      </c>
      <c r="Y42" s="535">
        <f t="shared" si="11"/>
        <v>107026.77150000002</v>
      </c>
      <c r="Z42" s="544"/>
      <c r="AA42" s="543">
        <v>32315.65</v>
      </c>
      <c r="AB42" s="535">
        <f t="shared" si="12"/>
        <v>212988.60000000003</v>
      </c>
      <c r="AC42" s="577">
        <f t="shared" si="13"/>
        <v>142702.36200000002</v>
      </c>
      <c r="AD42" s="545">
        <v>0.04</v>
      </c>
      <c r="AE42" s="546">
        <f t="shared" si="27"/>
        <v>0.12</v>
      </c>
      <c r="AF42" s="547">
        <f t="shared" si="14"/>
        <v>2129.8860000000004</v>
      </c>
      <c r="AG42" s="547">
        <f t="shared" si="15"/>
        <v>2129.8860000000004</v>
      </c>
      <c r="AH42" s="547">
        <f t="shared" si="16"/>
        <v>6389.6580000000004</v>
      </c>
      <c r="AI42" s="547">
        <f t="shared" si="17"/>
        <v>8519.5440000000017</v>
      </c>
      <c r="AJ42" s="547">
        <f t="shared" si="28"/>
        <v>51117.26400000001</v>
      </c>
      <c r="AK42" s="547">
        <f t="shared" si="18"/>
        <v>104364.41400000002</v>
      </c>
      <c r="AL42" s="547">
        <f t="shared" si="19"/>
        <v>153351.79200000002</v>
      </c>
      <c r="AM42" s="547">
        <f t="shared" si="20"/>
        <v>204469.05600000004</v>
      </c>
      <c r="AN42" s="537">
        <f t="shared" si="21"/>
        <v>11424.921492600002</v>
      </c>
      <c r="AO42" s="537">
        <f t="shared" si="22"/>
        <v>23139.294492600005</v>
      </c>
      <c r="AP42" s="537">
        <f t="shared" si="23"/>
        <v>34274.764477800003</v>
      </c>
      <c r="AQ42" s="537">
        <f t="shared" si="24"/>
        <v>45699.685970400009</v>
      </c>
      <c r="AR42" s="523">
        <f t="shared" si="25"/>
        <v>532471.5</v>
      </c>
      <c r="AS42" s="523">
        <f t="shared" si="26"/>
        <v>14790.875</v>
      </c>
      <c r="AT42" s="546"/>
      <c r="AU42" s="539">
        <v>8.4099999999999994E-2</v>
      </c>
      <c r="AV42" s="540">
        <v>0.22</v>
      </c>
      <c r="AW42" s="546"/>
      <c r="AX42" s="546"/>
    </row>
    <row r="43" spans="1:50" s="388" customFormat="1" ht="15.75" hidden="1">
      <c r="A43" s="314" t="s">
        <v>567</v>
      </c>
      <c r="B43" s="314" t="s">
        <v>754</v>
      </c>
      <c r="C43" s="314" t="s">
        <v>755</v>
      </c>
      <c r="D43" s="387">
        <v>8322</v>
      </c>
      <c r="E43" s="387">
        <v>1</v>
      </c>
      <c r="F43" s="387" t="s">
        <v>777</v>
      </c>
      <c r="G43" s="543">
        <v>1</v>
      </c>
      <c r="H43" s="543">
        <v>3</v>
      </c>
      <c r="I43" s="543">
        <v>44.94</v>
      </c>
      <c r="J43" s="543">
        <v>7463.89</v>
      </c>
      <c r="K43" s="543">
        <v>12</v>
      </c>
      <c r="L43" s="533">
        <f t="shared" si="1"/>
        <v>895.66679999999997</v>
      </c>
      <c r="M43" s="543">
        <v>25</v>
      </c>
      <c r="N43" s="532">
        <f t="shared" si="2"/>
        <v>1865.9725000000001</v>
      </c>
      <c r="O43" s="533">
        <f t="shared" si="3"/>
        <v>10225.5293</v>
      </c>
      <c r="P43" s="580">
        <f t="shared" si="4"/>
        <v>10225.5293</v>
      </c>
      <c r="Q43" s="543">
        <f t="shared" si="5"/>
        <v>1865.9725000000001</v>
      </c>
      <c r="R43" s="543"/>
      <c r="S43" s="535">
        <f t="shared" si="6"/>
        <v>22391.670000000002</v>
      </c>
      <c r="T43" s="535">
        <f t="shared" si="7"/>
        <v>8284.9179000000004</v>
      </c>
      <c r="U43" s="535">
        <f t="shared" si="8"/>
        <v>44783.340000000004</v>
      </c>
      <c r="V43" s="535">
        <f t="shared" si="9"/>
        <v>16569.835800000001</v>
      </c>
      <c r="W43" s="543">
        <v>10684</v>
      </c>
      <c r="X43" s="535">
        <f t="shared" si="10"/>
        <v>67175.010000000009</v>
      </c>
      <c r="Y43" s="535">
        <f t="shared" si="11"/>
        <v>24854.753699999997</v>
      </c>
      <c r="Z43" s="544"/>
      <c r="AA43" s="543">
        <v>11148.26</v>
      </c>
      <c r="AB43" s="535">
        <f t="shared" si="12"/>
        <v>89566.680000000008</v>
      </c>
      <c r="AC43" s="577">
        <f t="shared" si="13"/>
        <v>33139.671600000001</v>
      </c>
      <c r="AD43" s="545">
        <v>0.04</v>
      </c>
      <c r="AE43" s="546">
        <f t="shared" si="27"/>
        <v>0.04</v>
      </c>
      <c r="AF43" s="547">
        <f t="shared" si="14"/>
        <v>895.66680000000008</v>
      </c>
      <c r="AG43" s="547">
        <f t="shared" si="15"/>
        <v>895.66680000000008</v>
      </c>
      <c r="AH43" s="547">
        <f t="shared" si="16"/>
        <v>2687.0004000000004</v>
      </c>
      <c r="AI43" s="547">
        <f t="shared" si="17"/>
        <v>3582.6672000000003</v>
      </c>
      <c r="AJ43" s="547">
        <f t="shared" si="28"/>
        <v>21496.003200000003</v>
      </c>
      <c r="AK43" s="547">
        <f t="shared" si="18"/>
        <v>43887.673200000005</v>
      </c>
      <c r="AL43" s="547">
        <f t="shared" si="19"/>
        <v>64488.009600000012</v>
      </c>
      <c r="AM43" s="547">
        <f t="shared" si="20"/>
        <v>85984.012800000011</v>
      </c>
      <c r="AN43" s="537">
        <f t="shared" si="21"/>
        <v>4804.4462818800012</v>
      </c>
      <c r="AO43" s="537">
        <f t="shared" si="22"/>
        <v>9730.6136818800005</v>
      </c>
      <c r="AP43" s="537">
        <f t="shared" si="23"/>
        <v>14413.338845640003</v>
      </c>
      <c r="AQ43" s="537">
        <f t="shared" si="24"/>
        <v>19217.785127520005</v>
      </c>
      <c r="AR43" s="523">
        <f t="shared" si="25"/>
        <v>223916.7</v>
      </c>
      <c r="AS43" s="523">
        <f t="shared" si="26"/>
        <v>18659.725000000002</v>
      </c>
      <c r="AT43" s="546"/>
      <c r="AU43" s="539">
        <v>8.4099999999999994E-2</v>
      </c>
      <c r="AV43" s="540">
        <v>0.22</v>
      </c>
      <c r="AW43" s="546"/>
      <c r="AX43" s="546"/>
    </row>
    <row r="44" spans="1:50" s="388" customFormat="1" ht="15.75" hidden="1">
      <c r="A44" s="314" t="s">
        <v>568</v>
      </c>
      <c r="B44" s="314" t="s">
        <v>754</v>
      </c>
      <c r="C44" s="314" t="s">
        <v>755</v>
      </c>
      <c r="D44" s="387">
        <v>8322</v>
      </c>
      <c r="E44" s="387">
        <v>1</v>
      </c>
      <c r="F44" s="387" t="s">
        <v>759</v>
      </c>
      <c r="G44" s="543">
        <v>1</v>
      </c>
      <c r="H44" s="543">
        <v>3</v>
      </c>
      <c r="I44" s="543">
        <v>39.270000000000003</v>
      </c>
      <c r="J44" s="543">
        <v>6521.16</v>
      </c>
      <c r="K44" s="543">
        <v>12</v>
      </c>
      <c r="L44" s="533">
        <f t="shared" si="1"/>
        <v>782.53919999999994</v>
      </c>
      <c r="M44" s="543">
        <v>25</v>
      </c>
      <c r="N44" s="532">
        <f t="shared" si="2"/>
        <v>1630.29</v>
      </c>
      <c r="O44" s="533">
        <f t="shared" si="3"/>
        <v>8933.9892</v>
      </c>
      <c r="P44" s="580">
        <f t="shared" si="4"/>
        <v>8933.9892</v>
      </c>
      <c r="Q44" s="543">
        <f t="shared" si="5"/>
        <v>1630.29</v>
      </c>
      <c r="R44" s="543"/>
      <c r="S44" s="535">
        <f t="shared" si="6"/>
        <v>19563.48</v>
      </c>
      <c r="T44" s="535">
        <f t="shared" si="7"/>
        <v>7238.4876000000004</v>
      </c>
      <c r="U44" s="535">
        <f t="shared" si="8"/>
        <v>39126.959999999999</v>
      </c>
      <c r="V44" s="535">
        <f t="shared" si="9"/>
        <v>14476.975200000001</v>
      </c>
      <c r="W44" s="543">
        <v>9334.5400000000009</v>
      </c>
      <c r="X44" s="535">
        <f t="shared" si="10"/>
        <v>58690.44</v>
      </c>
      <c r="Y44" s="535">
        <f t="shared" si="11"/>
        <v>21715.462800000001</v>
      </c>
      <c r="Z44" s="544"/>
      <c r="AA44" s="543">
        <v>9740.17</v>
      </c>
      <c r="AB44" s="535">
        <f t="shared" si="12"/>
        <v>78253.919999999998</v>
      </c>
      <c r="AC44" s="577">
        <f t="shared" si="13"/>
        <v>28953.950400000002</v>
      </c>
      <c r="AD44" s="545">
        <v>0.04</v>
      </c>
      <c r="AE44" s="546">
        <f t="shared" si="27"/>
        <v>0.04</v>
      </c>
      <c r="AF44" s="547">
        <f t="shared" si="14"/>
        <v>782.53920000000005</v>
      </c>
      <c r="AG44" s="547">
        <f t="shared" si="15"/>
        <v>782.53920000000005</v>
      </c>
      <c r="AH44" s="547">
        <f t="shared" si="16"/>
        <v>2347.6176</v>
      </c>
      <c r="AI44" s="547">
        <f t="shared" si="17"/>
        <v>3130.1568000000002</v>
      </c>
      <c r="AJ44" s="547">
        <f t="shared" si="28"/>
        <v>18780.9408</v>
      </c>
      <c r="AK44" s="547">
        <f t="shared" si="18"/>
        <v>38344.4208</v>
      </c>
      <c r="AL44" s="547">
        <f t="shared" si="19"/>
        <v>56342.822400000005</v>
      </c>
      <c r="AM44" s="547">
        <f t="shared" si="20"/>
        <v>75123.763200000001</v>
      </c>
      <c r="AN44" s="537">
        <f t="shared" si="21"/>
        <v>4197.6185227199994</v>
      </c>
      <c r="AO44" s="537">
        <f t="shared" si="22"/>
        <v>8501.5841227199999</v>
      </c>
      <c r="AP44" s="537">
        <f t="shared" si="23"/>
        <v>12592.855568160001</v>
      </c>
      <c r="AQ44" s="537">
        <f t="shared" si="24"/>
        <v>16790.474090879998</v>
      </c>
      <c r="AR44" s="523">
        <f t="shared" si="25"/>
        <v>195634.8</v>
      </c>
      <c r="AS44" s="523">
        <f t="shared" si="26"/>
        <v>16302.9</v>
      </c>
      <c r="AT44" s="546"/>
      <c r="AU44" s="539">
        <v>8.4099999999999994E-2</v>
      </c>
      <c r="AV44" s="540">
        <v>0.22</v>
      </c>
      <c r="AW44" s="546"/>
      <c r="AX44" s="546"/>
    </row>
    <row r="45" spans="1:50" s="388" customFormat="1" ht="15.75" hidden="1">
      <c r="A45" s="314" t="s">
        <v>569</v>
      </c>
      <c r="B45" s="314" t="s">
        <v>754</v>
      </c>
      <c r="C45" s="314" t="s">
        <v>755</v>
      </c>
      <c r="D45" s="387">
        <v>8322</v>
      </c>
      <c r="E45" s="387">
        <v>1</v>
      </c>
      <c r="F45" s="387" t="s">
        <v>778</v>
      </c>
      <c r="G45" s="543">
        <v>1</v>
      </c>
      <c r="H45" s="543">
        <v>3</v>
      </c>
      <c r="I45" s="543">
        <v>35.619999999999997</v>
      </c>
      <c r="J45" s="543">
        <v>5916.35</v>
      </c>
      <c r="K45" s="543">
        <v>12</v>
      </c>
      <c r="L45" s="533">
        <f t="shared" si="1"/>
        <v>709.96199999999999</v>
      </c>
      <c r="M45" s="543">
        <v>25</v>
      </c>
      <c r="N45" s="532">
        <f t="shared" si="2"/>
        <v>1479.0875000000001</v>
      </c>
      <c r="O45" s="533">
        <f t="shared" si="3"/>
        <v>8105.3994999999995</v>
      </c>
      <c r="P45" s="580">
        <f t="shared" si="4"/>
        <v>8105.3994999999995</v>
      </c>
      <c r="Q45" s="543">
        <f t="shared" si="5"/>
        <v>1479.0875000000001</v>
      </c>
      <c r="R45" s="543"/>
      <c r="S45" s="535">
        <f t="shared" si="6"/>
        <v>17749.050000000003</v>
      </c>
      <c r="T45" s="535">
        <f t="shared" si="7"/>
        <v>6567.1485000000002</v>
      </c>
      <c r="U45" s="535">
        <f t="shared" si="8"/>
        <v>35498.100000000006</v>
      </c>
      <c r="V45" s="535">
        <f t="shared" si="9"/>
        <v>13134.297</v>
      </c>
      <c r="W45" s="543">
        <v>8468.81</v>
      </c>
      <c r="X45" s="535">
        <f t="shared" si="10"/>
        <v>53247.15</v>
      </c>
      <c r="Y45" s="535">
        <f t="shared" si="11"/>
        <v>19701.445500000002</v>
      </c>
      <c r="Z45" s="544"/>
      <c r="AA45" s="543">
        <v>8836.81</v>
      </c>
      <c r="AB45" s="535">
        <f t="shared" si="12"/>
        <v>70996.200000000012</v>
      </c>
      <c r="AC45" s="577">
        <f t="shared" si="13"/>
        <v>26268.594000000001</v>
      </c>
      <c r="AD45" s="545">
        <v>0.04</v>
      </c>
      <c r="AE45" s="546">
        <f t="shared" si="27"/>
        <v>0.04</v>
      </c>
      <c r="AF45" s="547">
        <f t="shared" si="14"/>
        <v>709.9620000000001</v>
      </c>
      <c r="AG45" s="547">
        <f t="shared" si="15"/>
        <v>709.9620000000001</v>
      </c>
      <c r="AH45" s="547">
        <f t="shared" si="16"/>
        <v>2129.886</v>
      </c>
      <c r="AI45" s="547">
        <f t="shared" si="17"/>
        <v>2839.8480000000004</v>
      </c>
      <c r="AJ45" s="547">
        <f t="shared" si="28"/>
        <v>17039.088000000003</v>
      </c>
      <c r="AK45" s="547">
        <f t="shared" si="18"/>
        <v>34788.138000000006</v>
      </c>
      <c r="AL45" s="547">
        <f t="shared" si="19"/>
        <v>51117.264000000003</v>
      </c>
      <c r="AM45" s="547">
        <f t="shared" si="20"/>
        <v>68156.352000000014</v>
      </c>
      <c r="AN45" s="537">
        <f t="shared" si="21"/>
        <v>3808.3071642000004</v>
      </c>
      <c r="AO45" s="537">
        <f t="shared" si="22"/>
        <v>7713.0981642000015</v>
      </c>
      <c r="AP45" s="537">
        <f t="shared" si="23"/>
        <v>11424.9214926</v>
      </c>
      <c r="AQ45" s="537">
        <f t="shared" si="24"/>
        <v>15233.228656800002</v>
      </c>
      <c r="AR45" s="523">
        <f t="shared" si="25"/>
        <v>177490.50000000003</v>
      </c>
      <c r="AS45" s="523">
        <f t="shared" si="26"/>
        <v>14790.875000000002</v>
      </c>
      <c r="AT45" s="546"/>
      <c r="AU45" s="539">
        <v>8.4099999999999994E-2</v>
      </c>
      <c r="AV45" s="540">
        <v>0.22</v>
      </c>
      <c r="AW45" s="546"/>
      <c r="AX45" s="546"/>
    </row>
    <row r="46" spans="1:50" s="388" customFormat="1" ht="15.75" hidden="1">
      <c r="A46" s="314" t="s">
        <v>570</v>
      </c>
      <c r="B46" s="314" t="s">
        <v>754</v>
      </c>
      <c r="C46" s="314" t="s">
        <v>755</v>
      </c>
      <c r="D46" s="387">
        <v>8322</v>
      </c>
      <c r="E46" s="387">
        <v>5</v>
      </c>
      <c r="F46" s="387" t="s">
        <v>779</v>
      </c>
      <c r="G46" s="543">
        <v>5</v>
      </c>
      <c r="H46" s="543">
        <v>3</v>
      </c>
      <c r="I46" s="543">
        <v>36.64</v>
      </c>
      <c r="J46" s="543">
        <v>6084.45</v>
      </c>
      <c r="K46" s="543">
        <v>15</v>
      </c>
      <c r="L46" s="533">
        <f t="shared" si="1"/>
        <v>912.6674999999999</v>
      </c>
      <c r="M46" s="543">
        <v>25</v>
      </c>
      <c r="N46" s="532">
        <f t="shared" si="2"/>
        <v>1521.1125</v>
      </c>
      <c r="O46" s="533">
        <f t="shared" si="3"/>
        <v>8518.23</v>
      </c>
      <c r="P46" s="580">
        <f t="shared" si="4"/>
        <v>42591.149999999994</v>
      </c>
      <c r="Q46" s="543">
        <f t="shared" si="5"/>
        <v>7605.5625</v>
      </c>
      <c r="R46" s="543"/>
      <c r="S46" s="535">
        <f t="shared" si="6"/>
        <v>91266.75</v>
      </c>
      <c r="T46" s="535">
        <f t="shared" si="7"/>
        <v>36506.699999999997</v>
      </c>
      <c r="U46" s="535">
        <f t="shared" si="8"/>
        <v>182533.5</v>
      </c>
      <c r="V46" s="535">
        <f t="shared" si="9"/>
        <v>73013.399999999994</v>
      </c>
      <c r="W46" s="543">
        <v>44500.74</v>
      </c>
      <c r="X46" s="535">
        <f t="shared" si="10"/>
        <v>273800.25</v>
      </c>
      <c r="Y46" s="535">
        <f t="shared" si="11"/>
        <v>109520.09999999998</v>
      </c>
      <c r="Z46" s="544"/>
      <c r="AA46" s="543">
        <v>46434.47</v>
      </c>
      <c r="AB46" s="535">
        <f t="shared" si="12"/>
        <v>365067</v>
      </c>
      <c r="AC46" s="577">
        <f t="shared" si="13"/>
        <v>146026.79999999999</v>
      </c>
      <c r="AD46" s="545">
        <v>0.04</v>
      </c>
      <c r="AE46" s="546">
        <f t="shared" si="27"/>
        <v>0.2</v>
      </c>
      <c r="AF46" s="547">
        <f t="shared" si="14"/>
        <v>3650.67</v>
      </c>
      <c r="AG46" s="547">
        <f t="shared" si="15"/>
        <v>3650.67</v>
      </c>
      <c r="AH46" s="547">
        <f t="shared" si="16"/>
        <v>10952.010000000002</v>
      </c>
      <c r="AI46" s="547">
        <f t="shared" si="17"/>
        <v>14602.68</v>
      </c>
      <c r="AJ46" s="547">
        <f t="shared" si="28"/>
        <v>87616.08</v>
      </c>
      <c r="AK46" s="547">
        <f t="shared" si="18"/>
        <v>178882.83</v>
      </c>
      <c r="AL46" s="547">
        <f t="shared" si="19"/>
        <v>262848.24</v>
      </c>
      <c r="AM46" s="547">
        <f t="shared" si="20"/>
        <v>350464.32</v>
      </c>
      <c r="AN46" s="537">
        <f t="shared" si="21"/>
        <v>19582.558947000001</v>
      </c>
      <c r="AO46" s="537">
        <f t="shared" si="22"/>
        <v>39661.243947000003</v>
      </c>
      <c r="AP46" s="537">
        <f t="shared" si="23"/>
        <v>58747.676840999993</v>
      </c>
      <c r="AQ46" s="537">
        <f t="shared" si="24"/>
        <v>78330.235788000005</v>
      </c>
      <c r="AR46" s="523">
        <f t="shared" si="25"/>
        <v>912667.5</v>
      </c>
      <c r="AS46" s="523">
        <f t="shared" si="26"/>
        <v>15211.125</v>
      </c>
      <c r="AT46" s="546"/>
      <c r="AU46" s="539">
        <v>8.4099999999999994E-2</v>
      </c>
      <c r="AV46" s="540">
        <v>0.22</v>
      </c>
      <c r="AW46" s="546"/>
      <c r="AX46" s="546"/>
    </row>
    <row r="47" spans="1:50" s="393" customFormat="1" ht="15.75" hidden="1">
      <c r="A47" s="314" t="s">
        <v>780</v>
      </c>
      <c r="B47" s="314" t="s">
        <v>754</v>
      </c>
      <c r="C47" s="314" t="s">
        <v>755</v>
      </c>
      <c r="D47" s="387">
        <v>8322</v>
      </c>
      <c r="E47" s="387">
        <v>4</v>
      </c>
      <c r="F47" s="387" t="s">
        <v>781</v>
      </c>
      <c r="G47" s="543">
        <v>4</v>
      </c>
      <c r="H47" s="543">
        <v>3</v>
      </c>
      <c r="I47" s="543">
        <v>33.19</v>
      </c>
      <c r="J47" s="543">
        <v>5512.57</v>
      </c>
      <c r="K47" s="543">
        <v>30</v>
      </c>
      <c r="L47" s="533">
        <f t="shared" si="1"/>
        <v>1653.771</v>
      </c>
      <c r="M47" s="543">
        <v>25</v>
      </c>
      <c r="N47" s="532">
        <f t="shared" si="2"/>
        <v>1378.1424999999999</v>
      </c>
      <c r="O47" s="533">
        <f t="shared" si="3"/>
        <v>8544.4834999999985</v>
      </c>
      <c r="P47" s="580">
        <f t="shared" si="4"/>
        <v>34177.933999999994</v>
      </c>
      <c r="Q47" s="543">
        <f t="shared" si="5"/>
        <v>5512.57</v>
      </c>
      <c r="R47" s="543"/>
      <c r="S47" s="535">
        <f t="shared" si="6"/>
        <v>66150.84</v>
      </c>
      <c r="T47" s="535">
        <f t="shared" si="7"/>
        <v>36382.962</v>
      </c>
      <c r="U47" s="535">
        <f t="shared" si="8"/>
        <v>132301.68</v>
      </c>
      <c r="V47" s="535">
        <f t="shared" si="9"/>
        <v>72765.923999999999</v>
      </c>
      <c r="W47" s="543">
        <v>35710.32</v>
      </c>
      <c r="X47" s="535">
        <f t="shared" si="10"/>
        <v>198452.52</v>
      </c>
      <c r="Y47" s="535">
        <f t="shared" si="11"/>
        <v>109148.88599999998</v>
      </c>
      <c r="Z47" s="544"/>
      <c r="AA47" s="543">
        <v>37262.080000000002</v>
      </c>
      <c r="AB47" s="535">
        <f t="shared" si="12"/>
        <v>264603.36</v>
      </c>
      <c r="AC47" s="577">
        <f t="shared" si="13"/>
        <v>145531.848</v>
      </c>
      <c r="AD47" s="545">
        <v>0.04</v>
      </c>
      <c r="AE47" s="546">
        <f t="shared" si="27"/>
        <v>0.16</v>
      </c>
      <c r="AF47" s="547">
        <f t="shared" si="14"/>
        <v>2646.0335999999998</v>
      </c>
      <c r="AG47" s="547">
        <f t="shared" si="15"/>
        <v>2646.0335999999998</v>
      </c>
      <c r="AH47" s="547">
        <f t="shared" si="16"/>
        <v>7938.1008000000002</v>
      </c>
      <c r="AI47" s="547">
        <f t="shared" si="17"/>
        <v>10584.134399999999</v>
      </c>
      <c r="AJ47" s="547">
        <f t="shared" si="28"/>
        <v>63504.806399999994</v>
      </c>
      <c r="AK47" s="547">
        <f t="shared" si="18"/>
        <v>129655.6464</v>
      </c>
      <c r="AL47" s="547">
        <f t="shared" si="19"/>
        <v>190514.4192</v>
      </c>
      <c r="AM47" s="547">
        <f t="shared" si="20"/>
        <v>254019.22559999998</v>
      </c>
      <c r="AN47" s="537">
        <f t="shared" si="21"/>
        <v>14193.588833759999</v>
      </c>
      <c r="AO47" s="537">
        <f t="shared" si="22"/>
        <v>28746.77363376</v>
      </c>
      <c r="AP47" s="537">
        <f t="shared" si="23"/>
        <v>42580.766501279999</v>
      </c>
      <c r="AQ47" s="537">
        <f t="shared" si="24"/>
        <v>56774.355335039996</v>
      </c>
      <c r="AR47" s="523">
        <f t="shared" si="25"/>
        <v>661508.39999999991</v>
      </c>
      <c r="AS47" s="523">
        <f t="shared" si="26"/>
        <v>13781.424999999997</v>
      </c>
      <c r="AT47" s="546"/>
      <c r="AU47" s="539">
        <v>8.4099999999999994E-2</v>
      </c>
      <c r="AV47" s="540">
        <v>0.22</v>
      </c>
      <c r="AW47" s="546"/>
      <c r="AX47" s="546"/>
    </row>
    <row r="48" spans="1:50" s="388" customFormat="1" ht="15.75">
      <c r="A48" s="389" t="s">
        <v>782</v>
      </c>
      <c r="B48" s="389" t="s">
        <v>783</v>
      </c>
      <c r="C48" s="314" t="s">
        <v>755</v>
      </c>
      <c r="D48" s="394">
        <v>8322</v>
      </c>
      <c r="E48" s="394">
        <v>2</v>
      </c>
      <c r="F48" s="394" t="s">
        <v>781</v>
      </c>
      <c r="G48" s="548">
        <v>2</v>
      </c>
      <c r="H48" s="548">
        <v>2</v>
      </c>
      <c r="I48" s="548">
        <v>33.19</v>
      </c>
      <c r="J48" s="548">
        <v>5512.57</v>
      </c>
      <c r="K48" s="548">
        <v>30</v>
      </c>
      <c r="L48" s="533">
        <f t="shared" si="1"/>
        <v>1653.771</v>
      </c>
      <c r="M48" s="548">
        <v>25</v>
      </c>
      <c r="N48" s="532">
        <f t="shared" si="2"/>
        <v>1378.1424999999999</v>
      </c>
      <c r="O48" s="533">
        <f t="shared" si="3"/>
        <v>8544.4834999999985</v>
      </c>
      <c r="P48" s="580">
        <f t="shared" si="4"/>
        <v>17088.966999999997</v>
      </c>
      <c r="Q48" s="543">
        <f t="shared" si="5"/>
        <v>2756.2849999999999</v>
      </c>
      <c r="R48" s="548"/>
      <c r="S48" s="535">
        <f t="shared" si="6"/>
        <v>33075.42</v>
      </c>
      <c r="T48" s="535">
        <f t="shared" si="7"/>
        <v>18191.481</v>
      </c>
      <c r="U48" s="535">
        <f t="shared" si="8"/>
        <v>66150.84</v>
      </c>
      <c r="V48" s="535">
        <f t="shared" si="9"/>
        <v>36382.962</v>
      </c>
      <c r="W48" s="548">
        <f>26782.74/3*2</f>
        <v>17855.16</v>
      </c>
      <c r="X48" s="535">
        <f t="shared" si="10"/>
        <v>99226.26</v>
      </c>
      <c r="Y48" s="535">
        <f t="shared" si="11"/>
        <v>54574.442999999992</v>
      </c>
      <c r="Z48" s="544"/>
      <c r="AA48" s="548">
        <f>27946.56/3*2</f>
        <v>18631.04</v>
      </c>
      <c r="AB48" s="535">
        <f t="shared" si="12"/>
        <v>132301.68</v>
      </c>
      <c r="AC48" s="577">
        <f t="shared" si="13"/>
        <v>72765.923999999999</v>
      </c>
      <c r="AD48" s="545">
        <v>0.04</v>
      </c>
      <c r="AE48" s="546">
        <f t="shared" si="27"/>
        <v>0.08</v>
      </c>
      <c r="AF48" s="547">
        <f t="shared" si="14"/>
        <v>1323.0167999999999</v>
      </c>
      <c r="AG48" s="547">
        <f t="shared" si="15"/>
        <v>1323.0167999999999</v>
      </c>
      <c r="AH48" s="547">
        <f t="shared" si="16"/>
        <v>3969.0504000000001</v>
      </c>
      <c r="AI48" s="547">
        <f t="shared" si="17"/>
        <v>5292.0671999999995</v>
      </c>
      <c r="AJ48" s="547">
        <f t="shared" si="28"/>
        <v>31752.403199999997</v>
      </c>
      <c r="AK48" s="547">
        <f t="shared" si="18"/>
        <v>64827.823199999999</v>
      </c>
      <c r="AL48" s="547">
        <f t="shared" si="19"/>
        <v>95257.209600000002</v>
      </c>
      <c r="AM48" s="547">
        <f t="shared" si="20"/>
        <v>127009.61279999999</v>
      </c>
      <c r="AN48" s="537">
        <f t="shared" si="21"/>
        <v>7096.7944168799995</v>
      </c>
      <c r="AO48" s="537">
        <f t="shared" si="22"/>
        <v>14373.38681688</v>
      </c>
      <c r="AP48" s="537">
        <f t="shared" si="23"/>
        <v>21290.383250639999</v>
      </c>
      <c r="AQ48" s="537">
        <f t="shared" si="24"/>
        <v>28387.177667519998</v>
      </c>
      <c r="AR48" s="523">
        <f t="shared" si="25"/>
        <v>330754.19999999995</v>
      </c>
      <c r="AS48" s="523">
        <f t="shared" si="26"/>
        <v>13781.424999999997</v>
      </c>
      <c r="AT48" s="546"/>
      <c r="AU48" s="539">
        <v>8.4099999999999994E-2</v>
      </c>
      <c r="AV48" s="540">
        <v>0.22</v>
      </c>
      <c r="AW48" s="546"/>
      <c r="AX48" s="546"/>
    </row>
    <row r="49" spans="1:50" s="388" customFormat="1" ht="15.75" hidden="1">
      <c r="A49" s="389" t="s">
        <v>782</v>
      </c>
      <c r="B49" s="389" t="s">
        <v>784</v>
      </c>
      <c r="C49" s="314" t="s">
        <v>755</v>
      </c>
      <c r="D49" s="394">
        <v>8322</v>
      </c>
      <c r="E49" s="394">
        <v>1</v>
      </c>
      <c r="F49" s="394" t="s">
        <v>781</v>
      </c>
      <c r="G49" s="548">
        <v>1</v>
      </c>
      <c r="H49" s="548">
        <v>1</v>
      </c>
      <c r="I49" s="548">
        <v>33.19</v>
      </c>
      <c r="J49" s="548">
        <v>5512.57</v>
      </c>
      <c r="K49" s="548">
        <v>30</v>
      </c>
      <c r="L49" s="533">
        <f t="shared" si="1"/>
        <v>1653.771</v>
      </c>
      <c r="M49" s="548">
        <v>25</v>
      </c>
      <c r="N49" s="532">
        <f t="shared" si="2"/>
        <v>1378.1424999999999</v>
      </c>
      <c r="O49" s="533">
        <f t="shared" si="3"/>
        <v>8544.4834999999985</v>
      </c>
      <c r="P49" s="580">
        <f t="shared" si="4"/>
        <v>8544.4834999999985</v>
      </c>
      <c r="Q49" s="543">
        <f t="shared" si="5"/>
        <v>1378.1424999999999</v>
      </c>
      <c r="R49" s="548"/>
      <c r="S49" s="535">
        <f t="shared" si="6"/>
        <v>16537.71</v>
      </c>
      <c r="T49" s="535">
        <f t="shared" si="7"/>
        <v>9095.7404999999999</v>
      </c>
      <c r="U49" s="535">
        <f t="shared" si="8"/>
        <v>33075.42</v>
      </c>
      <c r="V49" s="535">
        <f t="shared" si="9"/>
        <v>18191.481</v>
      </c>
      <c r="W49" s="548">
        <f>W48/G48*G49</f>
        <v>8927.58</v>
      </c>
      <c r="X49" s="535">
        <f t="shared" si="10"/>
        <v>49613.13</v>
      </c>
      <c r="Y49" s="535">
        <f t="shared" si="11"/>
        <v>27287.221499999996</v>
      </c>
      <c r="Z49" s="544"/>
      <c r="AA49" s="548">
        <f>AA48/2</f>
        <v>9315.52</v>
      </c>
      <c r="AB49" s="535">
        <f t="shared" si="12"/>
        <v>66150.84</v>
      </c>
      <c r="AC49" s="577">
        <f t="shared" si="13"/>
        <v>36382.962</v>
      </c>
      <c r="AD49" s="545">
        <v>0.04</v>
      </c>
      <c r="AE49" s="546">
        <f t="shared" si="27"/>
        <v>0.04</v>
      </c>
      <c r="AF49" s="547">
        <f t="shared" si="14"/>
        <v>661.50839999999994</v>
      </c>
      <c r="AG49" s="547">
        <f t="shared" si="15"/>
        <v>661.50839999999994</v>
      </c>
      <c r="AH49" s="547">
        <f t="shared" si="16"/>
        <v>1984.5252</v>
      </c>
      <c r="AI49" s="547">
        <f t="shared" si="17"/>
        <v>2646.0335999999998</v>
      </c>
      <c r="AJ49" s="547">
        <f t="shared" si="28"/>
        <v>15876.201599999999</v>
      </c>
      <c r="AK49" s="547">
        <f t="shared" si="18"/>
        <v>32413.911599999999</v>
      </c>
      <c r="AL49" s="547">
        <f t="shared" si="19"/>
        <v>47628.604800000001</v>
      </c>
      <c r="AM49" s="547">
        <f t="shared" si="20"/>
        <v>63504.806399999994</v>
      </c>
      <c r="AN49" s="537">
        <f t="shared" si="21"/>
        <v>3548.3972084399998</v>
      </c>
      <c r="AO49" s="537">
        <f t="shared" si="22"/>
        <v>7186.69340844</v>
      </c>
      <c r="AP49" s="537">
        <f t="shared" si="23"/>
        <v>10645.19162532</v>
      </c>
      <c r="AQ49" s="537">
        <f t="shared" si="24"/>
        <v>14193.588833759999</v>
      </c>
      <c r="AR49" s="523">
        <f t="shared" si="25"/>
        <v>165377.09999999998</v>
      </c>
      <c r="AS49" s="523">
        <f t="shared" si="26"/>
        <v>13781.424999999997</v>
      </c>
      <c r="AT49" s="546"/>
      <c r="AU49" s="539">
        <v>8.4099999999999994E-2</v>
      </c>
      <c r="AV49" s="540">
        <v>0.22</v>
      </c>
      <c r="AW49" s="546"/>
      <c r="AX49" s="546"/>
    </row>
    <row r="50" spans="1:50" s="392" customFormat="1" ht="15.75">
      <c r="A50" s="390" t="s">
        <v>785</v>
      </c>
      <c r="B50" s="395" t="s">
        <v>783</v>
      </c>
      <c r="C50" s="390" t="s">
        <v>755</v>
      </c>
      <c r="D50" s="391">
        <v>8322</v>
      </c>
      <c r="E50" s="391">
        <v>1</v>
      </c>
      <c r="F50" s="391">
        <v>1.968</v>
      </c>
      <c r="G50" s="553">
        <v>1</v>
      </c>
      <c r="H50" s="553">
        <v>3</v>
      </c>
      <c r="I50" s="553">
        <v>34.409999999999997</v>
      </c>
      <c r="J50" s="553">
        <v>5715.33</v>
      </c>
      <c r="K50" s="553">
        <v>25</v>
      </c>
      <c r="L50" s="533">
        <f t="shared" si="1"/>
        <v>1428.8325</v>
      </c>
      <c r="M50" s="553">
        <v>25</v>
      </c>
      <c r="N50" s="532">
        <f t="shared" si="2"/>
        <v>1428.8325</v>
      </c>
      <c r="O50" s="533">
        <f t="shared" si="3"/>
        <v>8572.9950000000008</v>
      </c>
      <c r="P50" s="580">
        <f t="shared" si="4"/>
        <v>8572.9950000000008</v>
      </c>
      <c r="Q50" s="553">
        <f t="shared" si="5"/>
        <v>1428.8325</v>
      </c>
      <c r="R50" s="553"/>
      <c r="S50" s="535">
        <f t="shared" si="6"/>
        <v>17145.989999999998</v>
      </c>
      <c r="T50" s="535">
        <f t="shared" si="7"/>
        <v>8572.994999999999</v>
      </c>
      <c r="U50" s="535">
        <f t="shared" si="8"/>
        <v>34291.979999999996</v>
      </c>
      <c r="V50" s="535">
        <f t="shared" si="9"/>
        <v>17145.989999999998</v>
      </c>
      <c r="W50" s="553">
        <f>W49*I50/I49</f>
        <v>9255.7405182283819</v>
      </c>
      <c r="X50" s="535">
        <f t="shared" si="10"/>
        <v>51437.97</v>
      </c>
      <c r="Y50" s="535">
        <f t="shared" si="11"/>
        <v>25718.985000000001</v>
      </c>
      <c r="Z50" s="554"/>
      <c r="AA50" s="553">
        <f>AA49/W49*W50</f>
        <v>9657.940439891534</v>
      </c>
      <c r="AB50" s="535">
        <f t="shared" si="12"/>
        <v>68583.959999999992</v>
      </c>
      <c r="AC50" s="577">
        <f t="shared" si="13"/>
        <v>34291.979999999996</v>
      </c>
      <c r="AD50" s="555">
        <v>0.04</v>
      </c>
      <c r="AE50" s="556">
        <f t="shared" si="27"/>
        <v>0.04</v>
      </c>
      <c r="AF50" s="557">
        <f t="shared" si="14"/>
        <v>685.8395999999999</v>
      </c>
      <c r="AG50" s="557">
        <f t="shared" si="15"/>
        <v>685.8395999999999</v>
      </c>
      <c r="AH50" s="557">
        <f t="shared" si="16"/>
        <v>2057.5188000000003</v>
      </c>
      <c r="AI50" s="557">
        <f t="shared" si="17"/>
        <v>2743.3583999999996</v>
      </c>
      <c r="AJ50" s="557">
        <f t="shared" si="28"/>
        <v>16460.150399999999</v>
      </c>
      <c r="AK50" s="557">
        <f t="shared" si="18"/>
        <v>33606.140399999997</v>
      </c>
      <c r="AL50" s="557">
        <f t="shared" si="19"/>
        <v>49380.451200000003</v>
      </c>
      <c r="AM50" s="557">
        <f t="shared" si="20"/>
        <v>65840.601599999995</v>
      </c>
      <c r="AN50" s="537">
        <f t="shared" si="21"/>
        <v>3678.9121983599994</v>
      </c>
      <c r="AO50" s="537">
        <f t="shared" si="22"/>
        <v>7451.0299983599989</v>
      </c>
      <c r="AP50" s="537">
        <f t="shared" si="23"/>
        <v>11036.736595080001</v>
      </c>
      <c r="AQ50" s="537">
        <f t="shared" si="24"/>
        <v>14715.648793439997</v>
      </c>
      <c r="AR50" s="523">
        <f t="shared" si="25"/>
        <v>171459.9</v>
      </c>
      <c r="AS50" s="523">
        <f t="shared" si="26"/>
        <v>14288.324999999999</v>
      </c>
      <c r="AT50" s="556"/>
      <c r="AU50" s="539">
        <v>8.4099999999999994E-2</v>
      </c>
      <c r="AV50" s="540">
        <v>0.22</v>
      </c>
      <c r="AW50" s="556"/>
      <c r="AX50" s="556"/>
    </row>
    <row r="51" spans="1:50" s="388" customFormat="1" ht="15.75" hidden="1">
      <c r="A51" s="314" t="s">
        <v>572</v>
      </c>
      <c r="B51" s="314" t="s">
        <v>754</v>
      </c>
      <c r="C51" s="314" t="s">
        <v>755</v>
      </c>
      <c r="D51" s="387">
        <v>8322</v>
      </c>
      <c r="E51" s="387">
        <v>1</v>
      </c>
      <c r="F51" s="387" t="s">
        <v>786</v>
      </c>
      <c r="G51" s="543">
        <v>1</v>
      </c>
      <c r="H51" s="543">
        <v>3</v>
      </c>
      <c r="I51" s="543">
        <v>34.409999999999997</v>
      </c>
      <c r="J51" s="543">
        <v>5715.33</v>
      </c>
      <c r="K51" s="543">
        <v>25</v>
      </c>
      <c r="L51" s="533">
        <f t="shared" si="1"/>
        <v>1428.8325</v>
      </c>
      <c r="M51" s="543">
        <v>25</v>
      </c>
      <c r="N51" s="532">
        <f t="shared" si="2"/>
        <v>1428.8325</v>
      </c>
      <c r="O51" s="533">
        <f t="shared" si="3"/>
        <v>8572.9950000000008</v>
      </c>
      <c r="P51" s="580">
        <f t="shared" si="4"/>
        <v>8572.9950000000008</v>
      </c>
      <c r="Q51" s="543">
        <f t="shared" si="5"/>
        <v>1428.8325</v>
      </c>
      <c r="R51" s="543"/>
      <c r="S51" s="535">
        <f t="shared" si="6"/>
        <v>17145.989999999998</v>
      </c>
      <c r="T51" s="535">
        <f t="shared" si="7"/>
        <v>8572.994999999999</v>
      </c>
      <c r="U51" s="535">
        <f t="shared" si="8"/>
        <v>34291.979999999996</v>
      </c>
      <c r="V51" s="535">
        <f t="shared" si="9"/>
        <v>17145.989999999998</v>
      </c>
      <c r="W51" s="553">
        <f>W50*I51/I50</f>
        <v>9255.7405182283819</v>
      </c>
      <c r="X51" s="535">
        <f t="shared" si="10"/>
        <v>51437.97</v>
      </c>
      <c r="Y51" s="535">
        <f t="shared" si="11"/>
        <v>25718.985000000001</v>
      </c>
      <c r="Z51" s="544"/>
      <c r="AA51" s="553">
        <f>AA50*L51/L50</f>
        <v>9657.940439891534</v>
      </c>
      <c r="AB51" s="535">
        <f t="shared" si="12"/>
        <v>68583.959999999992</v>
      </c>
      <c r="AC51" s="577">
        <f t="shared" si="13"/>
        <v>34291.979999999996</v>
      </c>
      <c r="AD51" s="545">
        <v>0.04</v>
      </c>
      <c r="AE51" s="546">
        <f t="shared" si="27"/>
        <v>0.04</v>
      </c>
      <c r="AF51" s="547">
        <f t="shared" si="14"/>
        <v>685.8395999999999</v>
      </c>
      <c r="AG51" s="547">
        <f t="shared" si="15"/>
        <v>685.8395999999999</v>
      </c>
      <c r="AH51" s="547">
        <f t="shared" si="16"/>
        <v>2057.5188000000003</v>
      </c>
      <c r="AI51" s="547">
        <f t="shared" si="17"/>
        <v>2743.3583999999996</v>
      </c>
      <c r="AJ51" s="547">
        <f t="shared" si="28"/>
        <v>16460.150399999999</v>
      </c>
      <c r="AK51" s="547">
        <f t="shared" si="18"/>
        <v>33606.140399999997</v>
      </c>
      <c r="AL51" s="547">
        <f t="shared" si="19"/>
        <v>49380.451200000003</v>
      </c>
      <c r="AM51" s="547">
        <f t="shared" si="20"/>
        <v>65840.601599999995</v>
      </c>
      <c r="AN51" s="537">
        <f t="shared" si="21"/>
        <v>3678.9121983599994</v>
      </c>
      <c r="AO51" s="537">
        <f t="shared" si="22"/>
        <v>7451.0299983599989</v>
      </c>
      <c r="AP51" s="537">
        <f t="shared" si="23"/>
        <v>11036.736595080001</v>
      </c>
      <c r="AQ51" s="537">
        <f t="shared" si="24"/>
        <v>14715.648793439997</v>
      </c>
      <c r="AR51" s="523">
        <f t="shared" si="25"/>
        <v>171459.9</v>
      </c>
      <c r="AS51" s="523">
        <f t="shared" si="26"/>
        <v>14288.324999999999</v>
      </c>
      <c r="AT51" s="546"/>
      <c r="AU51" s="539">
        <v>8.4099999999999994E-2</v>
      </c>
      <c r="AV51" s="540">
        <v>0.22</v>
      </c>
      <c r="AW51" s="546"/>
      <c r="AX51" s="546"/>
    </row>
    <row r="52" spans="1:50" s="388" customFormat="1" ht="15.75" hidden="1">
      <c r="A52" s="314" t="s">
        <v>573</v>
      </c>
      <c r="B52" s="314" t="s">
        <v>754</v>
      </c>
      <c r="C52" s="314" t="s">
        <v>755</v>
      </c>
      <c r="D52" s="387">
        <v>8322</v>
      </c>
      <c r="E52" s="387">
        <v>1</v>
      </c>
      <c r="F52" s="387" t="s">
        <v>787</v>
      </c>
      <c r="G52" s="543">
        <v>1</v>
      </c>
      <c r="H52" s="543">
        <v>3</v>
      </c>
      <c r="I52" s="543">
        <v>34.409999999999997</v>
      </c>
      <c r="J52" s="543">
        <v>5715.33</v>
      </c>
      <c r="K52" s="543">
        <v>25</v>
      </c>
      <c r="L52" s="533">
        <f t="shared" si="1"/>
        <v>1428.8325</v>
      </c>
      <c r="M52" s="543">
        <v>25</v>
      </c>
      <c r="N52" s="532">
        <f t="shared" si="2"/>
        <v>1428.8325</v>
      </c>
      <c r="O52" s="533">
        <f t="shared" si="3"/>
        <v>8572.9950000000008</v>
      </c>
      <c r="P52" s="580">
        <f t="shared" si="4"/>
        <v>8572.9950000000008</v>
      </c>
      <c r="Q52" s="543">
        <f t="shared" si="5"/>
        <v>1428.8325</v>
      </c>
      <c r="R52" s="543"/>
      <c r="S52" s="535">
        <f t="shared" si="6"/>
        <v>17145.989999999998</v>
      </c>
      <c r="T52" s="535">
        <f t="shared" si="7"/>
        <v>8572.994999999999</v>
      </c>
      <c r="U52" s="535">
        <f t="shared" si="8"/>
        <v>34291.979999999996</v>
      </c>
      <c r="V52" s="535">
        <f t="shared" si="9"/>
        <v>17145.989999999998</v>
      </c>
      <c r="W52" s="553">
        <f>W51*I52/I51</f>
        <v>9255.7405182283819</v>
      </c>
      <c r="X52" s="535">
        <f t="shared" si="10"/>
        <v>51437.97</v>
      </c>
      <c r="Y52" s="535">
        <f t="shared" si="11"/>
        <v>25718.985000000001</v>
      </c>
      <c r="Z52" s="544"/>
      <c r="AA52" s="553">
        <f>AA51*L52/L51</f>
        <v>9657.940439891534</v>
      </c>
      <c r="AB52" s="535">
        <f t="shared" si="12"/>
        <v>68583.959999999992</v>
      </c>
      <c r="AC52" s="577">
        <f t="shared" si="13"/>
        <v>34291.979999999996</v>
      </c>
      <c r="AD52" s="545">
        <v>0.04</v>
      </c>
      <c r="AE52" s="546">
        <f t="shared" si="27"/>
        <v>0.04</v>
      </c>
      <c r="AF52" s="547">
        <f t="shared" si="14"/>
        <v>685.8395999999999</v>
      </c>
      <c r="AG52" s="547">
        <f t="shared" si="15"/>
        <v>685.8395999999999</v>
      </c>
      <c r="AH52" s="547">
        <f t="shared" si="16"/>
        <v>2057.5188000000003</v>
      </c>
      <c r="AI52" s="547">
        <f t="shared" si="17"/>
        <v>2743.3583999999996</v>
      </c>
      <c r="AJ52" s="547">
        <f t="shared" si="28"/>
        <v>16460.150399999999</v>
      </c>
      <c r="AK52" s="547">
        <f t="shared" si="18"/>
        <v>33606.140399999997</v>
      </c>
      <c r="AL52" s="547">
        <f t="shared" si="19"/>
        <v>49380.451200000003</v>
      </c>
      <c r="AM52" s="547">
        <f t="shared" si="20"/>
        <v>65840.601599999995</v>
      </c>
      <c r="AN52" s="537">
        <f t="shared" si="21"/>
        <v>3678.9121983599994</v>
      </c>
      <c r="AO52" s="537">
        <f t="shared" si="22"/>
        <v>7451.0299983599989</v>
      </c>
      <c r="AP52" s="537">
        <f t="shared" si="23"/>
        <v>11036.736595080001</v>
      </c>
      <c r="AQ52" s="537">
        <f t="shared" si="24"/>
        <v>14715.648793439997</v>
      </c>
      <c r="AR52" s="523">
        <f t="shared" si="25"/>
        <v>171459.9</v>
      </c>
      <c r="AS52" s="523">
        <f t="shared" si="26"/>
        <v>14288.324999999999</v>
      </c>
      <c r="AT52" s="546"/>
      <c r="AU52" s="539">
        <v>8.4099999999999994E-2</v>
      </c>
      <c r="AV52" s="540">
        <v>0.22</v>
      </c>
      <c r="AW52" s="546"/>
      <c r="AX52" s="546"/>
    </row>
    <row r="53" spans="1:50" s="388" customFormat="1" ht="15.75" hidden="1">
      <c r="A53" s="314" t="s">
        <v>574</v>
      </c>
      <c r="B53" s="314" t="s">
        <v>754</v>
      </c>
      <c r="C53" s="314" t="s">
        <v>755</v>
      </c>
      <c r="D53" s="387">
        <v>8322</v>
      </c>
      <c r="E53" s="387">
        <v>1</v>
      </c>
      <c r="F53" s="387" t="s">
        <v>788</v>
      </c>
      <c r="G53" s="543">
        <v>1</v>
      </c>
      <c r="H53" s="543">
        <v>3</v>
      </c>
      <c r="I53" s="543">
        <v>34.409999999999997</v>
      </c>
      <c r="J53" s="543">
        <v>5715.33</v>
      </c>
      <c r="K53" s="543">
        <v>25</v>
      </c>
      <c r="L53" s="533">
        <f t="shared" si="1"/>
        <v>1428.8325</v>
      </c>
      <c r="M53" s="543">
        <v>25</v>
      </c>
      <c r="N53" s="532">
        <f t="shared" si="2"/>
        <v>1428.8325</v>
      </c>
      <c r="O53" s="533">
        <f t="shared" si="3"/>
        <v>8572.9950000000008</v>
      </c>
      <c r="P53" s="580">
        <f t="shared" si="4"/>
        <v>8572.9950000000008</v>
      </c>
      <c r="Q53" s="543">
        <f t="shared" si="5"/>
        <v>1428.8325</v>
      </c>
      <c r="R53" s="543"/>
      <c r="S53" s="535">
        <f t="shared" si="6"/>
        <v>17145.989999999998</v>
      </c>
      <c r="T53" s="535">
        <f t="shared" si="7"/>
        <v>8572.994999999999</v>
      </c>
      <c r="U53" s="535">
        <f t="shared" si="8"/>
        <v>34291.979999999996</v>
      </c>
      <c r="V53" s="535">
        <f t="shared" si="9"/>
        <v>17145.989999999998</v>
      </c>
      <c r="W53" s="553">
        <f>W52*I53/I52</f>
        <v>9255.7405182283819</v>
      </c>
      <c r="X53" s="535">
        <f t="shared" si="10"/>
        <v>51437.97</v>
      </c>
      <c r="Y53" s="535">
        <f t="shared" si="11"/>
        <v>25718.985000000001</v>
      </c>
      <c r="Z53" s="544"/>
      <c r="AA53" s="553">
        <f>AA52*L53/L52</f>
        <v>9657.940439891534</v>
      </c>
      <c r="AB53" s="535">
        <f t="shared" si="12"/>
        <v>68583.959999999992</v>
      </c>
      <c r="AC53" s="577">
        <f t="shared" si="13"/>
        <v>34291.979999999996</v>
      </c>
      <c r="AD53" s="545">
        <v>0.04</v>
      </c>
      <c r="AE53" s="546">
        <f t="shared" si="27"/>
        <v>0.04</v>
      </c>
      <c r="AF53" s="547">
        <f t="shared" si="14"/>
        <v>685.8395999999999</v>
      </c>
      <c r="AG53" s="547">
        <f t="shared" si="15"/>
        <v>685.8395999999999</v>
      </c>
      <c r="AH53" s="547">
        <f t="shared" si="16"/>
        <v>2057.5188000000003</v>
      </c>
      <c r="AI53" s="547">
        <f t="shared" si="17"/>
        <v>2743.3583999999996</v>
      </c>
      <c r="AJ53" s="547">
        <f t="shared" si="28"/>
        <v>16460.150399999999</v>
      </c>
      <c r="AK53" s="547">
        <f t="shared" si="18"/>
        <v>33606.140399999997</v>
      </c>
      <c r="AL53" s="547">
        <f t="shared" si="19"/>
        <v>49380.451200000003</v>
      </c>
      <c r="AM53" s="547">
        <f t="shared" si="20"/>
        <v>65840.601599999995</v>
      </c>
      <c r="AN53" s="537">
        <f t="shared" si="21"/>
        <v>3678.9121983599994</v>
      </c>
      <c r="AO53" s="537">
        <f t="shared" si="22"/>
        <v>7451.0299983599989</v>
      </c>
      <c r="AP53" s="537">
        <f t="shared" si="23"/>
        <v>11036.736595080001</v>
      </c>
      <c r="AQ53" s="537">
        <f t="shared" si="24"/>
        <v>14715.648793439997</v>
      </c>
      <c r="AR53" s="523">
        <f t="shared" si="25"/>
        <v>171459.9</v>
      </c>
      <c r="AS53" s="523">
        <f t="shared" si="26"/>
        <v>14288.324999999999</v>
      </c>
      <c r="AT53" s="546"/>
      <c r="AU53" s="539">
        <v>8.4099999999999994E-2</v>
      </c>
      <c r="AV53" s="540">
        <v>0.22</v>
      </c>
      <c r="AW53" s="546"/>
      <c r="AX53" s="546"/>
    </row>
    <row r="54" spans="1:50" s="388" customFormat="1" ht="15.75" hidden="1">
      <c r="A54" s="314" t="s">
        <v>575</v>
      </c>
      <c r="B54" s="314" t="s">
        <v>754</v>
      </c>
      <c r="C54" s="314" t="s">
        <v>755</v>
      </c>
      <c r="D54" s="387">
        <v>8322</v>
      </c>
      <c r="E54" s="387">
        <v>1</v>
      </c>
      <c r="F54" s="387" t="s">
        <v>789</v>
      </c>
      <c r="G54" s="543">
        <v>1</v>
      </c>
      <c r="H54" s="543">
        <v>3</v>
      </c>
      <c r="I54" s="543">
        <v>34.409999999999997</v>
      </c>
      <c r="J54" s="543">
        <v>5715.33</v>
      </c>
      <c r="K54" s="543">
        <v>50</v>
      </c>
      <c r="L54" s="533">
        <f t="shared" si="1"/>
        <v>2857.665</v>
      </c>
      <c r="M54" s="543">
        <v>25</v>
      </c>
      <c r="N54" s="532">
        <f t="shared" si="2"/>
        <v>1428.8325</v>
      </c>
      <c r="O54" s="533">
        <f t="shared" si="3"/>
        <v>10001.827499999999</v>
      </c>
      <c r="P54" s="580">
        <f t="shared" si="4"/>
        <v>10001.827499999999</v>
      </c>
      <c r="Q54" s="543">
        <f t="shared" si="5"/>
        <v>1428.8325</v>
      </c>
      <c r="R54" s="543"/>
      <c r="S54" s="535">
        <f t="shared" si="6"/>
        <v>17145.989999999998</v>
      </c>
      <c r="T54" s="535">
        <f t="shared" si="7"/>
        <v>12859.492499999998</v>
      </c>
      <c r="U54" s="535">
        <f t="shared" si="8"/>
        <v>34291.979999999996</v>
      </c>
      <c r="V54" s="535">
        <f t="shared" si="9"/>
        <v>25718.984999999997</v>
      </c>
      <c r="W54" s="543">
        <v>10450.26</v>
      </c>
      <c r="X54" s="535">
        <f t="shared" si="10"/>
        <v>51437.97</v>
      </c>
      <c r="Y54" s="535">
        <f t="shared" si="11"/>
        <v>38578.477499999994</v>
      </c>
      <c r="Z54" s="544"/>
      <c r="AA54" s="543">
        <v>10904.36</v>
      </c>
      <c r="AB54" s="535">
        <f t="shared" si="12"/>
        <v>68583.959999999992</v>
      </c>
      <c r="AC54" s="577">
        <f t="shared" si="13"/>
        <v>51437.969999999994</v>
      </c>
      <c r="AD54" s="545">
        <v>0.04</v>
      </c>
      <c r="AE54" s="546">
        <f t="shared" si="27"/>
        <v>0.04</v>
      </c>
      <c r="AF54" s="547">
        <f t="shared" si="14"/>
        <v>685.8395999999999</v>
      </c>
      <c r="AG54" s="547">
        <f t="shared" si="15"/>
        <v>685.8395999999999</v>
      </c>
      <c r="AH54" s="547">
        <f t="shared" si="16"/>
        <v>2057.5188000000003</v>
      </c>
      <c r="AI54" s="547">
        <f t="shared" si="17"/>
        <v>2743.3583999999996</v>
      </c>
      <c r="AJ54" s="547">
        <f t="shared" si="28"/>
        <v>16460.150399999999</v>
      </c>
      <c r="AK54" s="547">
        <f t="shared" si="18"/>
        <v>33606.140399999997</v>
      </c>
      <c r="AL54" s="547">
        <f t="shared" si="19"/>
        <v>49380.451200000003</v>
      </c>
      <c r="AM54" s="547">
        <f t="shared" si="20"/>
        <v>65840.601599999995</v>
      </c>
      <c r="AN54" s="537">
        <f t="shared" si="21"/>
        <v>3678.9121983599994</v>
      </c>
      <c r="AO54" s="537">
        <f t="shared" si="22"/>
        <v>7451.0299983599989</v>
      </c>
      <c r="AP54" s="537">
        <f t="shared" si="23"/>
        <v>11036.736595080001</v>
      </c>
      <c r="AQ54" s="537">
        <f t="shared" si="24"/>
        <v>14715.648793439997</v>
      </c>
      <c r="AR54" s="523">
        <f t="shared" si="25"/>
        <v>171459.9</v>
      </c>
      <c r="AS54" s="523">
        <f t="shared" si="26"/>
        <v>14288.324999999999</v>
      </c>
      <c r="AT54" s="546"/>
      <c r="AU54" s="539">
        <v>8.4099999999999994E-2</v>
      </c>
      <c r="AV54" s="540">
        <v>0.22</v>
      </c>
      <c r="AW54" s="546"/>
      <c r="AX54" s="546"/>
    </row>
    <row r="55" spans="1:50" s="388" customFormat="1" ht="15.75" hidden="1">
      <c r="A55" s="314" t="s">
        <v>576</v>
      </c>
      <c r="B55" s="314" t="s">
        <v>754</v>
      </c>
      <c r="C55" s="314" t="s">
        <v>755</v>
      </c>
      <c r="D55" s="387">
        <v>8322</v>
      </c>
      <c r="E55" s="387">
        <v>1</v>
      </c>
      <c r="F55" s="387" t="s">
        <v>790</v>
      </c>
      <c r="G55" s="543">
        <v>1</v>
      </c>
      <c r="H55" s="543">
        <v>3</v>
      </c>
      <c r="I55" s="543">
        <v>34.409999999999997</v>
      </c>
      <c r="J55" s="543">
        <v>5715.33</v>
      </c>
      <c r="K55" s="543">
        <v>25</v>
      </c>
      <c r="L55" s="533">
        <f t="shared" si="1"/>
        <v>1428.8325</v>
      </c>
      <c r="M55" s="543">
        <v>25</v>
      </c>
      <c r="N55" s="532">
        <f t="shared" si="2"/>
        <v>1428.8325</v>
      </c>
      <c r="O55" s="533">
        <f t="shared" si="3"/>
        <v>8572.9950000000008</v>
      </c>
      <c r="P55" s="580">
        <f t="shared" si="4"/>
        <v>8572.9950000000008</v>
      </c>
      <c r="Q55" s="543">
        <f t="shared" si="5"/>
        <v>1428.8325</v>
      </c>
      <c r="R55" s="543"/>
      <c r="S55" s="535">
        <f t="shared" si="6"/>
        <v>17145.989999999998</v>
      </c>
      <c r="T55" s="535">
        <f t="shared" si="7"/>
        <v>8572.994999999999</v>
      </c>
      <c r="U55" s="535">
        <f t="shared" si="8"/>
        <v>34291.979999999996</v>
      </c>
      <c r="V55" s="535">
        <f t="shared" si="9"/>
        <v>17145.989999999998</v>
      </c>
      <c r="W55" s="553">
        <v>9255.7405182283819</v>
      </c>
      <c r="X55" s="535">
        <f t="shared" si="10"/>
        <v>51437.97</v>
      </c>
      <c r="Y55" s="535">
        <f t="shared" si="11"/>
        <v>25718.985000000001</v>
      </c>
      <c r="Z55" s="544"/>
      <c r="AA55" s="543">
        <v>9657.940439891534</v>
      </c>
      <c r="AB55" s="535">
        <f t="shared" si="12"/>
        <v>68583.959999999992</v>
      </c>
      <c r="AC55" s="577">
        <f t="shared" si="13"/>
        <v>34291.979999999996</v>
      </c>
      <c r="AD55" s="545">
        <v>0.04</v>
      </c>
      <c r="AE55" s="546">
        <f t="shared" si="27"/>
        <v>0.04</v>
      </c>
      <c r="AF55" s="547">
        <f t="shared" si="14"/>
        <v>685.8395999999999</v>
      </c>
      <c r="AG55" s="547">
        <f t="shared" si="15"/>
        <v>685.8395999999999</v>
      </c>
      <c r="AH55" s="547">
        <f t="shared" si="16"/>
        <v>2057.5188000000003</v>
      </c>
      <c r="AI55" s="547">
        <f t="shared" si="17"/>
        <v>2743.3583999999996</v>
      </c>
      <c r="AJ55" s="547">
        <f t="shared" si="28"/>
        <v>16460.150399999999</v>
      </c>
      <c r="AK55" s="547">
        <f t="shared" si="18"/>
        <v>33606.140399999997</v>
      </c>
      <c r="AL55" s="547">
        <f t="shared" si="19"/>
        <v>49380.451200000003</v>
      </c>
      <c r="AM55" s="547">
        <f t="shared" si="20"/>
        <v>65840.601599999995</v>
      </c>
      <c r="AN55" s="537">
        <f t="shared" si="21"/>
        <v>3678.9121983599994</v>
      </c>
      <c r="AO55" s="537">
        <f t="shared" si="22"/>
        <v>7451.0299983599989</v>
      </c>
      <c r="AP55" s="537">
        <f t="shared" si="23"/>
        <v>11036.736595080001</v>
      </c>
      <c r="AQ55" s="537">
        <f t="shared" si="24"/>
        <v>14715.648793439997</v>
      </c>
      <c r="AR55" s="523">
        <f t="shared" si="25"/>
        <v>171459.9</v>
      </c>
      <c r="AS55" s="523">
        <f t="shared" si="26"/>
        <v>14288.324999999999</v>
      </c>
      <c r="AT55" s="546"/>
      <c r="AU55" s="539">
        <v>8.4099999999999994E-2</v>
      </c>
      <c r="AV55" s="540">
        <v>0.22</v>
      </c>
      <c r="AW55" s="546"/>
      <c r="AX55" s="546"/>
    </row>
    <row r="56" spans="1:50" s="388" customFormat="1" ht="15.75" hidden="1">
      <c r="A56" s="314" t="s">
        <v>577</v>
      </c>
      <c r="B56" s="314" t="s">
        <v>754</v>
      </c>
      <c r="C56" s="314" t="s">
        <v>755</v>
      </c>
      <c r="D56" s="387">
        <v>8322</v>
      </c>
      <c r="E56" s="387">
        <v>1</v>
      </c>
      <c r="F56" s="387" t="s">
        <v>791</v>
      </c>
      <c r="G56" s="543">
        <v>1</v>
      </c>
      <c r="H56" s="543">
        <v>3</v>
      </c>
      <c r="I56" s="543">
        <v>33.19</v>
      </c>
      <c r="J56" s="543">
        <v>5512.57</v>
      </c>
      <c r="K56" s="543">
        <v>25</v>
      </c>
      <c r="L56" s="533">
        <f t="shared" si="1"/>
        <v>1378.1424999999999</v>
      </c>
      <c r="M56" s="543">
        <v>25</v>
      </c>
      <c r="N56" s="532">
        <f t="shared" si="2"/>
        <v>1378.1424999999999</v>
      </c>
      <c r="O56" s="533">
        <f t="shared" si="3"/>
        <v>8268.8549999999996</v>
      </c>
      <c r="P56" s="580">
        <f t="shared" si="4"/>
        <v>8268.8549999999996</v>
      </c>
      <c r="Q56" s="543">
        <f t="shared" si="5"/>
        <v>1378.1424999999999</v>
      </c>
      <c r="R56" s="543"/>
      <c r="S56" s="535">
        <f t="shared" si="6"/>
        <v>16537.71</v>
      </c>
      <c r="T56" s="535">
        <f t="shared" si="7"/>
        <v>8268.8549999999996</v>
      </c>
      <c r="U56" s="535">
        <f t="shared" si="8"/>
        <v>33075.42</v>
      </c>
      <c r="V56" s="535">
        <f t="shared" si="9"/>
        <v>16537.71</v>
      </c>
      <c r="W56" s="543">
        <v>8639.59</v>
      </c>
      <c r="X56" s="535">
        <f t="shared" si="10"/>
        <v>49613.13</v>
      </c>
      <c r="Y56" s="535">
        <f t="shared" si="11"/>
        <v>24806.564999999999</v>
      </c>
      <c r="Z56" s="544"/>
      <c r="AA56" s="543">
        <v>9015.02</v>
      </c>
      <c r="AB56" s="535">
        <f t="shared" si="12"/>
        <v>66150.84</v>
      </c>
      <c r="AC56" s="577">
        <f t="shared" si="13"/>
        <v>33075.42</v>
      </c>
      <c r="AD56" s="545">
        <v>0.04</v>
      </c>
      <c r="AE56" s="546">
        <f t="shared" si="27"/>
        <v>0.04</v>
      </c>
      <c r="AF56" s="547">
        <f t="shared" si="14"/>
        <v>661.50839999999994</v>
      </c>
      <c r="AG56" s="547">
        <f t="shared" si="15"/>
        <v>661.50839999999994</v>
      </c>
      <c r="AH56" s="547">
        <f t="shared" si="16"/>
        <v>1984.5252</v>
      </c>
      <c r="AI56" s="547">
        <f t="shared" si="17"/>
        <v>2646.0335999999998</v>
      </c>
      <c r="AJ56" s="547">
        <f t="shared" si="28"/>
        <v>15876.201599999999</v>
      </c>
      <c r="AK56" s="547">
        <f t="shared" si="18"/>
        <v>32413.911599999999</v>
      </c>
      <c r="AL56" s="547">
        <f t="shared" si="19"/>
        <v>47628.604800000001</v>
      </c>
      <c r="AM56" s="547">
        <f t="shared" si="20"/>
        <v>63504.806399999994</v>
      </c>
      <c r="AN56" s="537">
        <f t="shared" si="21"/>
        <v>3548.3972084399998</v>
      </c>
      <c r="AO56" s="537">
        <f t="shared" si="22"/>
        <v>7186.69340844</v>
      </c>
      <c r="AP56" s="537">
        <f t="shared" si="23"/>
        <v>10645.19162532</v>
      </c>
      <c r="AQ56" s="537">
        <f t="shared" si="24"/>
        <v>14193.588833759999</v>
      </c>
      <c r="AR56" s="523">
        <f t="shared" si="25"/>
        <v>165377.09999999998</v>
      </c>
      <c r="AS56" s="523">
        <f t="shared" si="26"/>
        <v>13781.424999999997</v>
      </c>
      <c r="AT56" s="546"/>
      <c r="AU56" s="539">
        <v>8.4099999999999994E-2</v>
      </c>
      <c r="AV56" s="540">
        <v>0.22</v>
      </c>
      <c r="AW56" s="546"/>
      <c r="AX56" s="546"/>
    </row>
    <row r="57" spans="1:50" s="388" customFormat="1" ht="15.75" hidden="1">
      <c r="A57" s="314" t="s">
        <v>578</v>
      </c>
      <c r="B57" s="314" t="s">
        <v>754</v>
      </c>
      <c r="C57" s="314" t="s">
        <v>755</v>
      </c>
      <c r="D57" s="387">
        <v>8322</v>
      </c>
      <c r="E57" s="387">
        <v>1</v>
      </c>
      <c r="F57" s="387" t="s">
        <v>764</v>
      </c>
      <c r="G57" s="543">
        <v>1</v>
      </c>
      <c r="H57" s="543">
        <v>3</v>
      </c>
      <c r="I57" s="543">
        <v>47.36</v>
      </c>
      <c r="J57" s="543">
        <v>7865.94</v>
      </c>
      <c r="K57" s="543">
        <v>12</v>
      </c>
      <c r="L57" s="533">
        <f t="shared" si="1"/>
        <v>943.91279999999995</v>
      </c>
      <c r="M57" s="543">
        <v>25</v>
      </c>
      <c r="N57" s="532">
        <f t="shared" si="2"/>
        <v>1966.4849999999999</v>
      </c>
      <c r="O57" s="533">
        <f t="shared" si="3"/>
        <v>10776.337799999999</v>
      </c>
      <c r="P57" s="580">
        <f t="shared" si="4"/>
        <v>10776.337799999999</v>
      </c>
      <c r="Q57" s="543">
        <f t="shared" si="5"/>
        <v>1966.4849999999999</v>
      </c>
      <c r="R57" s="543"/>
      <c r="S57" s="535">
        <f t="shared" si="6"/>
        <v>23597.82</v>
      </c>
      <c r="T57" s="535">
        <f t="shared" si="7"/>
        <v>8731.1934000000001</v>
      </c>
      <c r="U57" s="535">
        <f t="shared" si="8"/>
        <v>47195.64</v>
      </c>
      <c r="V57" s="535">
        <f t="shared" si="9"/>
        <v>17462.3868</v>
      </c>
      <c r="W57" s="543">
        <v>11259.5</v>
      </c>
      <c r="X57" s="535">
        <f t="shared" si="10"/>
        <v>70793.459999999992</v>
      </c>
      <c r="Y57" s="535">
        <f t="shared" si="11"/>
        <v>26193.580199999997</v>
      </c>
      <c r="Z57" s="544"/>
      <c r="AA57" s="543">
        <v>11748.77</v>
      </c>
      <c r="AB57" s="535">
        <f t="shared" si="12"/>
        <v>94391.28</v>
      </c>
      <c r="AC57" s="577">
        <f t="shared" si="13"/>
        <v>34924.7736</v>
      </c>
      <c r="AD57" s="545">
        <v>0.04</v>
      </c>
      <c r="AE57" s="546">
        <f t="shared" si="27"/>
        <v>0.04</v>
      </c>
      <c r="AF57" s="547">
        <f t="shared" si="14"/>
        <v>943.91280000000006</v>
      </c>
      <c r="AG57" s="547">
        <f t="shared" si="15"/>
        <v>943.91280000000006</v>
      </c>
      <c r="AH57" s="547">
        <f t="shared" si="16"/>
        <v>2831.7383999999997</v>
      </c>
      <c r="AI57" s="547">
        <f t="shared" si="17"/>
        <v>3775.6512000000002</v>
      </c>
      <c r="AJ57" s="547">
        <f t="shared" si="28"/>
        <v>22653.907200000001</v>
      </c>
      <c r="AK57" s="547">
        <f t="shared" si="18"/>
        <v>46251.727200000001</v>
      </c>
      <c r="AL57" s="547">
        <f t="shared" si="19"/>
        <v>67961.72159999999</v>
      </c>
      <c r="AM57" s="547">
        <f t="shared" si="20"/>
        <v>90615.628800000006</v>
      </c>
      <c r="AN57" s="537">
        <f t="shared" si="21"/>
        <v>5063.2426504800005</v>
      </c>
      <c r="AO57" s="537">
        <f t="shared" si="22"/>
        <v>10254.763050480002</v>
      </c>
      <c r="AP57" s="537">
        <f t="shared" si="23"/>
        <v>15189.727951439998</v>
      </c>
      <c r="AQ57" s="537">
        <f t="shared" si="24"/>
        <v>20252.970601920002</v>
      </c>
      <c r="AR57" s="523">
        <f t="shared" si="25"/>
        <v>235978.19999999998</v>
      </c>
      <c r="AS57" s="523">
        <f t="shared" si="26"/>
        <v>19664.849999999999</v>
      </c>
      <c r="AT57" s="546"/>
      <c r="AU57" s="539">
        <v>8.4099999999999994E-2</v>
      </c>
      <c r="AV57" s="540">
        <v>0.22</v>
      </c>
      <c r="AW57" s="546"/>
      <c r="AX57" s="546"/>
    </row>
    <row r="58" spans="1:50" s="388" customFormat="1" ht="15.75" hidden="1">
      <c r="A58" s="314" t="s">
        <v>578</v>
      </c>
      <c r="B58" s="314" t="s">
        <v>754</v>
      </c>
      <c r="C58" s="314" t="s">
        <v>755</v>
      </c>
      <c r="D58" s="387">
        <v>8322</v>
      </c>
      <c r="E58" s="387">
        <v>1</v>
      </c>
      <c r="F58" s="387" t="s">
        <v>792</v>
      </c>
      <c r="G58" s="543">
        <v>1</v>
      </c>
      <c r="H58" s="543">
        <v>3</v>
      </c>
      <c r="I58" s="543">
        <v>51.21</v>
      </c>
      <c r="J58" s="543">
        <v>8505.41</v>
      </c>
      <c r="K58" s="543">
        <v>12</v>
      </c>
      <c r="L58" s="533">
        <f t="shared" si="1"/>
        <v>1020.6492</v>
      </c>
      <c r="M58" s="543">
        <v>25</v>
      </c>
      <c r="N58" s="532">
        <f t="shared" si="2"/>
        <v>2126.3525</v>
      </c>
      <c r="O58" s="533">
        <f t="shared" si="3"/>
        <v>11652.411700000001</v>
      </c>
      <c r="P58" s="580">
        <f t="shared" si="4"/>
        <v>11652.411700000001</v>
      </c>
      <c r="Q58" s="543">
        <f t="shared" si="5"/>
        <v>2126.3525</v>
      </c>
      <c r="R58" s="543"/>
      <c r="S58" s="535">
        <f t="shared" si="6"/>
        <v>25516.23</v>
      </c>
      <c r="T58" s="535">
        <f t="shared" si="7"/>
        <v>9441.0050999999985</v>
      </c>
      <c r="U58" s="535">
        <f t="shared" si="8"/>
        <v>51032.46</v>
      </c>
      <c r="V58" s="535">
        <f t="shared" si="9"/>
        <v>18882.010199999997</v>
      </c>
      <c r="W58" s="543">
        <v>12174.85</v>
      </c>
      <c r="X58" s="535">
        <f t="shared" si="10"/>
        <v>76548.69</v>
      </c>
      <c r="Y58" s="535">
        <f t="shared" si="11"/>
        <v>28323.015299999999</v>
      </c>
      <c r="Z58" s="544"/>
      <c r="AA58" s="543">
        <v>12703.89</v>
      </c>
      <c r="AB58" s="535">
        <f t="shared" si="12"/>
        <v>102064.92</v>
      </c>
      <c r="AC58" s="577">
        <f t="shared" si="13"/>
        <v>37764.020399999994</v>
      </c>
      <c r="AD58" s="545">
        <v>0.04</v>
      </c>
      <c r="AE58" s="546">
        <f t="shared" si="27"/>
        <v>0.04</v>
      </c>
      <c r="AF58" s="547">
        <f t="shared" si="14"/>
        <v>1020.6492</v>
      </c>
      <c r="AG58" s="547">
        <f t="shared" si="15"/>
        <v>1020.6492</v>
      </c>
      <c r="AH58" s="547">
        <f t="shared" si="16"/>
        <v>3061.9476</v>
      </c>
      <c r="AI58" s="547">
        <f t="shared" si="17"/>
        <v>4082.5967999999998</v>
      </c>
      <c r="AJ58" s="547">
        <f t="shared" si="28"/>
        <v>24495.5808</v>
      </c>
      <c r="AK58" s="547">
        <f t="shared" si="18"/>
        <v>50011.810799999999</v>
      </c>
      <c r="AL58" s="547">
        <f t="shared" si="19"/>
        <v>73486.742400000003</v>
      </c>
      <c r="AM58" s="547">
        <f t="shared" si="20"/>
        <v>97982.323199999999</v>
      </c>
      <c r="AN58" s="537">
        <f t="shared" si="21"/>
        <v>5474.86437372</v>
      </c>
      <c r="AO58" s="537">
        <f t="shared" si="22"/>
        <v>11088.434973719999</v>
      </c>
      <c r="AP58" s="537">
        <f t="shared" si="23"/>
        <v>16424.59312116</v>
      </c>
      <c r="AQ58" s="537">
        <f t="shared" si="24"/>
        <v>21899.45749488</v>
      </c>
      <c r="AR58" s="523">
        <f t="shared" si="25"/>
        <v>255162.3</v>
      </c>
      <c r="AS58" s="523">
        <f t="shared" si="26"/>
        <v>21263.524999999998</v>
      </c>
      <c r="AT58" s="546"/>
      <c r="AU58" s="539">
        <v>8.4099999999999994E-2</v>
      </c>
      <c r="AV58" s="540">
        <v>0.22</v>
      </c>
      <c r="AW58" s="546"/>
      <c r="AX58" s="546"/>
    </row>
    <row r="59" spans="1:50" s="388" customFormat="1" ht="15.75" hidden="1">
      <c r="A59" s="314" t="s">
        <v>935</v>
      </c>
      <c r="B59" s="314" t="s">
        <v>754</v>
      </c>
      <c r="C59" s="314" t="s">
        <v>755</v>
      </c>
      <c r="D59" s="387">
        <v>8322</v>
      </c>
      <c r="E59" s="387">
        <v>1</v>
      </c>
      <c r="F59" s="387" t="s">
        <v>936</v>
      </c>
      <c r="G59" s="543">
        <v>1</v>
      </c>
      <c r="H59" s="543">
        <v>3</v>
      </c>
      <c r="I59" s="543">
        <v>44.94</v>
      </c>
      <c r="J59" s="543">
        <f>J58/I58*I59</f>
        <v>7464.0329115407148</v>
      </c>
      <c r="K59" s="543">
        <v>12</v>
      </c>
      <c r="L59" s="533">
        <f t="shared" si="1"/>
        <v>895.68394938488575</v>
      </c>
      <c r="M59" s="543">
        <v>25</v>
      </c>
      <c r="N59" s="532">
        <f t="shared" si="2"/>
        <v>1866.0082278851787</v>
      </c>
      <c r="O59" s="533">
        <f t="shared" si="3"/>
        <v>10225.725088810779</v>
      </c>
      <c r="P59" s="580">
        <f t="shared" si="4"/>
        <v>10225.725088810779</v>
      </c>
      <c r="Q59" s="543">
        <f t="shared" si="5"/>
        <v>1866.0082278851787</v>
      </c>
      <c r="R59" s="543"/>
      <c r="S59" s="535">
        <f t="shared" si="6"/>
        <v>22392.098734622145</v>
      </c>
      <c r="T59" s="535">
        <f t="shared" si="7"/>
        <v>8285.076531810193</v>
      </c>
      <c r="U59" s="535">
        <f t="shared" si="8"/>
        <v>44784.197469244289</v>
      </c>
      <c r="V59" s="535">
        <f t="shared" si="9"/>
        <v>16570.153063620386</v>
      </c>
      <c r="W59" s="543">
        <v>13023.56</v>
      </c>
      <c r="X59" s="535">
        <f t="shared" si="10"/>
        <v>67176.296203866426</v>
      </c>
      <c r="Y59" s="535">
        <f t="shared" si="11"/>
        <v>24855.229595430581</v>
      </c>
      <c r="Z59" s="544"/>
      <c r="AA59" s="543">
        <v>13589.49</v>
      </c>
      <c r="AB59" s="535">
        <f t="shared" si="12"/>
        <v>89568.394938488578</v>
      </c>
      <c r="AC59" s="577">
        <f t="shared" si="13"/>
        <v>33140.306127240772</v>
      </c>
      <c r="AD59" s="545">
        <v>0.04</v>
      </c>
      <c r="AE59" s="546">
        <f t="shared" si="27"/>
        <v>0.04</v>
      </c>
      <c r="AF59" s="547">
        <f t="shared" si="14"/>
        <v>895.68394938488575</v>
      </c>
      <c r="AG59" s="547">
        <f t="shared" si="15"/>
        <v>895.68394938488575</v>
      </c>
      <c r="AH59" s="547">
        <f t="shared" si="16"/>
        <v>2687.0518481546569</v>
      </c>
      <c r="AI59" s="547">
        <f t="shared" si="17"/>
        <v>3582.735797539543</v>
      </c>
      <c r="AJ59" s="547">
        <f t="shared" si="28"/>
        <v>21496.414785237259</v>
      </c>
      <c r="AK59" s="547">
        <f t="shared" si="18"/>
        <v>43888.5135198594</v>
      </c>
      <c r="AL59" s="547">
        <f t="shared" si="19"/>
        <v>64489.244355711766</v>
      </c>
      <c r="AM59" s="547">
        <f t="shared" si="20"/>
        <v>85985.659140949036</v>
      </c>
      <c r="AN59" s="537">
        <f t="shared" si="21"/>
        <v>4804.5382728954655</v>
      </c>
      <c r="AO59" s="537">
        <f t="shared" si="22"/>
        <v>9730.7999945123374</v>
      </c>
      <c r="AP59" s="537">
        <f t="shared" si="23"/>
        <v>14413.614818686396</v>
      </c>
      <c r="AQ59" s="537">
        <f t="shared" si="24"/>
        <v>19218.153091581862</v>
      </c>
      <c r="AR59" s="523">
        <f t="shared" si="25"/>
        <v>223920.98734622143</v>
      </c>
      <c r="AS59" s="523">
        <f t="shared" si="26"/>
        <v>18660.082278851787</v>
      </c>
      <c r="AT59" s="546"/>
      <c r="AU59" s="539">
        <v>8.4099999999999994E-2</v>
      </c>
      <c r="AV59" s="540">
        <v>0.22</v>
      </c>
      <c r="AW59" s="546"/>
      <c r="AX59" s="546"/>
    </row>
    <row r="60" spans="1:50" s="388" customFormat="1" ht="15.75" hidden="1">
      <c r="A60" s="314" t="s">
        <v>937</v>
      </c>
      <c r="B60" s="314" t="s">
        <v>754</v>
      </c>
      <c r="C60" s="314" t="s">
        <v>755</v>
      </c>
      <c r="D60" s="387">
        <v>8322</v>
      </c>
      <c r="E60" s="387">
        <v>1</v>
      </c>
      <c r="F60" s="387" t="s">
        <v>938</v>
      </c>
      <c r="G60" s="543">
        <v>1</v>
      </c>
      <c r="H60" s="543">
        <v>3</v>
      </c>
      <c r="I60" s="543">
        <v>44.94</v>
      </c>
      <c r="J60" s="543">
        <f>J59/I59*I60</f>
        <v>7464.0329115407148</v>
      </c>
      <c r="K60" s="543">
        <v>12</v>
      </c>
      <c r="L60" s="533">
        <f t="shared" si="1"/>
        <v>895.68394938488575</v>
      </c>
      <c r="M60" s="543">
        <v>25</v>
      </c>
      <c r="N60" s="532">
        <f t="shared" si="2"/>
        <v>1866.0082278851787</v>
      </c>
      <c r="O60" s="533">
        <f t="shared" si="3"/>
        <v>10225.725088810779</v>
      </c>
      <c r="P60" s="580">
        <f t="shared" si="4"/>
        <v>10225.725088810779</v>
      </c>
      <c r="Q60" s="543">
        <f t="shared" si="5"/>
        <v>1866.0082278851787</v>
      </c>
      <c r="R60" s="543"/>
      <c r="S60" s="535">
        <f t="shared" si="6"/>
        <v>22392.098734622145</v>
      </c>
      <c r="T60" s="535">
        <f t="shared" si="7"/>
        <v>8285.076531810193</v>
      </c>
      <c r="U60" s="535">
        <f t="shared" si="8"/>
        <v>44784.197469244289</v>
      </c>
      <c r="V60" s="535">
        <f t="shared" si="9"/>
        <v>16570.153063620386</v>
      </c>
      <c r="W60" s="543">
        <v>13023.56</v>
      </c>
      <c r="X60" s="535">
        <f t="shared" si="10"/>
        <v>67176.296203866426</v>
      </c>
      <c r="Y60" s="535">
        <f t="shared" si="11"/>
        <v>24855.229595430581</v>
      </c>
      <c r="Z60" s="544"/>
      <c r="AA60" s="543">
        <v>13589.49</v>
      </c>
      <c r="AB60" s="535">
        <f t="shared" si="12"/>
        <v>89568.394938488578</v>
      </c>
      <c r="AC60" s="577">
        <f t="shared" si="13"/>
        <v>33140.306127240772</v>
      </c>
      <c r="AD60" s="545">
        <v>0.04</v>
      </c>
      <c r="AE60" s="546">
        <f t="shared" si="27"/>
        <v>0.04</v>
      </c>
      <c r="AF60" s="547">
        <f t="shared" si="14"/>
        <v>895.68394938488575</v>
      </c>
      <c r="AG60" s="547">
        <f t="shared" si="15"/>
        <v>895.68394938488575</v>
      </c>
      <c r="AH60" s="547">
        <f t="shared" si="16"/>
        <v>2687.0518481546569</v>
      </c>
      <c r="AI60" s="547">
        <f t="shared" si="17"/>
        <v>3582.735797539543</v>
      </c>
      <c r="AJ60" s="547">
        <f t="shared" si="28"/>
        <v>21496.414785237259</v>
      </c>
      <c r="AK60" s="547">
        <f t="shared" si="18"/>
        <v>43888.5135198594</v>
      </c>
      <c r="AL60" s="547">
        <f t="shared" si="19"/>
        <v>64489.244355711766</v>
      </c>
      <c r="AM60" s="547">
        <f t="shared" si="20"/>
        <v>85985.659140949036</v>
      </c>
      <c r="AN60" s="537">
        <f t="shared" si="21"/>
        <v>4804.5382728954655</v>
      </c>
      <c r="AO60" s="537">
        <f t="shared" si="22"/>
        <v>9730.7999945123374</v>
      </c>
      <c r="AP60" s="537">
        <f t="shared" si="23"/>
        <v>14413.614818686396</v>
      </c>
      <c r="AQ60" s="537">
        <f t="shared" si="24"/>
        <v>19218.153091581862</v>
      </c>
      <c r="AR60" s="523">
        <f t="shared" si="25"/>
        <v>223920.98734622143</v>
      </c>
      <c r="AS60" s="523">
        <f t="shared" si="26"/>
        <v>18660.082278851787</v>
      </c>
      <c r="AT60" s="546"/>
      <c r="AU60" s="539">
        <v>8.4099999999999994E-2</v>
      </c>
      <c r="AV60" s="540">
        <v>0.22</v>
      </c>
      <c r="AW60" s="546"/>
      <c r="AX60" s="546"/>
    </row>
    <row r="61" spans="1:50" s="388" customFormat="1" ht="15.75" hidden="1">
      <c r="A61" s="314" t="s">
        <v>939</v>
      </c>
      <c r="B61" s="314" t="s">
        <v>754</v>
      </c>
      <c r="C61" s="314" t="s">
        <v>755</v>
      </c>
      <c r="D61" s="387">
        <v>8322</v>
      </c>
      <c r="E61" s="387">
        <v>1</v>
      </c>
      <c r="F61" s="387" t="s">
        <v>940</v>
      </c>
      <c r="G61" s="543">
        <v>1</v>
      </c>
      <c r="H61" s="543">
        <v>3</v>
      </c>
      <c r="I61" s="543">
        <v>35.630000000000003</v>
      </c>
      <c r="J61" s="543">
        <f>J60/I60*I61</f>
        <v>5917.7457195860188</v>
      </c>
      <c r="K61" s="543">
        <v>12</v>
      </c>
      <c r="L61" s="533">
        <f t="shared" si="1"/>
        <v>710.12948635032228</v>
      </c>
      <c r="M61" s="543">
        <v>25</v>
      </c>
      <c r="N61" s="532">
        <f t="shared" si="2"/>
        <v>1479.4364298965047</v>
      </c>
      <c r="O61" s="533">
        <f t="shared" si="3"/>
        <v>8107.3116358328462</v>
      </c>
      <c r="P61" s="580">
        <f t="shared" si="4"/>
        <v>8107.3116358328462</v>
      </c>
      <c r="Q61" s="543">
        <f t="shared" si="5"/>
        <v>1479.4364298965047</v>
      </c>
      <c r="R61" s="543"/>
      <c r="S61" s="535">
        <f t="shared" si="6"/>
        <v>17753.237158758056</v>
      </c>
      <c r="T61" s="535">
        <f t="shared" si="7"/>
        <v>6568.6977487404802</v>
      </c>
      <c r="U61" s="535">
        <f t="shared" si="8"/>
        <v>35506.474317516113</v>
      </c>
      <c r="V61" s="535">
        <f t="shared" si="9"/>
        <v>13137.39549748096</v>
      </c>
      <c r="W61" s="543">
        <v>10323.296666666667</v>
      </c>
      <c r="X61" s="535">
        <f t="shared" si="10"/>
        <v>53259.711476274169</v>
      </c>
      <c r="Y61" s="535">
        <f t="shared" si="11"/>
        <v>19706.09324622144</v>
      </c>
      <c r="Z61" s="544"/>
      <c r="AA61" s="543">
        <v>10771.883333333333</v>
      </c>
      <c r="AB61" s="535">
        <f t="shared" si="12"/>
        <v>71012.948635032226</v>
      </c>
      <c r="AC61" s="577">
        <f t="shared" si="13"/>
        <v>26274.790994961921</v>
      </c>
      <c r="AD61" s="545">
        <v>0.04</v>
      </c>
      <c r="AE61" s="546">
        <f t="shared" si="27"/>
        <v>0.04</v>
      </c>
      <c r="AF61" s="547">
        <f t="shared" si="14"/>
        <v>710.12948635032228</v>
      </c>
      <c r="AG61" s="547">
        <f t="shared" si="15"/>
        <v>710.12948635032228</v>
      </c>
      <c r="AH61" s="547">
        <f t="shared" si="16"/>
        <v>2130.388459050967</v>
      </c>
      <c r="AI61" s="547">
        <f t="shared" si="17"/>
        <v>2840.5179454012891</v>
      </c>
      <c r="AJ61" s="547">
        <f t="shared" si="28"/>
        <v>17043.107672407736</v>
      </c>
      <c r="AK61" s="547">
        <f t="shared" si="18"/>
        <v>34796.344831165792</v>
      </c>
      <c r="AL61" s="547">
        <f t="shared" si="19"/>
        <v>51129.3230172232</v>
      </c>
      <c r="AM61" s="547">
        <f t="shared" si="20"/>
        <v>68172.430689630943</v>
      </c>
      <c r="AN61" s="537">
        <f t="shared" si="21"/>
        <v>3809.2055777317637</v>
      </c>
      <c r="AO61" s="537">
        <f t="shared" si="22"/>
        <v>7714.9177526585363</v>
      </c>
      <c r="AP61" s="537">
        <f t="shared" si="23"/>
        <v>11427.616733195289</v>
      </c>
      <c r="AQ61" s="537">
        <f t="shared" si="24"/>
        <v>15236.822310927055</v>
      </c>
      <c r="AR61" s="523">
        <f t="shared" si="25"/>
        <v>177532.37158758056</v>
      </c>
      <c r="AS61" s="523">
        <f t="shared" si="26"/>
        <v>14794.364298965047</v>
      </c>
      <c r="AT61" s="546"/>
      <c r="AU61" s="539">
        <v>8.4099999999999994E-2</v>
      </c>
      <c r="AV61" s="540">
        <v>0.22</v>
      </c>
      <c r="AW61" s="546"/>
      <c r="AX61" s="546"/>
    </row>
    <row r="62" spans="1:50" s="388" customFormat="1" ht="15.75" hidden="1">
      <c r="A62" s="314" t="s">
        <v>941</v>
      </c>
      <c r="B62" s="314" t="s">
        <v>754</v>
      </c>
      <c r="C62" s="314" t="s">
        <v>755</v>
      </c>
      <c r="D62" s="387">
        <v>8322</v>
      </c>
      <c r="E62" s="387">
        <v>1</v>
      </c>
      <c r="F62" s="387">
        <v>2.0499999999999998</v>
      </c>
      <c r="G62" s="543">
        <v>1</v>
      </c>
      <c r="H62" s="543">
        <v>3</v>
      </c>
      <c r="I62" s="543">
        <v>31.98</v>
      </c>
      <c r="J62" s="543">
        <f t="shared" ref="J62:J69" si="29">J61/I61*I62</f>
        <v>5311.5214176918571</v>
      </c>
      <c r="K62" s="543">
        <v>12</v>
      </c>
      <c r="L62" s="533">
        <f t="shared" si="1"/>
        <v>637.38257012302279</v>
      </c>
      <c r="M62" s="543">
        <v>25</v>
      </c>
      <c r="N62" s="532">
        <f t="shared" si="2"/>
        <v>1327.8803544229643</v>
      </c>
      <c r="O62" s="533">
        <f t="shared" si="3"/>
        <v>7276.7843422378437</v>
      </c>
      <c r="P62" s="580">
        <f t="shared" si="4"/>
        <v>7276.7843422378437</v>
      </c>
      <c r="Q62" s="543">
        <f t="shared" si="5"/>
        <v>1327.8803544229643</v>
      </c>
      <c r="R62" s="543"/>
      <c r="S62" s="535">
        <f t="shared" si="6"/>
        <v>15934.564253075572</v>
      </c>
      <c r="T62" s="535">
        <f t="shared" si="7"/>
        <v>5895.7887736379616</v>
      </c>
      <c r="U62" s="535">
        <f t="shared" si="8"/>
        <v>31869.128506151144</v>
      </c>
      <c r="V62" s="535">
        <f t="shared" si="9"/>
        <v>11791.577547275923</v>
      </c>
      <c r="W62" s="543">
        <f>W31/G31</f>
        <v>8418.8824999999997</v>
      </c>
      <c r="X62" s="535">
        <f t="shared" si="10"/>
        <v>47803.692759226717</v>
      </c>
      <c r="Y62" s="535">
        <f t="shared" si="11"/>
        <v>17687.366320913883</v>
      </c>
      <c r="Z62" s="544"/>
      <c r="AA62" s="543">
        <f>AA31/G31</f>
        <v>8784.7150000000001</v>
      </c>
      <c r="AB62" s="535">
        <f t="shared" si="12"/>
        <v>63738.257012302289</v>
      </c>
      <c r="AC62" s="577">
        <f t="shared" si="13"/>
        <v>23583.155094551847</v>
      </c>
      <c r="AD62" s="545">
        <v>0.04</v>
      </c>
      <c r="AE62" s="546">
        <f t="shared" si="27"/>
        <v>0.04</v>
      </c>
      <c r="AF62" s="547">
        <f t="shared" si="14"/>
        <v>637.3825701230229</v>
      </c>
      <c r="AG62" s="547">
        <f t="shared" si="15"/>
        <v>637.3825701230229</v>
      </c>
      <c r="AH62" s="547">
        <f t="shared" si="16"/>
        <v>1912.1477103690686</v>
      </c>
      <c r="AI62" s="547">
        <f t="shared" si="17"/>
        <v>2549.5302804920916</v>
      </c>
      <c r="AJ62" s="547">
        <f t="shared" si="28"/>
        <v>15297.181682952549</v>
      </c>
      <c r="AK62" s="547">
        <f t="shared" si="18"/>
        <v>31231.745936028121</v>
      </c>
      <c r="AL62" s="547">
        <f t="shared" si="19"/>
        <v>45891.545048857646</v>
      </c>
      <c r="AM62" s="547">
        <f t="shared" si="20"/>
        <v>61188.726731810195</v>
      </c>
      <c r="AN62" s="537">
        <f t="shared" si="21"/>
        <v>3418.983844396907</v>
      </c>
      <c r="AO62" s="537">
        <f t="shared" si="22"/>
        <v>6924.587980073532</v>
      </c>
      <c r="AP62" s="537">
        <f t="shared" si="23"/>
        <v>10256.951533190721</v>
      </c>
      <c r="AQ62" s="537">
        <f t="shared" si="24"/>
        <v>13675.935377587628</v>
      </c>
      <c r="AR62" s="523">
        <f t="shared" si="25"/>
        <v>159345.64253075572</v>
      </c>
      <c r="AS62" s="523">
        <f t="shared" si="26"/>
        <v>13278.803544229644</v>
      </c>
      <c r="AT62" s="546"/>
      <c r="AU62" s="539">
        <v>8.4099999999999994E-2</v>
      </c>
      <c r="AV62" s="540">
        <v>0.22</v>
      </c>
      <c r="AW62" s="546"/>
      <c r="AX62" s="546"/>
    </row>
    <row r="63" spans="1:50" s="388" customFormat="1" ht="15.75" hidden="1">
      <c r="A63" s="314" t="s">
        <v>942</v>
      </c>
      <c r="B63" s="314" t="s">
        <v>754</v>
      </c>
      <c r="C63" s="314" t="s">
        <v>755</v>
      </c>
      <c r="D63" s="387">
        <v>8322</v>
      </c>
      <c r="E63" s="387">
        <v>1</v>
      </c>
      <c r="F63" s="387" t="s">
        <v>943</v>
      </c>
      <c r="G63" s="543">
        <v>1</v>
      </c>
      <c r="H63" s="543">
        <v>3</v>
      </c>
      <c r="I63" s="543">
        <v>39.270000000000003</v>
      </c>
      <c r="J63" s="543">
        <f t="shared" si="29"/>
        <v>6522.3091329818399</v>
      </c>
      <c r="K63" s="543">
        <v>12</v>
      </c>
      <c r="L63" s="533">
        <f t="shared" si="1"/>
        <v>782.67709595782071</v>
      </c>
      <c r="M63" s="543">
        <v>25</v>
      </c>
      <c r="N63" s="532">
        <f t="shared" si="2"/>
        <v>1630.57728324546</v>
      </c>
      <c r="O63" s="533">
        <f t="shared" si="3"/>
        <v>8935.563512185121</v>
      </c>
      <c r="P63" s="580">
        <f t="shared" si="4"/>
        <v>8935.563512185121</v>
      </c>
      <c r="Q63" s="543">
        <f t="shared" si="5"/>
        <v>1630.57728324546</v>
      </c>
      <c r="R63" s="543"/>
      <c r="S63" s="535">
        <f t="shared" si="6"/>
        <v>19566.927398945518</v>
      </c>
      <c r="T63" s="535">
        <f t="shared" si="7"/>
        <v>7239.7631376098416</v>
      </c>
      <c r="U63" s="535">
        <f t="shared" si="8"/>
        <v>39133.854797891036</v>
      </c>
      <c r="V63" s="535">
        <f t="shared" si="9"/>
        <v>14479.526275219683</v>
      </c>
      <c r="W63" s="543">
        <f>W44</f>
        <v>9334.5400000000009</v>
      </c>
      <c r="X63" s="535">
        <f t="shared" si="10"/>
        <v>58700.782196836561</v>
      </c>
      <c r="Y63" s="535">
        <f t="shared" si="11"/>
        <v>21719.289412829527</v>
      </c>
      <c r="Z63" s="544"/>
      <c r="AA63" s="543">
        <f>AA44</f>
        <v>9740.17</v>
      </c>
      <c r="AB63" s="535">
        <f t="shared" si="12"/>
        <v>78267.709595782071</v>
      </c>
      <c r="AC63" s="577">
        <f t="shared" si="13"/>
        <v>28959.052550439366</v>
      </c>
      <c r="AD63" s="545">
        <v>0.04</v>
      </c>
      <c r="AE63" s="546">
        <f t="shared" si="27"/>
        <v>0.04</v>
      </c>
      <c r="AF63" s="547">
        <f t="shared" si="14"/>
        <v>782.67709595782071</v>
      </c>
      <c r="AG63" s="547">
        <f t="shared" si="15"/>
        <v>782.67709595782071</v>
      </c>
      <c r="AH63" s="547">
        <f t="shared" si="16"/>
        <v>2348.0312878734626</v>
      </c>
      <c r="AI63" s="547">
        <f t="shared" si="17"/>
        <v>3130.7083838312828</v>
      </c>
      <c r="AJ63" s="547">
        <f t="shared" si="28"/>
        <v>18784.250302987697</v>
      </c>
      <c r="AK63" s="547">
        <f t="shared" si="18"/>
        <v>38351.177701933215</v>
      </c>
      <c r="AL63" s="547">
        <f t="shared" si="19"/>
        <v>56352.750908963098</v>
      </c>
      <c r="AM63" s="547">
        <f t="shared" si="20"/>
        <v>75137.001211950788</v>
      </c>
      <c r="AN63" s="537">
        <f t="shared" si="21"/>
        <v>4198.3582104273455</v>
      </c>
      <c r="AO63" s="537">
        <f t="shared" si="22"/>
        <v>8503.0822381953603</v>
      </c>
      <c r="AP63" s="537">
        <f t="shared" si="23"/>
        <v>12595.074631282041</v>
      </c>
      <c r="AQ63" s="537">
        <f t="shared" si="24"/>
        <v>16793.432841709382</v>
      </c>
      <c r="AR63" s="523">
        <f t="shared" si="25"/>
        <v>195669.27398945519</v>
      </c>
      <c r="AS63" s="523">
        <f t="shared" si="26"/>
        <v>16305.772832454599</v>
      </c>
      <c r="AT63" s="546"/>
      <c r="AU63" s="539">
        <v>8.4099999999999994E-2</v>
      </c>
      <c r="AV63" s="540">
        <v>0.22</v>
      </c>
      <c r="AW63" s="546"/>
      <c r="AX63" s="546"/>
    </row>
    <row r="64" spans="1:50" s="388" customFormat="1" ht="15.75" hidden="1">
      <c r="A64" s="389" t="s">
        <v>782</v>
      </c>
      <c r="B64" s="314" t="s">
        <v>944</v>
      </c>
      <c r="C64" s="314" t="s">
        <v>755</v>
      </c>
      <c r="D64" s="387">
        <v>8322</v>
      </c>
      <c r="E64" s="387">
        <v>3</v>
      </c>
      <c r="F64" s="387" t="s">
        <v>945</v>
      </c>
      <c r="G64" s="543">
        <v>3</v>
      </c>
      <c r="H64" s="543">
        <v>3</v>
      </c>
      <c r="I64" s="543">
        <v>33.200000000000003</v>
      </c>
      <c r="J64" s="543">
        <f t="shared" si="29"/>
        <v>5514.1498144893585</v>
      </c>
      <c r="K64" s="543">
        <v>25</v>
      </c>
      <c r="L64" s="533">
        <f t="shared" si="1"/>
        <v>1378.5374536223396</v>
      </c>
      <c r="M64" s="543">
        <v>25</v>
      </c>
      <c r="N64" s="532">
        <f t="shared" si="2"/>
        <v>1378.5374536223396</v>
      </c>
      <c r="O64" s="533">
        <f t="shared" si="3"/>
        <v>8271.2247217340373</v>
      </c>
      <c r="P64" s="580">
        <f t="shared" si="4"/>
        <v>24813.674165202112</v>
      </c>
      <c r="Q64" s="543">
        <f t="shared" si="5"/>
        <v>4135.6123608670187</v>
      </c>
      <c r="R64" s="543"/>
      <c r="S64" s="535">
        <f t="shared" si="6"/>
        <v>49627.348330404224</v>
      </c>
      <c r="T64" s="535">
        <f t="shared" si="7"/>
        <v>24813.674165202112</v>
      </c>
      <c r="U64" s="535">
        <f t="shared" si="8"/>
        <v>99254.696660808448</v>
      </c>
      <c r="V64" s="535">
        <f t="shared" si="9"/>
        <v>49627.348330404224</v>
      </c>
      <c r="W64" s="543">
        <f>W47/G47*G64</f>
        <v>26782.739999999998</v>
      </c>
      <c r="X64" s="535">
        <f t="shared" si="10"/>
        <v>148882.04499121266</v>
      </c>
      <c r="Y64" s="535">
        <f t="shared" si="11"/>
        <v>74441.022495606332</v>
      </c>
      <c r="Z64" s="544"/>
      <c r="AA64" s="543">
        <f>AA47/G47*G64</f>
        <v>27946.560000000001</v>
      </c>
      <c r="AB64" s="535">
        <f t="shared" si="12"/>
        <v>198509.3933216169</v>
      </c>
      <c r="AC64" s="577">
        <f t="shared" si="13"/>
        <v>99254.696660808448</v>
      </c>
      <c r="AD64" s="545">
        <v>0.04</v>
      </c>
      <c r="AE64" s="546">
        <f t="shared" si="27"/>
        <v>0.12</v>
      </c>
      <c r="AF64" s="547">
        <f t="shared" si="14"/>
        <v>1985.0939332161688</v>
      </c>
      <c r="AG64" s="547">
        <f t="shared" si="15"/>
        <v>1985.0939332161688</v>
      </c>
      <c r="AH64" s="547">
        <f t="shared" si="16"/>
        <v>5955.2817996485064</v>
      </c>
      <c r="AI64" s="547">
        <f t="shared" si="17"/>
        <v>7940.3757328646752</v>
      </c>
      <c r="AJ64" s="547">
        <f t="shared" si="28"/>
        <v>47642.254397188051</v>
      </c>
      <c r="AK64" s="547">
        <f t="shared" si="18"/>
        <v>97269.602727592282</v>
      </c>
      <c r="AL64" s="547">
        <f t="shared" si="19"/>
        <v>142926.76319156415</v>
      </c>
      <c r="AM64" s="547">
        <f t="shared" si="20"/>
        <v>190569.01758875221</v>
      </c>
      <c r="AN64" s="537">
        <f t="shared" si="21"/>
        <v>10648.24236716485</v>
      </c>
      <c r="AO64" s="537">
        <f t="shared" si="22"/>
        <v>21566.258999853781</v>
      </c>
      <c r="AP64" s="537">
        <f t="shared" si="23"/>
        <v>31944.727101494555</v>
      </c>
      <c r="AQ64" s="537">
        <f t="shared" si="24"/>
        <v>42592.969468659401</v>
      </c>
      <c r="AR64" s="523">
        <f t="shared" si="25"/>
        <v>496273.48330404225</v>
      </c>
      <c r="AS64" s="523">
        <f t="shared" si="26"/>
        <v>13785.374536223397</v>
      </c>
      <c r="AT64" s="546"/>
      <c r="AU64" s="539">
        <v>8.4099999999999994E-2</v>
      </c>
      <c r="AV64" s="540">
        <v>0.22</v>
      </c>
      <c r="AW64" s="546"/>
      <c r="AX64" s="546"/>
    </row>
    <row r="65" spans="1:50" s="388" customFormat="1" ht="15.75" hidden="1">
      <c r="A65" s="389" t="s">
        <v>946</v>
      </c>
      <c r="B65" s="314" t="s">
        <v>754</v>
      </c>
      <c r="C65" s="314" t="s">
        <v>755</v>
      </c>
      <c r="D65" s="387">
        <v>8322</v>
      </c>
      <c r="E65" s="387">
        <v>1</v>
      </c>
      <c r="F65" s="387" t="s">
        <v>947</v>
      </c>
      <c r="G65" s="543">
        <v>1</v>
      </c>
      <c r="H65" s="543">
        <v>3</v>
      </c>
      <c r="I65" s="543">
        <v>35.630000000000003</v>
      </c>
      <c r="J65" s="543">
        <f t="shared" si="29"/>
        <v>5917.7457195860188</v>
      </c>
      <c r="K65" s="543">
        <v>25</v>
      </c>
      <c r="L65" s="533">
        <f t="shared" si="1"/>
        <v>1479.4364298965047</v>
      </c>
      <c r="M65" s="543">
        <v>25</v>
      </c>
      <c r="N65" s="532">
        <f t="shared" si="2"/>
        <v>1479.4364298965047</v>
      </c>
      <c r="O65" s="533">
        <f t="shared" si="3"/>
        <v>8876.6185793790282</v>
      </c>
      <c r="P65" s="580">
        <f t="shared" si="4"/>
        <v>8876.6185793790282</v>
      </c>
      <c r="Q65" s="543">
        <f t="shared" si="5"/>
        <v>1479.4364298965047</v>
      </c>
      <c r="R65" s="543"/>
      <c r="S65" s="535">
        <f t="shared" si="6"/>
        <v>17753.237158758056</v>
      </c>
      <c r="T65" s="535">
        <f t="shared" si="7"/>
        <v>8876.6185793790282</v>
      </c>
      <c r="U65" s="535">
        <f t="shared" si="8"/>
        <v>35506.474317516113</v>
      </c>
      <c r="V65" s="535">
        <f t="shared" si="9"/>
        <v>17753.237158758056</v>
      </c>
      <c r="W65" s="543">
        <f>W42/G42</f>
        <v>10323.296666666667</v>
      </c>
      <c r="X65" s="535">
        <f t="shared" si="10"/>
        <v>53259.711476274169</v>
      </c>
      <c r="Y65" s="535">
        <f t="shared" si="11"/>
        <v>26629.855738137085</v>
      </c>
      <c r="Z65" s="544"/>
      <c r="AA65" s="543">
        <f>AA42/G42</f>
        <v>10771.883333333333</v>
      </c>
      <c r="AB65" s="535">
        <f t="shared" si="12"/>
        <v>71012.948635032226</v>
      </c>
      <c r="AC65" s="577">
        <f t="shared" si="13"/>
        <v>35506.474317516113</v>
      </c>
      <c r="AD65" s="545">
        <v>0.04</v>
      </c>
      <c r="AE65" s="546">
        <f t="shared" si="27"/>
        <v>0.04</v>
      </c>
      <c r="AF65" s="547">
        <f t="shared" si="14"/>
        <v>710.12948635032228</v>
      </c>
      <c r="AG65" s="547">
        <f t="shared" si="15"/>
        <v>710.12948635032228</v>
      </c>
      <c r="AH65" s="547">
        <f t="shared" si="16"/>
        <v>2130.388459050967</v>
      </c>
      <c r="AI65" s="547">
        <f t="shared" si="17"/>
        <v>2840.5179454012891</v>
      </c>
      <c r="AJ65" s="547">
        <f t="shared" si="28"/>
        <v>17043.107672407736</v>
      </c>
      <c r="AK65" s="547">
        <f t="shared" si="18"/>
        <v>34796.344831165792</v>
      </c>
      <c r="AL65" s="547">
        <f t="shared" si="19"/>
        <v>51129.3230172232</v>
      </c>
      <c r="AM65" s="547">
        <f t="shared" si="20"/>
        <v>68172.430689630943</v>
      </c>
      <c r="AN65" s="537">
        <f t="shared" si="21"/>
        <v>3809.2055777317637</v>
      </c>
      <c r="AO65" s="537">
        <f t="shared" si="22"/>
        <v>7714.9177526585363</v>
      </c>
      <c r="AP65" s="537">
        <f t="shared" si="23"/>
        <v>11427.616733195289</v>
      </c>
      <c r="AQ65" s="537">
        <f t="shared" si="24"/>
        <v>15236.822310927055</v>
      </c>
      <c r="AR65" s="523">
        <f t="shared" si="25"/>
        <v>177532.37158758056</v>
      </c>
      <c r="AS65" s="523">
        <f t="shared" si="26"/>
        <v>14794.364298965047</v>
      </c>
      <c r="AT65" s="546"/>
      <c r="AU65" s="539">
        <v>8.4099999999999994E-2</v>
      </c>
      <c r="AV65" s="540">
        <v>0.22</v>
      </c>
      <c r="AW65" s="546"/>
      <c r="AX65" s="546"/>
    </row>
    <row r="66" spans="1:50" s="388" customFormat="1" ht="15.75" hidden="1">
      <c r="A66" s="389" t="s">
        <v>948</v>
      </c>
      <c r="B66" s="314" t="s">
        <v>944</v>
      </c>
      <c r="C66" s="314" t="s">
        <v>755</v>
      </c>
      <c r="D66" s="387">
        <v>8322</v>
      </c>
      <c r="E66" s="387">
        <v>3</v>
      </c>
      <c r="F66" s="387" t="s">
        <v>949</v>
      </c>
      <c r="G66" s="543">
        <v>3</v>
      </c>
      <c r="H66" s="543">
        <v>3</v>
      </c>
      <c r="I66" s="543">
        <v>33.200000000000003</v>
      </c>
      <c r="J66" s="543">
        <f t="shared" si="29"/>
        <v>5514.1498144893585</v>
      </c>
      <c r="K66" s="543">
        <v>25</v>
      </c>
      <c r="L66" s="533">
        <f t="shared" si="1"/>
        <v>1378.5374536223396</v>
      </c>
      <c r="M66" s="543">
        <v>25</v>
      </c>
      <c r="N66" s="532">
        <f t="shared" si="2"/>
        <v>1378.5374536223396</v>
      </c>
      <c r="O66" s="533">
        <f t="shared" si="3"/>
        <v>8271.2247217340373</v>
      </c>
      <c r="P66" s="580">
        <f t="shared" si="4"/>
        <v>24813.674165202112</v>
      </c>
      <c r="Q66" s="543">
        <f t="shared" si="5"/>
        <v>4135.6123608670187</v>
      </c>
      <c r="R66" s="543"/>
      <c r="S66" s="535">
        <f t="shared" si="6"/>
        <v>49627.348330404224</v>
      </c>
      <c r="T66" s="535">
        <f t="shared" si="7"/>
        <v>24813.674165202112</v>
      </c>
      <c r="U66" s="535">
        <f t="shared" si="8"/>
        <v>99254.696660808448</v>
      </c>
      <c r="V66" s="535">
        <f t="shared" si="9"/>
        <v>49627.348330404224</v>
      </c>
      <c r="W66" s="543">
        <f>W64/G64*G66</f>
        <v>26782.739999999998</v>
      </c>
      <c r="X66" s="535">
        <f t="shared" si="10"/>
        <v>148882.04499121266</v>
      </c>
      <c r="Y66" s="535">
        <f t="shared" si="11"/>
        <v>74441.022495606332</v>
      </c>
      <c r="Z66" s="544"/>
      <c r="AA66" s="543">
        <f>AA64</f>
        <v>27946.560000000001</v>
      </c>
      <c r="AB66" s="535">
        <f t="shared" si="12"/>
        <v>198509.3933216169</v>
      </c>
      <c r="AC66" s="577">
        <f t="shared" si="13"/>
        <v>99254.696660808448</v>
      </c>
      <c r="AD66" s="545">
        <v>0.04</v>
      </c>
      <c r="AE66" s="546">
        <f t="shared" si="27"/>
        <v>0.12</v>
      </c>
      <c r="AF66" s="547">
        <f t="shared" si="14"/>
        <v>1985.0939332161688</v>
      </c>
      <c r="AG66" s="547">
        <f t="shared" si="15"/>
        <v>1985.0939332161688</v>
      </c>
      <c r="AH66" s="547">
        <f t="shared" si="16"/>
        <v>5955.2817996485064</v>
      </c>
      <c r="AI66" s="547">
        <f t="shared" si="17"/>
        <v>7940.3757328646752</v>
      </c>
      <c r="AJ66" s="547">
        <f t="shared" si="28"/>
        <v>47642.254397188051</v>
      </c>
      <c r="AK66" s="547">
        <f t="shared" si="18"/>
        <v>97269.602727592282</v>
      </c>
      <c r="AL66" s="547">
        <f t="shared" si="19"/>
        <v>142926.76319156415</v>
      </c>
      <c r="AM66" s="547">
        <f t="shared" si="20"/>
        <v>190569.01758875221</v>
      </c>
      <c r="AN66" s="537">
        <f t="shared" si="21"/>
        <v>10648.24236716485</v>
      </c>
      <c r="AO66" s="537">
        <f t="shared" si="22"/>
        <v>21566.258999853781</v>
      </c>
      <c r="AP66" s="537">
        <f t="shared" si="23"/>
        <v>31944.727101494555</v>
      </c>
      <c r="AQ66" s="537">
        <f t="shared" si="24"/>
        <v>42592.969468659401</v>
      </c>
      <c r="AR66" s="523">
        <f t="shared" si="25"/>
        <v>496273.48330404225</v>
      </c>
      <c r="AS66" s="523">
        <f t="shared" si="26"/>
        <v>13785.374536223397</v>
      </c>
      <c r="AT66" s="546"/>
      <c r="AU66" s="539">
        <v>8.4099999999999994E-2</v>
      </c>
      <c r="AV66" s="540">
        <v>0.22</v>
      </c>
      <c r="AW66" s="546"/>
      <c r="AX66" s="546"/>
    </row>
    <row r="67" spans="1:50" s="388" customFormat="1" ht="15.75" hidden="1">
      <c r="A67" s="389" t="s">
        <v>950</v>
      </c>
      <c r="B67" s="314" t="s">
        <v>944</v>
      </c>
      <c r="C67" s="314" t="s">
        <v>755</v>
      </c>
      <c r="D67" s="387">
        <v>8322</v>
      </c>
      <c r="E67" s="387">
        <v>1</v>
      </c>
      <c r="F67" s="387" t="s">
        <v>951</v>
      </c>
      <c r="G67" s="543">
        <v>1</v>
      </c>
      <c r="H67" s="543">
        <v>3</v>
      </c>
      <c r="I67" s="543">
        <v>33.200000000000003</v>
      </c>
      <c r="J67" s="543">
        <f t="shared" si="29"/>
        <v>5514.1498144893585</v>
      </c>
      <c r="K67" s="543">
        <v>25</v>
      </c>
      <c r="L67" s="533">
        <f t="shared" si="1"/>
        <v>1378.5374536223396</v>
      </c>
      <c r="M67" s="543">
        <v>25</v>
      </c>
      <c r="N67" s="532">
        <f t="shared" si="2"/>
        <v>1378.5374536223396</v>
      </c>
      <c r="O67" s="533">
        <f t="shared" si="3"/>
        <v>8271.2247217340373</v>
      </c>
      <c r="P67" s="580">
        <f t="shared" si="4"/>
        <v>8271.2247217340373</v>
      </c>
      <c r="Q67" s="543">
        <f t="shared" si="5"/>
        <v>1378.5374536223396</v>
      </c>
      <c r="R67" s="543"/>
      <c r="S67" s="535">
        <f t="shared" si="6"/>
        <v>16542.449443468075</v>
      </c>
      <c r="T67" s="535">
        <f t="shared" si="7"/>
        <v>8271.2247217340373</v>
      </c>
      <c r="U67" s="535">
        <f t="shared" si="8"/>
        <v>33084.898886936149</v>
      </c>
      <c r="V67" s="535">
        <f t="shared" si="9"/>
        <v>16542.449443468075</v>
      </c>
      <c r="W67" s="543">
        <f>W66/G66*G67</f>
        <v>8927.58</v>
      </c>
      <c r="X67" s="535">
        <f t="shared" si="10"/>
        <v>49627.348330404224</v>
      </c>
      <c r="Y67" s="535">
        <f t="shared" si="11"/>
        <v>24813.674165202112</v>
      </c>
      <c r="Z67" s="544"/>
      <c r="AA67" s="543">
        <f>AA66/G66*G67</f>
        <v>9315.52</v>
      </c>
      <c r="AB67" s="535">
        <f t="shared" si="12"/>
        <v>66169.797773872298</v>
      </c>
      <c r="AC67" s="577">
        <f t="shared" si="13"/>
        <v>33084.898886936149</v>
      </c>
      <c r="AD67" s="545">
        <v>0.04</v>
      </c>
      <c r="AE67" s="546">
        <f t="shared" si="27"/>
        <v>0.04</v>
      </c>
      <c r="AF67" s="547">
        <f t="shared" si="14"/>
        <v>661.69797773872301</v>
      </c>
      <c r="AG67" s="547">
        <f t="shared" si="15"/>
        <v>661.69797773872301</v>
      </c>
      <c r="AH67" s="547">
        <f t="shared" si="16"/>
        <v>1985.093933216169</v>
      </c>
      <c r="AI67" s="547">
        <f t="shared" si="17"/>
        <v>2646.791910954892</v>
      </c>
      <c r="AJ67" s="547">
        <f t="shared" si="28"/>
        <v>15880.751465729352</v>
      </c>
      <c r="AK67" s="547">
        <f t="shared" si="18"/>
        <v>32423.200909197425</v>
      </c>
      <c r="AL67" s="547">
        <f t="shared" si="19"/>
        <v>47642.254397188051</v>
      </c>
      <c r="AM67" s="547">
        <f t="shared" si="20"/>
        <v>63523.005862917409</v>
      </c>
      <c r="AN67" s="537">
        <f t="shared" si="21"/>
        <v>3549.4141223882839</v>
      </c>
      <c r="AO67" s="537">
        <f t="shared" si="22"/>
        <v>7188.7529999512608</v>
      </c>
      <c r="AP67" s="537">
        <f t="shared" si="23"/>
        <v>10648.24236716485</v>
      </c>
      <c r="AQ67" s="537">
        <f t="shared" si="24"/>
        <v>14197.656489553136</v>
      </c>
      <c r="AR67" s="523">
        <f t="shared" si="25"/>
        <v>165424.49443468073</v>
      </c>
      <c r="AS67" s="523">
        <f t="shared" si="26"/>
        <v>13785.374536223395</v>
      </c>
      <c r="AT67" s="546"/>
      <c r="AU67" s="539">
        <v>8.4099999999999994E-2</v>
      </c>
      <c r="AV67" s="540">
        <v>0.22</v>
      </c>
      <c r="AW67" s="546"/>
      <c r="AX67" s="546"/>
    </row>
    <row r="68" spans="1:50" s="392" customFormat="1" ht="15.75" hidden="1">
      <c r="A68" s="395" t="s">
        <v>952</v>
      </c>
      <c r="B68" s="390" t="s">
        <v>944</v>
      </c>
      <c r="C68" s="390" t="s">
        <v>755</v>
      </c>
      <c r="D68" s="391">
        <v>8322</v>
      </c>
      <c r="E68" s="391">
        <v>1</v>
      </c>
      <c r="F68" s="391" t="s">
        <v>953</v>
      </c>
      <c r="G68" s="553">
        <v>1</v>
      </c>
      <c r="H68" s="553">
        <v>3</v>
      </c>
      <c r="I68" s="553">
        <v>34.409999999999997</v>
      </c>
      <c r="J68" s="553">
        <f t="shared" si="29"/>
        <v>5715.1173227885174</v>
      </c>
      <c r="K68" s="553">
        <v>25</v>
      </c>
      <c r="L68" s="533">
        <f t="shared" si="1"/>
        <v>1428.7793306971294</v>
      </c>
      <c r="M68" s="553">
        <v>25</v>
      </c>
      <c r="N68" s="532">
        <f t="shared" si="2"/>
        <v>1428.7793306971294</v>
      </c>
      <c r="O68" s="533">
        <f t="shared" si="3"/>
        <v>8572.6759841827752</v>
      </c>
      <c r="P68" s="580">
        <f t="shared" si="4"/>
        <v>8572.6759841827752</v>
      </c>
      <c r="Q68" s="553">
        <f t="shared" si="5"/>
        <v>1428.7793306971294</v>
      </c>
      <c r="R68" s="553"/>
      <c r="S68" s="535">
        <f t="shared" si="6"/>
        <v>17145.351968365554</v>
      </c>
      <c r="T68" s="535">
        <f t="shared" si="7"/>
        <v>8572.675984182777</v>
      </c>
      <c r="U68" s="535">
        <f t="shared" si="8"/>
        <v>34290.703936731108</v>
      </c>
      <c r="V68" s="535">
        <f t="shared" si="9"/>
        <v>17145.351968365554</v>
      </c>
      <c r="W68" s="553">
        <v>9255.7405182283819</v>
      </c>
      <c r="X68" s="535">
        <f t="shared" si="10"/>
        <v>51436.055905096655</v>
      </c>
      <c r="Y68" s="535">
        <f t="shared" si="11"/>
        <v>25718.027952548327</v>
      </c>
      <c r="Z68" s="554"/>
      <c r="AA68" s="553">
        <v>9657.940439891534</v>
      </c>
      <c r="AB68" s="535">
        <f t="shared" si="12"/>
        <v>68581.407873462216</v>
      </c>
      <c r="AC68" s="577">
        <f t="shared" si="13"/>
        <v>34290.703936731108</v>
      </c>
      <c r="AD68" s="545">
        <v>0.04</v>
      </c>
      <c r="AE68" s="546">
        <f t="shared" si="27"/>
        <v>0.04</v>
      </c>
      <c r="AF68" s="547">
        <f t="shared" si="14"/>
        <v>685.81407873462217</v>
      </c>
      <c r="AG68" s="547">
        <f t="shared" si="15"/>
        <v>685.81407873462217</v>
      </c>
      <c r="AH68" s="547">
        <f t="shared" si="16"/>
        <v>2057.4422362038663</v>
      </c>
      <c r="AI68" s="547">
        <f t="shared" si="17"/>
        <v>2743.2563149384887</v>
      </c>
      <c r="AJ68" s="547">
        <f t="shared" ref="AJ68:AJ99" si="30">S68-AF68</f>
        <v>16459.53788963093</v>
      </c>
      <c r="AK68" s="547">
        <f t="shared" si="18"/>
        <v>33604.889857996488</v>
      </c>
      <c r="AL68" s="547">
        <f t="shared" si="19"/>
        <v>49378.613668892787</v>
      </c>
      <c r="AM68" s="547">
        <f t="shared" si="20"/>
        <v>65838.151558523721</v>
      </c>
      <c r="AN68" s="537">
        <f t="shared" si="21"/>
        <v>3678.7752997403863</v>
      </c>
      <c r="AO68" s="537">
        <f t="shared" si="22"/>
        <v>7450.7527327808093</v>
      </c>
      <c r="AP68" s="537">
        <f t="shared" si="23"/>
        <v>11036.325899221159</v>
      </c>
      <c r="AQ68" s="537">
        <f t="shared" si="24"/>
        <v>14715.101198961545</v>
      </c>
      <c r="AR68" s="523">
        <f t="shared" si="25"/>
        <v>171453.51968365553</v>
      </c>
      <c r="AS68" s="523">
        <f t="shared" si="26"/>
        <v>14287.793306971294</v>
      </c>
      <c r="AT68" s="556"/>
      <c r="AU68" s="539">
        <v>8.4099999999999994E-2</v>
      </c>
      <c r="AV68" s="540">
        <v>0.22</v>
      </c>
      <c r="AW68" s="556"/>
      <c r="AX68" s="556"/>
    </row>
    <row r="69" spans="1:50" ht="15.75" hidden="1">
      <c r="A69" s="305" t="s">
        <v>954</v>
      </c>
      <c r="B69" s="305" t="s">
        <v>754</v>
      </c>
      <c r="C69" s="305" t="s">
        <v>755</v>
      </c>
      <c r="D69" s="306">
        <v>8322</v>
      </c>
      <c r="E69" s="306">
        <v>3</v>
      </c>
      <c r="F69" s="306" t="s">
        <v>955</v>
      </c>
      <c r="G69" s="519">
        <v>3</v>
      </c>
      <c r="H69" s="519">
        <v>3</v>
      </c>
      <c r="I69" s="519">
        <v>35.630000000000003</v>
      </c>
      <c r="J69" s="519">
        <f t="shared" si="29"/>
        <v>5917.7457195860188</v>
      </c>
      <c r="K69" s="519">
        <v>12</v>
      </c>
      <c r="L69" s="533">
        <f t="shared" ref="L69:L113" si="31">J69*K69%</f>
        <v>710.12948635032228</v>
      </c>
      <c r="M69" s="519">
        <v>25</v>
      </c>
      <c r="N69" s="532">
        <f t="shared" ref="N69:N113" si="32">J69*M69%</f>
        <v>1479.4364298965047</v>
      </c>
      <c r="O69" s="533">
        <f t="shared" ref="O69:O113" si="33">J69+L69+N69</f>
        <v>8107.3116358328462</v>
      </c>
      <c r="P69" s="580">
        <f t="shared" ref="P69:P113" si="34">O69*G69</f>
        <v>24321.934907498537</v>
      </c>
      <c r="Q69" s="519">
        <f t="shared" si="5"/>
        <v>4438.3092896895141</v>
      </c>
      <c r="R69" s="519"/>
      <c r="S69" s="535">
        <f t="shared" ref="S69:S113" si="35">J69*3*G69</f>
        <v>53259.711476274169</v>
      </c>
      <c r="T69" s="535">
        <f t="shared" ref="T69:T113" si="36">(L69+N69)*3*G69</f>
        <v>19706.09324622144</v>
      </c>
      <c r="U69" s="535">
        <f t="shared" ref="U69:U113" si="37">J69*6*G69</f>
        <v>106519.42295254834</v>
      </c>
      <c r="V69" s="535">
        <f t="shared" ref="V69:V113" si="38">(L69+N69)*6*G69</f>
        <v>39412.186492442881</v>
      </c>
      <c r="W69" s="519">
        <f>W72/G72*G69</f>
        <v>26704.574999999997</v>
      </c>
      <c r="X69" s="535">
        <f t="shared" ref="X69:X113" si="39">J69*9*G69</f>
        <v>159779.13442882249</v>
      </c>
      <c r="Y69" s="535">
        <f t="shared" ref="Y69:Y113" si="40">(L69+N69)*9*G69</f>
        <v>59118.279738664321</v>
      </c>
      <c r="Z69" s="542"/>
      <c r="AA69" s="519">
        <f>AA72/G72*G69</f>
        <v>27864.989999999998</v>
      </c>
      <c r="AB69" s="535">
        <f t="shared" ref="AB69:AB113" si="41">J69*12*G69</f>
        <v>213038.84590509668</v>
      </c>
      <c r="AC69" s="577">
        <f t="shared" ref="AC69:AC113" si="42">(L69+N69)*12*G69</f>
        <v>78824.372984885762</v>
      </c>
      <c r="AD69" s="545">
        <v>0.04</v>
      </c>
      <c r="AE69" s="546">
        <f t="shared" si="27"/>
        <v>0.12</v>
      </c>
      <c r="AF69" s="547">
        <f t="shared" si="14"/>
        <v>2130.3884590509665</v>
      </c>
      <c r="AG69" s="547">
        <f t="shared" si="15"/>
        <v>2130.3884590509665</v>
      </c>
      <c r="AH69" s="547">
        <f t="shared" si="16"/>
        <v>6391.1653771528991</v>
      </c>
      <c r="AI69" s="547">
        <f t="shared" si="17"/>
        <v>8521.553836203866</v>
      </c>
      <c r="AJ69" s="547">
        <f t="shared" si="30"/>
        <v>51129.3230172232</v>
      </c>
      <c r="AK69" s="547">
        <f t="shared" si="18"/>
        <v>104389.03449349737</v>
      </c>
      <c r="AL69" s="547">
        <f t="shared" si="19"/>
        <v>153387.96905166958</v>
      </c>
      <c r="AM69" s="547">
        <f t="shared" si="20"/>
        <v>204517.2920688928</v>
      </c>
      <c r="AN69" s="537">
        <f t="shared" ref="AN69:AN132" si="43">AF69*AU69+AJ69*AV69</f>
        <v>11427.616733195289</v>
      </c>
      <c r="AO69" s="537">
        <f t="shared" ref="AO69:AO132" si="44">AG69*AU69+AK69*AV69</f>
        <v>23144.753257975608</v>
      </c>
      <c r="AP69" s="537">
        <f t="shared" ref="AP69:AP132" si="45">AH69*AU69++++AL69*AV69</f>
        <v>34282.850199585868</v>
      </c>
      <c r="AQ69" s="537">
        <f t="shared" ref="AQ69:AQ132" si="46">AI69*AU69+AM69*AV69</f>
        <v>45710.466932781157</v>
      </c>
      <c r="AR69" s="523">
        <f t="shared" ref="AR69:AR132" si="47">S69+U69+X69+AB69</f>
        <v>532597.11476274161</v>
      </c>
      <c r="AS69" s="523">
        <f t="shared" ref="AS69:AS132" si="48">AR69/12/G69</f>
        <v>14794.364298965045</v>
      </c>
      <c r="AU69" s="539">
        <v>8.4099999999999994E-2</v>
      </c>
      <c r="AV69" s="540">
        <v>0.22</v>
      </c>
    </row>
    <row r="70" spans="1:50" ht="15.75" hidden="1">
      <c r="A70" s="305" t="s">
        <v>580</v>
      </c>
      <c r="B70" s="305" t="s">
        <v>754</v>
      </c>
      <c r="C70" s="305" t="s">
        <v>755</v>
      </c>
      <c r="D70" s="306">
        <v>9333</v>
      </c>
      <c r="E70" s="306"/>
      <c r="F70" s="306"/>
      <c r="G70" s="519">
        <v>2</v>
      </c>
      <c r="H70" s="519"/>
      <c r="I70" s="519">
        <v>21.93</v>
      </c>
      <c r="J70" s="519">
        <v>3642.7</v>
      </c>
      <c r="K70" s="519">
        <v>12</v>
      </c>
      <c r="L70" s="533">
        <f t="shared" si="31"/>
        <v>437.12399999999997</v>
      </c>
      <c r="M70" s="519">
        <v>20</v>
      </c>
      <c r="N70" s="532">
        <f t="shared" si="32"/>
        <v>728.54</v>
      </c>
      <c r="O70" s="533">
        <f t="shared" si="33"/>
        <v>4808.3639999999996</v>
      </c>
      <c r="P70" s="580">
        <f t="shared" si="34"/>
        <v>9616.7279999999992</v>
      </c>
      <c r="Q70" s="519">
        <f t="shared" si="5"/>
        <v>1457.08</v>
      </c>
      <c r="R70" s="519"/>
      <c r="S70" s="535">
        <f t="shared" si="35"/>
        <v>21856.199999999997</v>
      </c>
      <c r="T70" s="535">
        <f t="shared" si="36"/>
        <v>6993.9840000000004</v>
      </c>
      <c r="U70" s="535">
        <f t="shared" si="37"/>
        <v>43712.399999999994</v>
      </c>
      <c r="V70" s="535">
        <f t="shared" si="38"/>
        <v>13987.968000000001</v>
      </c>
      <c r="W70" s="519">
        <v>10047.89</v>
      </c>
      <c r="X70" s="535">
        <f t="shared" si="39"/>
        <v>65568.599999999991</v>
      </c>
      <c r="Y70" s="535">
        <f t="shared" si="40"/>
        <v>20981.952000000001</v>
      </c>
      <c r="Z70" s="542"/>
      <c r="AA70" s="519">
        <v>10484.51</v>
      </c>
      <c r="AB70" s="535">
        <f t="shared" si="41"/>
        <v>87424.799999999988</v>
      </c>
      <c r="AC70" s="577">
        <f t="shared" si="42"/>
        <v>27975.936000000002</v>
      </c>
      <c r="AD70" s="522">
        <v>0.04</v>
      </c>
      <c r="AE70" s="523">
        <f t="shared" si="27"/>
        <v>0.08</v>
      </c>
      <c r="AF70" s="524">
        <f t="shared" si="14"/>
        <v>874.24799999999993</v>
      </c>
      <c r="AG70" s="524">
        <f t="shared" si="15"/>
        <v>874.24799999999993</v>
      </c>
      <c r="AH70" s="524">
        <f t="shared" si="16"/>
        <v>2622.7439999999997</v>
      </c>
      <c r="AI70" s="524">
        <f t="shared" si="17"/>
        <v>3496.9919999999997</v>
      </c>
      <c r="AJ70" s="524">
        <f t="shared" si="30"/>
        <v>20981.951999999997</v>
      </c>
      <c r="AK70" s="524">
        <f t="shared" si="18"/>
        <v>42838.151999999995</v>
      </c>
      <c r="AL70" s="524">
        <f t="shared" si="19"/>
        <v>62945.855999999992</v>
      </c>
      <c r="AM70" s="524">
        <f t="shared" si="20"/>
        <v>83927.80799999999</v>
      </c>
      <c r="AN70" s="537">
        <f t="shared" si="43"/>
        <v>4689.5536967999997</v>
      </c>
      <c r="AO70" s="537">
        <f t="shared" si="44"/>
        <v>9497.9176967999974</v>
      </c>
      <c r="AP70" s="537">
        <f t="shared" si="45"/>
        <v>14068.661090399999</v>
      </c>
      <c r="AQ70" s="537">
        <f t="shared" si="46"/>
        <v>18758.214787199999</v>
      </c>
      <c r="AR70" s="523">
        <f t="shared" si="47"/>
        <v>218561.99999999997</v>
      </c>
      <c r="AS70" s="523">
        <f t="shared" si="48"/>
        <v>9106.7499999999982</v>
      </c>
      <c r="AU70" s="539">
        <v>8.4099999999999994E-2</v>
      </c>
      <c r="AV70" s="540">
        <v>0.22</v>
      </c>
    </row>
    <row r="71" spans="1:50" ht="15.75" hidden="1">
      <c r="A71" s="305" t="s">
        <v>793</v>
      </c>
      <c r="B71" s="305" t="s">
        <v>754</v>
      </c>
      <c r="C71" s="305" t="s">
        <v>755</v>
      </c>
      <c r="D71" s="306">
        <v>8322</v>
      </c>
      <c r="E71" s="306">
        <v>15</v>
      </c>
      <c r="F71" s="306" t="s">
        <v>794</v>
      </c>
      <c r="G71" s="519">
        <v>30</v>
      </c>
      <c r="H71" s="519">
        <v>3</v>
      </c>
      <c r="I71" s="519">
        <v>51.21</v>
      </c>
      <c r="J71" s="519">
        <v>8505.41</v>
      </c>
      <c r="K71" s="519">
        <v>12</v>
      </c>
      <c r="L71" s="533">
        <f t="shared" si="31"/>
        <v>1020.6492</v>
      </c>
      <c r="M71" s="519">
        <v>40.5</v>
      </c>
      <c r="N71" s="532">
        <f t="shared" si="32"/>
        <v>3444.6910500000004</v>
      </c>
      <c r="O71" s="533">
        <f t="shared" si="33"/>
        <v>12970.750250000001</v>
      </c>
      <c r="P71" s="580">
        <f t="shared" si="34"/>
        <v>389122.50750000001</v>
      </c>
      <c r="Q71" s="519">
        <f t="shared" si="5"/>
        <v>103340.73150000001</v>
      </c>
      <c r="R71" s="519"/>
      <c r="S71" s="535">
        <f t="shared" si="35"/>
        <v>765486.9</v>
      </c>
      <c r="T71" s="535">
        <f t="shared" si="36"/>
        <v>401880.6225</v>
      </c>
      <c r="U71" s="535">
        <f t="shared" si="37"/>
        <v>1530973.8</v>
      </c>
      <c r="V71" s="535">
        <f t="shared" si="38"/>
        <v>803761.245</v>
      </c>
      <c r="W71" s="519">
        <v>406568.76</v>
      </c>
      <c r="X71" s="535">
        <f t="shared" si="39"/>
        <v>2296460.7000000002</v>
      </c>
      <c r="Y71" s="535">
        <f t="shared" si="40"/>
        <v>1205641.8675000002</v>
      </c>
      <c r="Z71" s="542"/>
      <c r="AA71" s="519">
        <v>424235.8</v>
      </c>
      <c r="AB71" s="535">
        <f t="shared" si="41"/>
        <v>3061947.6</v>
      </c>
      <c r="AC71" s="577">
        <f t="shared" si="42"/>
        <v>1607522.49</v>
      </c>
      <c r="AD71" s="522">
        <v>0.04</v>
      </c>
      <c r="AE71" s="523">
        <f t="shared" si="27"/>
        <v>1.2</v>
      </c>
      <c r="AF71" s="524">
        <f t="shared" si="14"/>
        <v>30619.475999999999</v>
      </c>
      <c r="AG71" s="524">
        <f t="shared" si="15"/>
        <v>30619.475999999999</v>
      </c>
      <c r="AH71" s="524">
        <f t="shared" si="16"/>
        <v>91858.428</v>
      </c>
      <c r="AI71" s="524">
        <f t="shared" si="17"/>
        <v>122477.90399999999</v>
      </c>
      <c r="AJ71" s="524">
        <f t="shared" si="30"/>
        <v>734867.424</v>
      </c>
      <c r="AK71" s="524">
        <f t="shared" si="18"/>
        <v>1500354.324</v>
      </c>
      <c r="AL71" s="524">
        <f t="shared" si="19"/>
        <v>2204602.2720000003</v>
      </c>
      <c r="AM71" s="524">
        <f t="shared" si="20"/>
        <v>2939469.696</v>
      </c>
      <c r="AN71" s="537">
        <f t="shared" si="43"/>
        <v>164245.93121159999</v>
      </c>
      <c r="AO71" s="537">
        <f t="shared" si="44"/>
        <v>332653.04921159998</v>
      </c>
      <c r="AP71" s="537">
        <f t="shared" si="45"/>
        <v>492737.79363480007</v>
      </c>
      <c r="AQ71" s="537">
        <f t="shared" si="46"/>
        <v>656983.72484639997</v>
      </c>
      <c r="AR71" s="523">
        <f t="shared" si="47"/>
        <v>7654869</v>
      </c>
      <c r="AS71" s="523">
        <f t="shared" si="48"/>
        <v>21263.525000000001</v>
      </c>
      <c r="AU71" s="539">
        <v>8.4099999999999994E-2</v>
      </c>
      <c r="AV71" s="540">
        <v>0.22</v>
      </c>
    </row>
    <row r="72" spans="1:50" ht="15.75" hidden="1">
      <c r="A72" s="305" t="s">
        <v>582</v>
      </c>
      <c r="B72" s="305" t="s">
        <v>754</v>
      </c>
      <c r="C72" s="305" t="s">
        <v>755</v>
      </c>
      <c r="D72" s="306">
        <v>8131</v>
      </c>
      <c r="E72" s="306">
        <v>2</v>
      </c>
      <c r="F72" s="306"/>
      <c r="G72" s="519">
        <v>4</v>
      </c>
      <c r="H72" s="519"/>
      <c r="I72" s="519">
        <v>35.619999999999997</v>
      </c>
      <c r="J72" s="519">
        <v>5916.35</v>
      </c>
      <c r="K72" s="519">
        <v>24</v>
      </c>
      <c r="L72" s="533">
        <f t="shared" si="31"/>
        <v>1419.924</v>
      </c>
      <c r="M72" s="519">
        <v>20</v>
      </c>
      <c r="N72" s="532">
        <f t="shared" si="32"/>
        <v>1183.2700000000002</v>
      </c>
      <c r="O72" s="533">
        <f t="shared" si="33"/>
        <v>8519.5439999999999</v>
      </c>
      <c r="P72" s="580">
        <f t="shared" si="34"/>
        <v>34078.175999999999</v>
      </c>
      <c r="Q72" s="519">
        <f t="shared" si="5"/>
        <v>4733.0800000000008</v>
      </c>
      <c r="R72" s="519"/>
      <c r="S72" s="535">
        <f t="shared" si="35"/>
        <v>70996.200000000012</v>
      </c>
      <c r="T72" s="535">
        <f t="shared" si="36"/>
        <v>31238.328000000005</v>
      </c>
      <c r="U72" s="535">
        <f t="shared" si="37"/>
        <v>141992.40000000002</v>
      </c>
      <c r="V72" s="535">
        <f t="shared" si="38"/>
        <v>62476.65600000001</v>
      </c>
      <c r="W72" s="519">
        <v>35606.1</v>
      </c>
      <c r="X72" s="535">
        <f t="shared" si="39"/>
        <v>212988.6</v>
      </c>
      <c r="Y72" s="535">
        <f t="shared" si="40"/>
        <v>93714.984000000011</v>
      </c>
      <c r="Z72" s="542"/>
      <c r="AA72" s="519">
        <v>37153.32</v>
      </c>
      <c r="AB72" s="535">
        <f t="shared" si="41"/>
        <v>283984.80000000005</v>
      </c>
      <c r="AC72" s="577">
        <f t="shared" si="42"/>
        <v>124953.31200000002</v>
      </c>
      <c r="AD72" s="522">
        <v>0.04</v>
      </c>
      <c r="AE72" s="523">
        <f t="shared" si="27"/>
        <v>0.16</v>
      </c>
      <c r="AF72" s="524">
        <f t="shared" si="14"/>
        <v>2839.8480000000004</v>
      </c>
      <c r="AG72" s="524">
        <f t="shared" si="15"/>
        <v>2839.8480000000004</v>
      </c>
      <c r="AH72" s="524">
        <f t="shared" si="16"/>
        <v>8519.5439999999999</v>
      </c>
      <c r="AI72" s="524">
        <f t="shared" si="17"/>
        <v>11359.392000000002</v>
      </c>
      <c r="AJ72" s="524">
        <f t="shared" si="30"/>
        <v>68156.352000000014</v>
      </c>
      <c r="AK72" s="524">
        <f t="shared" si="18"/>
        <v>139152.55200000003</v>
      </c>
      <c r="AL72" s="524">
        <f t="shared" si="19"/>
        <v>204469.05600000001</v>
      </c>
      <c r="AM72" s="524">
        <f t="shared" si="20"/>
        <v>272625.40800000005</v>
      </c>
      <c r="AN72" s="537">
        <f t="shared" si="43"/>
        <v>15233.228656800002</v>
      </c>
      <c r="AO72" s="537">
        <f t="shared" si="44"/>
        <v>30852.392656800006</v>
      </c>
      <c r="AP72" s="537">
        <f t="shared" si="45"/>
        <v>45699.685970400002</v>
      </c>
      <c r="AQ72" s="537">
        <f t="shared" si="46"/>
        <v>60932.914627200007</v>
      </c>
      <c r="AR72" s="523">
        <f t="shared" si="47"/>
        <v>709962.00000000012</v>
      </c>
      <c r="AS72" s="523">
        <f t="shared" si="48"/>
        <v>14790.875000000002</v>
      </c>
      <c r="AU72" s="539">
        <v>8.4099999999999994E-2</v>
      </c>
      <c r="AV72" s="540">
        <v>0.22</v>
      </c>
    </row>
    <row r="73" spans="1:50" ht="15.75" hidden="1">
      <c r="A73" s="305" t="s">
        <v>583</v>
      </c>
      <c r="B73" s="305" t="s">
        <v>754</v>
      </c>
      <c r="C73" s="305" t="s">
        <v>755</v>
      </c>
      <c r="D73" s="306">
        <v>8332</v>
      </c>
      <c r="E73" s="306">
        <v>4</v>
      </c>
      <c r="F73" s="306"/>
      <c r="G73" s="519">
        <v>1</v>
      </c>
      <c r="H73" s="519">
        <v>4</v>
      </c>
      <c r="I73" s="519">
        <v>41</v>
      </c>
      <c r="J73" s="519">
        <v>6808.83</v>
      </c>
      <c r="K73" s="519">
        <v>28</v>
      </c>
      <c r="L73" s="533">
        <f t="shared" si="31"/>
        <v>1906.4724000000001</v>
      </c>
      <c r="M73" s="519">
        <v>20</v>
      </c>
      <c r="N73" s="532">
        <f t="shared" si="32"/>
        <v>1361.7660000000001</v>
      </c>
      <c r="O73" s="533">
        <f t="shared" si="33"/>
        <v>10077.0684</v>
      </c>
      <c r="P73" s="580">
        <f t="shared" si="34"/>
        <v>10077.0684</v>
      </c>
      <c r="Q73" s="519">
        <f t="shared" si="5"/>
        <v>1361.7660000000001</v>
      </c>
      <c r="R73" s="519"/>
      <c r="S73" s="535">
        <f t="shared" si="35"/>
        <v>20426.489999999998</v>
      </c>
      <c r="T73" s="535">
        <f t="shared" si="36"/>
        <v>9804.7152000000006</v>
      </c>
      <c r="U73" s="535">
        <f t="shared" si="37"/>
        <v>40852.979999999996</v>
      </c>
      <c r="V73" s="535">
        <f t="shared" si="38"/>
        <v>19609.430400000001</v>
      </c>
      <c r="W73" s="519">
        <v>10528.88</v>
      </c>
      <c r="X73" s="535">
        <f t="shared" si="39"/>
        <v>61279.47</v>
      </c>
      <c r="Y73" s="535">
        <f t="shared" si="40"/>
        <v>29414.145600000003</v>
      </c>
      <c r="Z73" s="542"/>
      <c r="AA73" s="519">
        <v>10986.4</v>
      </c>
      <c r="AB73" s="535">
        <f t="shared" si="41"/>
        <v>81705.959999999992</v>
      </c>
      <c r="AC73" s="577">
        <f t="shared" si="42"/>
        <v>39218.860800000002</v>
      </c>
      <c r="AD73" s="522">
        <v>0.04</v>
      </c>
      <c r="AE73" s="523">
        <f t="shared" si="27"/>
        <v>0.04</v>
      </c>
      <c r="AF73" s="524">
        <f t="shared" si="14"/>
        <v>817.05959999999993</v>
      </c>
      <c r="AG73" s="524">
        <f t="shared" si="15"/>
        <v>817.05959999999993</v>
      </c>
      <c r="AH73" s="524">
        <f t="shared" si="16"/>
        <v>2451.1788000000001</v>
      </c>
      <c r="AI73" s="524">
        <f t="shared" si="17"/>
        <v>3268.2383999999997</v>
      </c>
      <c r="AJ73" s="524">
        <f t="shared" si="30"/>
        <v>19609.430399999997</v>
      </c>
      <c r="AK73" s="524">
        <f t="shared" si="18"/>
        <v>40035.920399999995</v>
      </c>
      <c r="AL73" s="524">
        <f t="shared" si="19"/>
        <v>58828.2912</v>
      </c>
      <c r="AM73" s="524">
        <f t="shared" si="20"/>
        <v>78437.72159999999</v>
      </c>
      <c r="AN73" s="537">
        <f t="shared" si="43"/>
        <v>4382.7894003599995</v>
      </c>
      <c r="AO73" s="537">
        <f t="shared" si="44"/>
        <v>8876.6172003600004</v>
      </c>
      <c r="AP73" s="537">
        <f t="shared" si="45"/>
        <v>13148.36820108</v>
      </c>
      <c r="AQ73" s="537">
        <f t="shared" si="46"/>
        <v>17531.157601439998</v>
      </c>
      <c r="AR73" s="523">
        <f t="shared" si="47"/>
        <v>204264.9</v>
      </c>
      <c r="AS73" s="523">
        <f t="shared" si="48"/>
        <v>17022.075000000001</v>
      </c>
      <c r="AU73" s="539">
        <v>8.4099999999999994E-2</v>
      </c>
      <c r="AV73" s="540">
        <v>0.22</v>
      </c>
    </row>
    <row r="74" spans="1:50" ht="15.75" hidden="1">
      <c r="A74" s="305" t="s">
        <v>584</v>
      </c>
      <c r="B74" s="305" t="s">
        <v>754</v>
      </c>
      <c r="C74" s="305" t="s">
        <v>755</v>
      </c>
      <c r="D74" s="306">
        <v>8332</v>
      </c>
      <c r="E74" s="306">
        <v>2</v>
      </c>
      <c r="F74" s="306"/>
      <c r="G74" s="519">
        <v>1</v>
      </c>
      <c r="H74" s="519">
        <v>3</v>
      </c>
      <c r="I74" s="519">
        <v>36.44</v>
      </c>
      <c r="J74" s="519">
        <v>6051.53</v>
      </c>
      <c r="K74" s="519">
        <v>24</v>
      </c>
      <c r="L74" s="533">
        <f t="shared" si="31"/>
        <v>1452.3671999999999</v>
      </c>
      <c r="M74" s="519">
        <v>20</v>
      </c>
      <c r="N74" s="532">
        <f t="shared" si="32"/>
        <v>1210.306</v>
      </c>
      <c r="O74" s="533">
        <f t="shared" si="33"/>
        <v>8714.2031999999999</v>
      </c>
      <c r="P74" s="580">
        <f t="shared" si="34"/>
        <v>8714.2031999999999</v>
      </c>
      <c r="Q74" s="519">
        <f t="shared" si="5"/>
        <v>1210.306</v>
      </c>
      <c r="R74" s="519"/>
      <c r="S74" s="535">
        <f t="shared" si="35"/>
        <v>18154.59</v>
      </c>
      <c r="T74" s="535">
        <f t="shared" si="36"/>
        <v>7988.0196000000005</v>
      </c>
      <c r="U74" s="535">
        <f t="shared" si="37"/>
        <v>36309.18</v>
      </c>
      <c r="V74" s="535">
        <f t="shared" si="38"/>
        <v>15976.039200000001</v>
      </c>
      <c r="W74" s="519">
        <v>9104.9</v>
      </c>
      <c r="X74" s="535">
        <f t="shared" si="39"/>
        <v>54463.77</v>
      </c>
      <c r="Y74" s="535">
        <f t="shared" si="40"/>
        <v>23964.058800000003</v>
      </c>
      <c r="Z74" s="542"/>
      <c r="AA74" s="519">
        <v>9500.5400000000009</v>
      </c>
      <c r="AB74" s="535">
        <f t="shared" si="41"/>
        <v>72618.36</v>
      </c>
      <c r="AC74" s="577">
        <f t="shared" si="42"/>
        <v>31952.078400000002</v>
      </c>
      <c r="AD74" s="522">
        <v>0.04</v>
      </c>
      <c r="AE74" s="523">
        <f t="shared" si="27"/>
        <v>0.04</v>
      </c>
      <c r="AF74" s="524">
        <f t="shared" si="14"/>
        <v>726.18360000000007</v>
      </c>
      <c r="AG74" s="524">
        <f t="shared" si="15"/>
        <v>726.18360000000007</v>
      </c>
      <c r="AH74" s="524">
        <f t="shared" si="16"/>
        <v>2178.5508</v>
      </c>
      <c r="AI74" s="524">
        <f t="shared" si="17"/>
        <v>2904.7344000000003</v>
      </c>
      <c r="AJ74" s="524">
        <f t="shared" si="30"/>
        <v>17428.4064</v>
      </c>
      <c r="AK74" s="524">
        <f t="shared" si="18"/>
        <v>35582.996400000004</v>
      </c>
      <c r="AL74" s="524">
        <f t="shared" si="19"/>
        <v>52285.2192</v>
      </c>
      <c r="AM74" s="524">
        <f t="shared" si="20"/>
        <v>69713.625599999999</v>
      </c>
      <c r="AN74" s="537">
        <f t="shared" si="43"/>
        <v>3895.3214487600003</v>
      </c>
      <c r="AO74" s="537">
        <f t="shared" si="44"/>
        <v>7889.3312487600006</v>
      </c>
      <c r="AP74" s="537">
        <f t="shared" si="45"/>
        <v>11685.964346280001</v>
      </c>
      <c r="AQ74" s="537">
        <f t="shared" si="46"/>
        <v>15581.285795040001</v>
      </c>
      <c r="AR74" s="523">
        <f t="shared" si="47"/>
        <v>181545.90000000002</v>
      </c>
      <c r="AS74" s="523">
        <f t="shared" si="48"/>
        <v>15128.825000000003</v>
      </c>
      <c r="AU74" s="539">
        <v>8.4099999999999994E-2</v>
      </c>
      <c r="AV74" s="540">
        <v>0.22</v>
      </c>
    </row>
    <row r="75" spans="1:50" ht="15.75" hidden="1">
      <c r="A75" s="305" t="s">
        <v>585</v>
      </c>
      <c r="B75" s="305" t="s">
        <v>754</v>
      </c>
      <c r="C75" s="305" t="s">
        <v>755</v>
      </c>
      <c r="D75" s="306">
        <v>8332</v>
      </c>
      <c r="E75" s="306">
        <v>1</v>
      </c>
      <c r="F75" s="306"/>
      <c r="G75" s="519">
        <v>1</v>
      </c>
      <c r="H75" s="519">
        <v>5</v>
      </c>
      <c r="I75" s="519">
        <v>46.76</v>
      </c>
      <c r="J75" s="519">
        <v>7765.43</v>
      </c>
      <c r="K75" s="519">
        <v>32</v>
      </c>
      <c r="L75" s="533">
        <f t="shared" si="31"/>
        <v>2484.9376000000002</v>
      </c>
      <c r="M75" s="519">
        <v>20</v>
      </c>
      <c r="N75" s="532">
        <f t="shared" si="32"/>
        <v>1553.0860000000002</v>
      </c>
      <c r="O75" s="533">
        <f t="shared" si="33"/>
        <v>11803.453600000001</v>
      </c>
      <c r="P75" s="580">
        <f t="shared" si="34"/>
        <v>11803.453600000001</v>
      </c>
      <c r="Q75" s="519">
        <f t="shared" si="5"/>
        <v>1553.0860000000002</v>
      </c>
      <c r="R75" s="519"/>
      <c r="S75" s="535">
        <f t="shared" si="35"/>
        <v>23296.29</v>
      </c>
      <c r="T75" s="535">
        <f t="shared" si="36"/>
        <v>12114.070800000001</v>
      </c>
      <c r="U75" s="535">
        <f t="shared" si="37"/>
        <v>46592.58</v>
      </c>
      <c r="V75" s="535">
        <f t="shared" si="38"/>
        <v>24228.141600000003</v>
      </c>
      <c r="W75" s="519">
        <v>12332.66</v>
      </c>
      <c r="X75" s="535">
        <f t="shared" si="39"/>
        <v>69888.87</v>
      </c>
      <c r="Y75" s="535">
        <f t="shared" si="40"/>
        <v>36342.212400000004</v>
      </c>
      <c r="Z75" s="542"/>
      <c r="AA75" s="519">
        <v>12868.57</v>
      </c>
      <c r="AB75" s="535">
        <f t="shared" si="41"/>
        <v>93185.16</v>
      </c>
      <c r="AC75" s="577">
        <f t="shared" si="42"/>
        <v>48456.283200000005</v>
      </c>
      <c r="AD75" s="522">
        <v>0.04</v>
      </c>
      <c r="AE75" s="523">
        <f t="shared" si="27"/>
        <v>0.04</v>
      </c>
      <c r="AF75" s="524">
        <f t="shared" si="14"/>
        <v>931.85160000000008</v>
      </c>
      <c r="AG75" s="524">
        <f t="shared" si="15"/>
        <v>931.85160000000008</v>
      </c>
      <c r="AH75" s="524">
        <f t="shared" si="16"/>
        <v>2795.5547999999999</v>
      </c>
      <c r="AI75" s="524">
        <f t="shared" si="17"/>
        <v>3727.4064000000003</v>
      </c>
      <c r="AJ75" s="524">
        <f t="shared" si="30"/>
        <v>22364.438399999999</v>
      </c>
      <c r="AK75" s="524">
        <f t="shared" si="18"/>
        <v>45660.7284</v>
      </c>
      <c r="AL75" s="524">
        <f t="shared" si="19"/>
        <v>67093.315199999997</v>
      </c>
      <c r="AM75" s="524">
        <f t="shared" si="20"/>
        <v>89457.753599999996</v>
      </c>
      <c r="AN75" s="537">
        <f t="shared" si="43"/>
        <v>4998.5451675599998</v>
      </c>
      <c r="AO75" s="537">
        <f t="shared" si="44"/>
        <v>10123.72896756</v>
      </c>
      <c r="AP75" s="537">
        <f t="shared" si="45"/>
        <v>14995.635502679999</v>
      </c>
      <c r="AQ75" s="537">
        <f t="shared" si="46"/>
        <v>19994.180670239999</v>
      </c>
      <c r="AR75" s="523">
        <f t="shared" si="47"/>
        <v>232962.9</v>
      </c>
      <c r="AS75" s="523">
        <f t="shared" si="48"/>
        <v>19413.575000000001</v>
      </c>
      <c r="AU75" s="539">
        <v>8.4099999999999994E-2</v>
      </c>
      <c r="AV75" s="540">
        <v>0.22</v>
      </c>
    </row>
    <row r="76" spans="1:50" s="401" customFormat="1" ht="15.75" hidden="1">
      <c r="A76" s="400" t="s">
        <v>586</v>
      </c>
      <c r="B76" s="400" t="s">
        <v>754</v>
      </c>
      <c r="C76" s="400" t="s">
        <v>755</v>
      </c>
      <c r="D76" s="400">
        <v>8332</v>
      </c>
      <c r="E76" s="400">
        <v>2</v>
      </c>
      <c r="F76" s="400"/>
      <c r="G76" s="532">
        <v>1</v>
      </c>
      <c r="H76" s="532">
        <v>6</v>
      </c>
      <c r="I76" s="532">
        <v>54.66</v>
      </c>
      <c r="J76" s="532">
        <v>9077.2900000000009</v>
      </c>
      <c r="K76" s="532">
        <v>36</v>
      </c>
      <c r="L76" s="533">
        <f t="shared" si="31"/>
        <v>3267.8244</v>
      </c>
      <c r="M76" s="532">
        <v>20</v>
      </c>
      <c r="N76" s="532">
        <f t="shared" si="32"/>
        <v>1815.4580000000003</v>
      </c>
      <c r="O76" s="533">
        <f t="shared" si="33"/>
        <v>14160.572400000001</v>
      </c>
      <c r="P76" s="580">
        <f t="shared" si="34"/>
        <v>14160.572400000001</v>
      </c>
      <c r="Q76" s="532">
        <f t="shared" si="5"/>
        <v>1815.4580000000003</v>
      </c>
      <c r="R76" s="532"/>
      <c r="S76" s="535">
        <f t="shared" si="35"/>
        <v>27231.870000000003</v>
      </c>
      <c r="T76" s="535">
        <f t="shared" si="36"/>
        <v>15249.8472</v>
      </c>
      <c r="U76" s="535">
        <f t="shared" si="37"/>
        <v>54463.740000000005</v>
      </c>
      <c r="V76" s="535">
        <f t="shared" si="38"/>
        <v>30499.6944</v>
      </c>
      <c r="W76" s="532">
        <v>14795.46</v>
      </c>
      <c r="X76" s="535">
        <f t="shared" si="39"/>
        <v>81695.610000000015</v>
      </c>
      <c r="Y76" s="535">
        <f t="shared" si="40"/>
        <v>45749.541599999997</v>
      </c>
      <c r="Z76" s="535"/>
      <c r="AA76" s="532">
        <v>15438.38</v>
      </c>
      <c r="AB76" s="535">
        <f t="shared" si="41"/>
        <v>108927.48000000001</v>
      </c>
      <c r="AC76" s="577">
        <f t="shared" si="42"/>
        <v>60999.388800000001</v>
      </c>
      <c r="AD76" s="536">
        <v>0.04</v>
      </c>
      <c r="AE76" s="537">
        <f t="shared" si="27"/>
        <v>0.04</v>
      </c>
      <c r="AF76" s="538">
        <f t="shared" si="14"/>
        <v>1089.2748000000001</v>
      </c>
      <c r="AG76" s="538">
        <f t="shared" si="15"/>
        <v>1089.2748000000001</v>
      </c>
      <c r="AH76" s="538">
        <f t="shared" si="16"/>
        <v>3267.8244000000009</v>
      </c>
      <c r="AI76" s="538">
        <f t="shared" si="17"/>
        <v>4357.0992000000006</v>
      </c>
      <c r="AJ76" s="538">
        <f t="shared" si="30"/>
        <v>26142.595200000003</v>
      </c>
      <c r="AK76" s="538">
        <f t="shared" si="18"/>
        <v>53374.465200000006</v>
      </c>
      <c r="AL76" s="538">
        <f t="shared" si="19"/>
        <v>78427.785600000017</v>
      </c>
      <c r="AM76" s="538">
        <f t="shared" si="20"/>
        <v>104570.38080000001</v>
      </c>
      <c r="AN76" s="537">
        <f t="shared" si="43"/>
        <v>5842.9789546800012</v>
      </c>
      <c r="AO76" s="537">
        <f t="shared" si="44"/>
        <v>11833.990354680001</v>
      </c>
      <c r="AP76" s="537">
        <f t="shared" si="45"/>
        <v>17528.936864040003</v>
      </c>
      <c r="AQ76" s="537">
        <f t="shared" si="46"/>
        <v>23371.915818720005</v>
      </c>
      <c r="AR76" s="537">
        <f t="shared" si="47"/>
        <v>272318.70000000007</v>
      </c>
      <c r="AS76" s="537">
        <f t="shared" si="48"/>
        <v>22693.225000000006</v>
      </c>
      <c r="AT76" s="537"/>
      <c r="AU76" s="539">
        <v>8.4099999999999994E-2</v>
      </c>
      <c r="AV76" s="540">
        <v>0.22</v>
      </c>
      <c r="AW76" s="537"/>
      <c r="AX76" s="537"/>
    </row>
    <row r="77" spans="1:50" ht="15.75" hidden="1">
      <c r="A77" s="305" t="s">
        <v>587</v>
      </c>
      <c r="B77" s="305" t="s">
        <v>754</v>
      </c>
      <c r="C77" s="305" t="s">
        <v>755</v>
      </c>
      <c r="D77" s="306">
        <v>8332</v>
      </c>
      <c r="E77" s="306">
        <v>1</v>
      </c>
      <c r="F77" s="306" t="s">
        <v>795</v>
      </c>
      <c r="G77" s="519">
        <v>1</v>
      </c>
      <c r="H77" s="519"/>
      <c r="I77" s="519">
        <v>35.619999999999997</v>
      </c>
      <c r="J77" s="519">
        <v>5916.35</v>
      </c>
      <c r="K77" s="519"/>
      <c r="L77" s="533">
        <f t="shared" si="31"/>
        <v>0</v>
      </c>
      <c r="M77" s="519">
        <v>20</v>
      </c>
      <c r="N77" s="532">
        <f t="shared" si="32"/>
        <v>1183.2700000000002</v>
      </c>
      <c r="O77" s="533">
        <f t="shared" si="33"/>
        <v>7099.6200000000008</v>
      </c>
      <c r="P77" s="580">
        <f t="shared" si="34"/>
        <v>7099.6200000000008</v>
      </c>
      <c r="Q77" s="519">
        <f t="shared" si="5"/>
        <v>1183.2700000000002</v>
      </c>
      <c r="R77" s="519"/>
      <c r="S77" s="535">
        <f t="shared" si="35"/>
        <v>17749.050000000003</v>
      </c>
      <c r="T77" s="535">
        <f t="shared" si="36"/>
        <v>3549.8100000000004</v>
      </c>
      <c r="U77" s="535">
        <f t="shared" si="37"/>
        <v>35498.100000000006</v>
      </c>
      <c r="V77" s="535">
        <f t="shared" si="38"/>
        <v>7099.6200000000008</v>
      </c>
      <c r="W77" s="519">
        <v>7417.94</v>
      </c>
      <c r="X77" s="535">
        <f t="shared" si="39"/>
        <v>53247.15</v>
      </c>
      <c r="Y77" s="535">
        <f t="shared" si="40"/>
        <v>10649.430000000002</v>
      </c>
      <c r="Z77" s="542"/>
      <c r="AA77" s="519">
        <v>7740.28</v>
      </c>
      <c r="AB77" s="535">
        <f t="shared" si="41"/>
        <v>70996.200000000012</v>
      </c>
      <c r="AC77" s="577">
        <f t="shared" si="42"/>
        <v>14199.240000000002</v>
      </c>
      <c r="AD77" s="522">
        <v>0.04</v>
      </c>
      <c r="AE77" s="523">
        <f t="shared" si="27"/>
        <v>0.04</v>
      </c>
      <c r="AF77" s="524">
        <f t="shared" si="14"/>
        <v>709.9620000000001</v>
      </c>
      <c r="AG77" s="524">
        <f t="shared" si="15"/>
        <v>709.9620000000001</v>
      </c>
      <c r="AH77" s="524">
        <f t="shared" si="16"/>
        <v>2129.886</v>
      </c>
      <c r="AI77" s="524">
        <f t="shared" si="17"/>
        <v>2839.8480000000004</v>
      </c>
      <c r="AJ77" s="524">
        <f t="shared" si="30"/>
        <v>17039.088000000003</v>
      </c>
      <c r="AK77" s="524">
        <f t="shared" si="18"/>
        <v>34788.138000000006</v>
      </c>
      <c r="AL77" s="524">
        <f t="shared" si="19"/>
        <v>51117.264000000003</v>
      </c>
      <c r="AM77" s="524">
        <f t="shared" si="20"/>
        <v>68156.352000000014</v>
      </c>
      <c r="AN77" s="537">
        <f t="shared" si="43"/>
        <v>3808.3071642000004</v>
      </c>
      <c r="AO77" s="537">
        <f t="shared" si="44"/>
        <v>7713.0981642000015</v>
      </c>
      <c r="AP77" s="537">
        <f t="shared" si="45"/>
        <v>11424.9214926</v>
      </c>
      <c r="AQ77" s="537">
        <f t="shared" si="46"/>
        <v>15233.228656800002</v>
      </c>
      <c r="AR77" s="523">
        <f t="shared" si="47"/>
        <v>177490.50000000003</v>
      </c>
      <c r="AS77" s="523">
        <f t="shared" si="48"/>
        <v>14790.875000000002</v>
      </c>
      <c r="AU77" s="539">
        <v>8.4099999999999994E-2</v>
      </c>
      <c r="AV77" s="540">
        <v>0.22</v>
      </c>
    </row>
    <row r="78" spans="1:50" s="401" customFormat="1" ht="15.75" hidden="1">
      <c r="A78" s="400" t="s">
        <v>588</v>
      </c>
      <c r="B78" s="400" t="s">
        <v>754</v>
      </c>
      <c r="C78" s="400" t="s">
        <v>755</v>
      </c>
      <c r="D78" s="400">
        <v>8332</v>
      </c>
      <c r="E78" s="400">
        <v>1</v>
      </c>
      <c r="F78" s="400"/>
      <c r="G78" s="532">
        <v>1</v>
      </c>
      <c r="H78" s="532">
        <v>6</v>
      </c>
      <c r="I78" s="532">
        <v>54.66</v>
      </c>
      <c r="J78" s="532">
        <v>9077.2900000000009</v>
      </c>
      <c r="K78" s="532">
        <v>36</v>
      </c>
      <c r="L78" s="533">
        <f t="shared" si="31"/>
        <v>3267.8244</v>
      </c>
      <c r="M78" s="532">
        <v>20</v>
      </c>
      <c r="N78" s="532">
        <f t="shared" si="32"/>
        <v>1815.4580000000003</v>
      </c>
      <c r="O78" s="533">
        <f t="shared" si="33"/>
        <v>14160.572400000001</v>
      </c>
      <c r="P78" s="580">
        <f t="shared" si="34"/>
        <v>14160.572400000001</v>
      </c>
      <c r="Q78" s="532">
        <f t="shared" si="5"/>
        <v>1815.4580000000003</v>
      </c>
      <c r="R78" s="532"/>
      <c r="S78" s="535">
        <f t="shared" si="35"/>
        <v>27231.870000000003</v>
      </c>
      <c r="T78" s="535">
        <f t="shared" si="36"/>
        <v>15249.8472</v>
      </c>
      <c r="U78" s="535">
        <f t="shared" si="37"/>
        <v>54463.740000000005</v>
      </c>
      <c r="V78" s="535">
        <f t="shared" si="38"/>
        <v>30499.6944</v>
      </c>
      <c r="W78" s="532">
        <v>14795.46</v>
      </c>
      <c r="X78" s="535">
        <f t="shared" si="39"/>
        <v>81695.610000000015</v>
      </c>
      <c r="Y78" s="535">
        <f t="shared" si="40"/>
        <v>45749.541599999997</v>
      </c>
      <c r="Z78" s="535"/>
      <c r="AA78" s="532">
        <v>15438.38</v>
      </c>
      <c r="AB78" s="535">
        <f t="shared" si="41"/>
        <v>108927.48000000001</v>
      </c>
      <c r="AC78" s="577">
        <f t="shared" si="42"/>
        <v>60999.388800000001</v>
      </c>
      <c r="AD78" s="536">
        <v>0.04</v>
      </c>
      <c r="AE78" s="537">
        <f t="shared" si="27"/>
        <v>0.04</v>
      </c>
      <c r="AF78" s="538">
        <f t="shared" si="14"/>
        <v>1089.2748000000001</v>
      </c>
      <c r="AG78" s="538">
        <f t="shared" si="15"/>
        <v>1089.2748000000001</v>
      </c>
      <c r="AH78" s="538">
        <f t="shared" si="16"/>
        <v>3267.8244000000009</v>
      </c>
      <c r="AI78" s="538">
        <f t="shared" si="17"/>
        <v>4357.0992000000006</v>
      </c>
      <c r="AJ78" s="538">
        <f t="shared" si="30"/>
        <v>26142.595200000003</v>
      </c>
      <c r="AK78" s="538">
        <f t="shared" si="18"/>
        <v>53374.465200000006</v>
      </c>
      <c r="AL78" s="538">
        <f t="shared" si="19"/>
        <v>78427.785600000017</v>
      </c>
      <c r="AM78" s="538">
        <f t="shared" si="20"/>
        <v>104570.38080000001</v>
      </c>
      <c r="AN78" s="537">
        <f t="shared" si="43"/>
        <v>5842.9789546800012</v>
      </c>
      <c r="AO78" s="537">
        <f t="shared" si="44"/>
        <v>11833.990354680001</v>
      </c>
      <c r="AP78" s="537">
        <f t="shared" si="45"/>
        <v>17528.936864040003</v>
      </c>
      <c r="AQ78" s="537">
        <f t="shared" si="46"/>
        <v>23371.915818720005</v>
      </c>
      <c r="AR78" s="537">
        <f t="shared" si="47"/>
        <v>272318.70000000007</v>
      </c>
      <c r="AS78" s="537">
        <f t="shared" si="48"/>
        <v>22693.225000000006</v>
      </c>
      <c r="AT78" s="537"/>
      <c r="AU78" s="539">
        <v>8.4099999999999994E-2</v>
      </c>
      <c r="AV78" s="540">
        <v>0.22</v>
      </c>
      <c r="AW78" s="537"/>
      <c r="AX78" s="537"/>
    </row>
    <row r="79" spans="1:50" ht="15.75" hidden="1">
      <c r="A79" s="305" t="s">
        <v>589</v>
      </c>
      <c r="B79" s="305" t="s">
        <v>754</v>
      </c>
      <c r="C79" s="305" t="s">
        <v>755</v>
      </c>
      <c r="D79" s="306">
        <v>8332</v>
      </c>
      <c r="E79" s="306">
        <v>1</v>
      </c>
      <c r="F79" s="306"/>
      <c r="G79" s="519">
        <v>1</v>
      </c>
      <c r="H79" s="519">
        <v>4</v>
      </c>
      <c r="I79" s="519">
        <v>41</v>
      </c>
      <c r="J79" s="519">
        <v>6808.83</v>
      </c>
      <c r="K79" s="519">
        <v>28</v>
      </c>
      <c r="L79" s="533">
        <f t="shared" si="31"/>
        <v>1906.4724000000001</v>
      </c>
      <c r="M79" s="519">
        <v>20</v>
      </c>
      <c r="N79" s="532">
        <f t="shared" si="32"/>
        <v>1361.7660000000001</v>
      </c>
      <c r="O79" s="533">
        <f t="shared" si="33"/>
        <v>10077.0684</v>
      </c>
      <c r="P79" s="580">
        <f t="shared" si="34"/>
        <v>10077.0684</v>
      </c>
      <c r="Q79" s="519">
        <f t="shared" si="5"/>
        <v>1361.7660000000001</v>
      </c>
      <c r="R79" s="519"/>
      <c r="S79" s="535">
        <f t="shared" si="35"/>
        <v>20426.489999999998</v>
      </c>
      <c r="T79" s="535">
        <f t="shared" si="36"/>
        <v>9804.7152000000006</v>
      </c>
      <c r="U79" s="535">
        <f t="shared" si="37"/>
        <v>40852.979999999996</v>
      </c>
      <c r="V79" s="535">
        <f t="shared" si="38"/>
        <v>19609.430400000001</v>
      </c>
      <c r="W79" s="519">
        <v>10528.88</v>
      </c>
      <c r="X79" s="535">
        <f t="shared" si="39"/>
        <v>61279.47</v>
      </c>
      <c r="Y79" s="535">
        <f t="shared" si="40"/>
        <v>29414.145600000003</v>
      </c>
      <c r="Z79" s="542"/>
      <c r="AA79" s="519">
        <v>10986.4</v>
      </c>
      <c r="AB79" s="535">
        <f t="shared" si="41"/>
        <v>81705.959999999992</v>
      </c>
      <c r="AC79" s="577">
        <f t="shared" si="42"/>
        <v>39218.860800000002</v>
      </c>
      <c r="AD79" s="522">
        <v>0.04</v>
      </c>
      <c r="AE79" s="523">
        <f t="shared" si="27"/>
        <v>0.04</v>
      </c>
      <c r="AF79" s="524">
        <f t="shared" si="14"/>
        <v>817.05959999999993</v>
      </c>
      <c r="AG79" s="524">
        <f t="shared" si="15"/>
        <v>817.05959999999993</v>
      </c>
      <c r="AH79" s="524">
        <f t="shared" si="16"/>
        <v>2451.1788000000001</v>
      </c>
      <c r="AI79" s="524">
        <f t="shared" si="17"/>
        <v>3268.2383999999997</v>
      </c>
      <c r="AJ79" s="524">
        <f t="shared" si="30"/>
        <v>19609.430399999997</v>
      </c>
      <c r="AK79" s="524">
        <f t="shared" si="18"/>
        <v>40035.920399999995</v>
      </c>
      <c r="AL79" s="524">
        <f t="shared" si="19"/>
        <v>58828.2912</v>
      </c>
      <c r="AM79" s="524">
        <f t="shared" si="20"/>
        <v>78437.72159999999</v>
      </c>
      <c r="AN79" s="537">
        <f t="shared" si="43"/>
        <v>4382.7894003599995</v>
      </c>
      <c r="AO79" s="537">
        <f t="shared" si="44"/>
        <v>8876.6172003600004</v>
      </c>
      <c r="AP79" s="537">
        <f t="shared" si="45"/>
        <v>13148.36820108</v>
      </c>
      <c r="AQ79" s="537">
        <f t="shared" si="46"/>
        <v>17531.157601439998</v>
      </c>
      <c r="AR79" s="523">
        <f t="shared" si="47"/>
        <v>204264.9</v>
      </c>
      <c r="AS79" s="523">
        <f t="shared" si="48"/>
        <v>17022.075000000001</v>
      </c>
      <c r="AU79" s="539">
        <v>8.4099999999999994E-2</v>
      </c>
      <c r="AV79" s="540">
        <v>0.22</v>
      </c>
    </row>
    <row r="80" spans="1:50" ht="15.75" hidden="1">
      <c r="A80" s="305" t="s">
        <v>590</v>
      </c>
      <c r="B80" s="305" t="s">
        <v>754</v>
      </c>
      <c r="C80" s="305" t="s">
        <v>755</v>
      </c>
      <c r="D80" s="306">
        <v>8332</v>
      </c>
      <c r="E80" s="306">
        <v>1</v>
      </c>
      <c r="F80" s="306"/>
      <c r="G80" s="519">
        <v>1</v>
      </c>
      <c r="H80" s="519">
        <v>4</v>
      </c>
      <c r="I80" s="519">
        <v>41</v>
      </c>
      <c r="J80" s="519">
        <v>6808.83</v>
      </c>
      <c r="K80" s="519">
        <v>28</v>
      </c>
      <c r="L80" s="533">
        <f t="shared" si="31"/>
        <v>1906.4724000000001</v>
      </c>
      <c r="M80" s="519">
        <v>20</v>
      </c>
      <c r="N80" s="532">
        <f t="shared" si="32"/>
        <v>1361.7660000000001</v>
      </c>
      <c r="O80" s="533">
        <f t="shared" si="33"/>
        <v>10077.0684</v>
      </c>
      <c r="P80" s="580">
        <f t="shared" si="34"/>
        <v>10077.0684</v>
      </c>
      <c r="Q80" s="519">
        <f t="shared" ref="Q80:Q113" si="49">N80*G80</f>
        <v>1361.7660000000001</v>
      </c>
      <c r="R80" s="519"/>
      <c r="S80" s="535">
        <f t="shared" si="35"/>
        <v>20426.489999999998</v>
      </c>
      <c r="T80" s="535">
        <f t="shared" si="36"/>
        <v>9804.7152000000006</v>
      </c>
      <c r="U80" s="535">
        <f t="shared" si="37"/>
        <v>40852.979999999996</v>
      </c>
      <c r="V80" s="535">
        <f t="shared" si="38"/>
        <v>19609.430400000001</v>
      </c>
      <c r="W80" s="519">
        <v>10528.88</v>
      </c>
      <c r="X80" s="535">
        <f t="shared" si="39"/>
        <v>61279.47</v>
      </c>
      <c r="Y80" s="535">
        <f t="shared" si="40"/>
        <v>29414.145600000003</v>
      </c>
      <c r="Z80" s="542"/>
      <c r="AA80" s="519">
        <v>10986.4</v>
      </c>
      <c r="AB80" s="535">
        <f t="shared" si="41"/>
        <v>81705.959999999992</v>
      </c>
      <c r="AC80" s="577">
        <f t="shared" si="42"/>
        <v>39218.860800000002</v>
      </c>
      <c r="AD80" s="522">
        <v>0.04</v>
      </c>
      <c r="AE80" s="523">
        <f t="shared" ref="AE80:AE143" si="50">G80*AD80</f>
        <v>0.04</v>
      </c>
      <c r="AF80" s="524">
        <f t="shared" ref="AF80:AF143" si="51">S80/G80*AE80</f>
        <v>817.05959999999993</v>
      </c>
      <c r="AG80" s="524">
        <f t="shared" ref="AG80:AG143" si="52">AF80</f>
        <v>817.05959999999993</v>
      </c>
      <c r="AH80" s="524">
        <f t="shared" ref="AH80:AH143" si="53">X80/G80*AE80</f>
        <v>2451.1788000000001</v>
      </c>
      <c r="AI80" s="524">
        <f t="shared" ref="AI80:AI143" si="54">AB80/G80*AE80</f>
        <v>3268.2383999999997</v>
      </c>
      <c r="AJ80" s="524">
        <f t="shared" si="30"/>
        <v>19609.430399999997</v>
      </c>
      <c r="AK80" s="524">
        <f t="shared" ref="AK80:AK143" si="55">U80-AG80</f>
        <v>40035.920399999995</v>
      </c>
      <c r="AL80" s="524">
        <f t="shared" ref="AL80:AL143" si="56">X80-AH80</f>
        <v>58828.2912</v>
      </c>
      <c r="AM80" s="524">
        <f t="shared" ref="AM80:AM143" si="57">AB80-AI80</f>
        <v>78437.72159999999</v>
      </c>
      <c r="AN80" s="537">
        <f t="shared" si="43"/>
        <v>4382.7894003599995</v>
      </c>
      <c r="AO80" s="537">
        <f t="shared" si="44"/>
        <v>8876.6172003600004</v>
      </c>
      <c r="AP80" s="537">
        <f t="shared" si="45"/>
        <v>13148.36820108</v>
      </c>
      <c r="AQ80" s="537">
        <f t="shared" si="46"/>
        <v>17531.157601439998</v>
      </c>
      <c r="AR80" s="523">
        <f t="shared" si="47"/>
        <v>204264.9</v>
      </c>
      <c r="AS80" s="523">
        <f t="shared" si="48"/>
        <v>17022.075000000001</v>
      </c>
      <c r="AU80" s="539">
        <v>8.4099999999999994E-2</v>
      </c>
      <c r="AV80" s="540">
        <v>0.22</v>
      </c>
    </row>
    <row r="81" spans="1:48" ht="15.75" hidden="1">
      <c r="A81" s="305" t="s">
        <v>591</v>
      </c>
      <c r="B81" s="305" t="s">
        <v>754</v>
      </c>
      <c r="C81" s="305" t="s">
        <v>755</v>
      </c>
      <c r="D81" s="306">
        <v>8332</v>
      </c>
      <c r="E81" s="306">
        <v>4</v>
      </c>
      <c r="F81" s="306"/>
      <c r="G81" s="519">
        <v>1</v>
      </c>
      <c r="H81" s="519">
        <v>4</v>
      </c>
      <c r="I81" s="519">
        <v>41</v>
      </c>
      <c r="J81" s="519">
        <v>6808.83</v>
      </c>
      <c r="K81" s="519">
        <v>28</v>
      </c>
      <c r="L81" s="533">
        <f t="shared" si="31"/>
        <v>1906.4724000000001</v>
      </c>
      <c r="M81" s="519">
        <v>20</v>
      </c>
      <c r="N81" s="532">
        <f t="shared" si="32"/>
        <v>1361.7660000000001</v>
      </c>
      <c r="O81" s="533">
        <f t="shared" si="33"/>
        <v>10077.0684</v>
      </c>
      <c r="P81" s="580">
        <f t="shared" si="34"/>
        <v>10077.0684</v>
      </c>
      <c r="Q81" s="519">
        <f t="shared" si="49"/>
        <v>1361.7660000000001</v>
      </c>
      <c r="R81" s="519"/>
      <c r="S81" s="535">
        <f t="shared" si="35"/>
        <v>20426.489999999998</v>
      </c>
      <c r="T81" s="535">
        <f t="shared" si="36"/>
        <v>9804.7152000000006</v>
      </c>
      <c r="U81" s="535">
        <f t="shared" si="37"/>
        <v>40852.979999999996</v>
      </c>
      <c r="V81" s="535">
        <f t="shared" si="38"/>
        <v>19609.430400000001</v>
      </c>
      <c r="W81" s="519">
        <v>10528.88</v>
      </c>
      <c r="X81" s="535">
        <f t="shared" si="39"/>
        <v>61279.47</v>
      </c>
      <c r="Y81" s="535">
        <f t="shared" si="40"/>
        <v>29414.145600000003</v>
      </c>
      <c r="Z81" s="542"/>
      <c r="AA81" s="519">
        <v>10986.4</v>
      </c>
      <c r="AB81" s="535">
        <f t="shared" si="41"/>
        <v>81705.959999999992</v>
      </c>
      <c r="AC81" s="577">
        <f t="shared" si="42"/>
        <v>39218.860800000002</v>
      </c>
      <c r="AD81" s="522">
        <v>0.04</v>
      </c>
      <c r="AE81" s="523">
        <f t="shared" si="50"/>
        <v>0.04</v>
      </c>
      <c r="AF81" s="524">
        <f t="shared" si="51"/>
        <v>817.05959999999993</v>
      </c>
      <c r="AG81" s="524">
        <f t="shared" si="52"/>
        <v>817.05959999999993</v>
      </c>
      <c r="AH81" s="524">
        <f t="shared" si="53"/>
        <v>2451.1788000000001</v>
      </c>
      <c r="AI81" s="524">
        <f t="shared" si="54"/>
        <v>3268.2383999999997</v>
      </c>
      <c r="AJ81" s="524">
        <f t="shared" si="30"/>
        <v>19609.430399999997</v>
      </c>
      <c r="AK81" s="524">
        <f t="shared" si="55"/>
        <v>40035.920399999995</v>
      </c>
      <c r="AL81" s="524">
        <f t="shared" si="56"/>
        <v>58828.2912</v>
      </c>
      <c r="AM81" s="524">
        <f t="shared" si="57"/>
        <v>78437.72159999999</v>
      </c>
      <c r="AN81" s="537">
        <f t="shared" si="43"/>
        <v>4382.7894003599995</v>
      </c>
      <c r="AO81" s="537">
        <f t="shared" si="44"/>
        <v>8876.6172003600004</v>
      </c>
      <c r="AP81" s="537">
        <f t="shared" si="45"/>
        <v>13148.36820108</v>
      </c>
      <c r="AQ81" s="537">
        <f t="shared" si="46"/>
        <v>17531.157601439998</v>
      </c>
      <c r="AR81" s="523">
        <f t="shared" si="47"/>
        <v>204264.9</v>
      </c>
      <c r="AS81" s="523">
        <f t="shared" si="48"/>
        <v>17022.075000000001</v>
      </c>
      <c r="AU81" s="539">
        <v>8.4099999999999994E-2</v>
      </c>
      <c r="AV81" s="540">
        <v>0.22</v>
      </c>
    </row>
    <row r="82" spans="1:48" ht="15.75" hidden="1">
      <c r="A82" s="305" t="s">
        <v>592</v>
      </c>
      <c r="B82" s="305" t="s">
        <v>754</v>
      </c>
      <c r="C82" s="305" t="s">
        <v>755</v>
      </c>
      <c r="D82" s="306">
        <v>8332</v>
      </c>
      <c r="E82" s="306">
        <v>3</v>
      </c>
      <c r="F82" s="306"/>
      <c r="G82" s="519">
        <v>1</v>
      </c>
      <c r="H82" s="519">
        <v>5</v>
      </c>
      <c r="I82" s="519">
        <v>46.76</v>
      </c>
      <c r="J82" s="519">
        <v>7765.43</v>
      </c>
      <c r="K82" s="519">
        <v>32</v>
      </c>
      <c r="L82" s="533">
        <f t="shared" si="31"/>
        <v>2484.9376000000002</v>
      </c>
      <c r="M82" s="519">
        <v>20</v>
      </c>
      <c r="N82" s="532">
        <f t="shared" si="32"/>
        <v>1553.0860000000002</v>
      </c>
      <c r="O82" s="533">
        <f t="shared" si="33"/>
        <v>11803.453600000001</v>
      </c>
      <c r="P82" s="580">
        <f t="shared" si="34"/>
        <v>11803.453600000001</v>
      </c>
      <c r="Q82" s="519">
        <f t="shared" si="49"/>
        <v>1553.0860000000002</v>
      </c>
      <c r="R82" s="519"/>
      <c r="S82" s="535">
        <f t="shared" si="35"/>
        <v>23296.29</v>
      </c>
      <c r="T82" s="535">
        <f t="shared" si="36"/>
        <v>12114.070800000001</v>
      </c>
      <c r="U82" s="535">
        <f t="shared" si="37"/>
        <v>46592.58</v>
      </c>
      <c r="V82" s="535">
        <f t="shared" si="38"/>
        <v>24228.141600000003</v>
      </c>
      <c r="W82" s="519">
        <v>12332.66</v>
      </c>
      <c r="X82" s="535">
        <f t="shared" si="39"/>
        <v>69888.87</v>
      </c>
      <c r="Y82" s="535">
        <f t="shared" si="40"/>
        <v>36342.212400000004</v>
      </c>
      <c r="Z82" s="542"/>
      <c r="AA82" s="519">
        <v>12868.57</v>
      </c>
      <c r="AB82" s="535">
        <f t="shared" si="41"/>
        <v>93185.16</v>
      </c>
      <c r="AC82" s="577">
        <f t="shared" si="42"/>
        <v>48456.283200000005</v>
      </c>
      <c r="AD82" s="522">
        <v>0.04</v>
      </c>
      <c r="AE82" s="523">
        <f t="shared" si="50"/>
        <v>0.04</v>
      </c>
      <c r="AF82" s="524">
        <f t="shared" si="51"/>
        <v>931.85160000000008</v>
      </c>
      <c r="AG82" s="524">
        <f t="shared" si="52"/>
        <v>931.85160000000008</v>
      </c>
      <c r="AH82" s="524">
        <f t="shared" si="53"/>
        <v>2795.5547999999999</v>
      </c>
      <c r="AI82" s="524">
        <f t="shared" si="54"/>
        <v>3727.4064000000003</v>
      </c>
      <c r="AJ82" s="524">
        <f t="shared" si="30"/>
        <v>22364.438399999999</v>
      </c>
      <c r="AK82" s="524">
        <f t="shared" si="55"/>
        <v>45660.7284</v>
      </c>
      <c r="AL82" s="524">
        <f t="shared" si="56"/>
        <v>67093.315199999997</v>
      </c>
      <c r="AM82" s="524">
        <f t="shared" si="57"/>
        <v>89457.753599999996</v>
      </c>
      <c r="AN82" s="537">
        <f t="shared" si="43"/>
        <v>4998.5451675599998</v>
      </c>
      <c r="AO82" s="537">
        <f t="shared" si="44"/>
        <v>10123.72896756</v>
      </c>
      <c r="AP82" s="537">
        <f t="shared" si="45"/>
        <v>14995.635502679999</v>
      </c>
      <c r="AQ82" s="537">
        <f t="shared" si="46"/>
        <v>19994.180670239999</v>
      </c>
      <c r="AR82" s="523">
        <f t="shared" si="47"/>
        <v>232962.9</v>
      </c>
      <c r="AS82" s="523">
        <f t="shared" si="48"/>
        <v>19413.575000000001</v>
      </c>
      <c r="AU82" s="539">
        <v>8.4099999999999994E-2</v>
      </c>
      <c r="AV82" s="540">
        <v>0.22</v>
      </c>
    </row>
    <row r="83" spans="1:48" ht="15.75" hidden="1">
      <c r="A83" s="305" t="s">
        <v>593</v>
      </c>
      <c r="B83" s="305" t="s">
        <v>754</v>
      </c>
      <c r="C83" s="305" t="s">
        <v>755</v>
      </c>
      <c r="D83" s="306">
        <v>8332</v>
      </c>
      <c r="E83" s="306">
        <v>1</v>
      </c>
      <c r="F83" s="306"/>
      <c r="G83" s="519">
        <v>1</v>
      </c>
      <c r="H83" s="519">
        <v>5</v>
      </c>
      <c r="I83" s="519">
        <v>46.76</v>
      </c>
      <c r="J83" s="519">
        <v>7765.43</v>
      </c>
      <c r="K83" s="519">
        <v>32</v>
      </c>
      <c r="L83" s="533">
        <f t="shared" si="31"/>
        <v>2484.9376000000002</v>
      </c>
      <c r="M83" s="519">
        <v>20</v>
      </c>
      <c r="N83" s="532">
        <f t="shared" si="32"/>
        <v>1553.0860000000002</v>
      </c>
      <c r="O83" s="533">
        <f t="shared" si="33"/>
        <v>11803.453600000001</v>
      </c>
      <c r="P83" s="580">
        <f t="shared" si="34"/>
        <v>11803.453600000001</v>
      </c>
      <c r="Q83" s="519">
        <f t="shared" si="49"/>
        <v>1553.0860000000002</v>
      </c>
      <c r="R83" s="519"/>
      <c r="S83" s="535">
        <f t="shared" si="35"/>
        <v>23296.29</v>
      </c>
      <c r="T83" s="535">
        <f t="shared" si="36"/>
        <v>12114.070800000001</v>
      </c>
      <c r="U83" s="535">
        <f t="shared" si="37"/>
        <v>46592.58</v>
      </c>
      <c r="V83" s="535">
        <f t="shared" si="38"/>
        <v>24228.141600000003</v>
      </c>
      <c r="W83" s="519">
        <v>12332.66</v>
      </c>
      <c r="X83" s="535">
        <f t="shared" si="39"/>
        <v>69888.87</v>
      </c>
      <c r="Y83" s="535">
        <f t="shared" si="40"/>
        <v>36342.212400000004</v>
      </c>
      <c r="Z83" s="542"/>
      <c r="AA83" s="519">
        <v>12868.57</v>
      </c>
      <c r="AB83" s="535">
        <f t="shared" si="41"/>
        <v>93185.16</v>
      </c>
      <c r="AC83" s="577">
        <f t="shared" si="42"/>
        <v>48456.283200000005</v>
      </c>
      <c r="AD83" s="522">
        <v>0.04</v>
      </c>
      <c r="AE83" s="523">
        <f t="shared" si="50"/>
        <v>0.04</v>
      </c>
      <c r="AF83" s="524">
        <f t="shared" si="51"/>
        <v>931.85160000000008</v>
      </c>
      <c r="AG83" s="524">
        <f t="shared" si="52"/>
        <v>931.85160000000008</v>
      </c>
      <c r="AH83" s="524">
        <f t="shared" si="53"/>
        <v>2795.5547999999999</v>
      </c>
      <c r="AI83" s="524">
        <f t="shared" si="54"/>
        <v>3727.4064000000003</v>
      </c>
      <c r="AJ83" s="524">
        <f t="shared" si="30"/>
        <v>22364.438399999999</v>
      </c>
      <c r="AK83" s="524">
        <f t="shared" si="55"/>
        <v>45660.7284</v>
      </c>
      <c r="AL83" s="524">
        <f t="shared" si="56"/>
        <v>67093.315199999997</v>
      </c>
      <c r="AM83" s="524">
        <f t="shared" si="57"/>
        <v>89457.753599999996</v>
      </c>
      <c r="AN83" s="537">
        <f t="shared" si="43"/>
        <v>4998.5451675599998</v>
      </c>
      <c r="AO83" s="537">
        <f t="shared" si="44"/>
        <v>10123.72896756</v>
      </c>
      <c r="AP83" s="537">
        <f t="shared" si="45"/>
        <v>14995.635502679999</v>
      </c>
      <c r="AQ83" s="537">
        <f t="shared" si="46"/>
        <v>19994.180670239999</v>
      </c>
      <c r="AR83" s="523">
        <f t="shared" si="47"/>
        <v>232962.9</v>
      </c>
      <c r="AS83" s="523">
        <f t="shared" si="48"/>
        <v>19413.575000000001</v>
      </c>
      <c r="AU83" s="539">
        <v>8.4099999999999994E-2</v>
      </c>
      <c r="AV83" s="540">
        <v>0.22</v>
      </c>
    </row>
    <row r="84" spans="1:48" ht="15.75" hidden="1">
      <c r="A84" s="305" t="s">
        <v>594</v>
      </c>
      <c r="B84" s="305" t="s">
        <v>754</v>
      </c>
      <c r="C84" s="305" t="s">
        <v>755</v>
      </c>
      <c r="D84" s="306">
        <v>8332</v>
      </c>
      <c r="E84" s="306">
        <v>1</v>
      </c>
      <c r="F84" s="306"/>
      <c r="G84" s="519">
        <v>1</v>
      </c>
      <c r="H84" s="519">
        <v>6</v>
      </c>
      <c r="I84" s="519">
        <v>54.66</v>
      </c>
      <c r="J84" s="519">
        <v>9077.2900000000009</v>
      </c>
      <c r="K84" s="519">
        <v>36</v>
      </c>
      <c r="L84" s="533">
        <f t="shared" si="31"/>
        <v>3267.8244</v>
      </c>
      <c r="M84" s="519">
        <v>20</v>
      </c>
      <c r="N84" s="532">
        <f t="shared" si="32"/>
        <v>1815.4580000000003</v>
      </c>
      <c r="O84" s="533">
        <f t="shared" si="33"/>
        <v>14160.572400000001</v>
      </c>
      <c r="P84" s="580">
        <f t="shared" si="34"/>
        <v>14160.572400000001</v>
      </c>
      <c r="Q84" s="519">
        <f t="shared" si="49"/>
        <v>1815.4580000000003</v>
      </c>
      <c r="R84" s="519"/>
      <c r="S84" s="535">
        <f t="shared" si="35"/>
        <v>27231.870000000003</v>
      </c>
      <c r="T84" s="535">
        <f t="shared" si="36"/>
        <v>15249.8472</v>
      </c>
      <c r="U84" s="535">
        <f t="shared" si="37"/>
        <v>54463.740000000005</v>
      </c>
      <c r="V84" s="535">
        <f t="shared" si="38"/>
        <v>30499.6944</v>
      </c>
      <c r="W84" s="519">
        <v>14795.46</v>
      </c>
      <c r="X84" s="535">
        <f t="shared" si="39"/>
        <v>81695.610000000015</v>
      </c>
      <c r="Y84" s="535">
        <f t="shared" si="40"/>
        <v>45749.541599999997</v>
      </c>
      <c r="Z84" s="542"/>
      <c r="AA84" s="519">
        <v>15438.38</v>
      </c>
      <c r="AB84" s="535">
        <f t="shared" si="41"/>
        <v>108927.48000000001</v>
      </c>
      <c r="AC84" s="577">
        <f t="shared" si="42"/>
        <v>60999.388800000001</v>
      </c>
      <c r="AD84" s="522">
        <v>0.04</v>
      </c>
      <c r="AE84" s="523">
        <f t="shared" si="50"/>
        <v>0.04</v>
      </c>
      <c r="AF84" s="524">
        <f t="shared" si="51"/>
        <v>1089.2748000000001</v>
      </c>
      <c r="AG84" s="524">
        <f t="shared" si="52"/>
        <v>1089.2748000000001</v>
      </c>
      <c r="AH84" s="524">
        <f t="shared" si="53"/>
        <v>3267.8244000000009</v>
      </c>
      <c r="AI84" s="524">
        <f t="shared" si="54"/>
        <v>4357.0992000000006</v>
      </c>
      <c r="AJ84" s="524">
        <f t="shared" si="30"/>
        <v>26142.595200000003</v>
      </c>
      <c r="AK84" s="524">
        <f t="shared" si="55"/>
        <v>53374.465200000006</v>
      </c>
      <c r="AL84" s="524">
        <f t="shared" si="56"/>
        <v>78427.785600000017</v>
      </c>
      <c r="AM84" s="524">
        <f t="shared" si="57"/>
        <v>104570.38080000001</v>
      </c>
      <c r="AN84" s="537">
        <f t="shared" si="43"/>
        <v>5842.9789546800012</v>
      </c>
      <c r="AO84" s="537">
        <f t="shared" si="44"/>
        <v>11833.990354680001</v>
      </c>
      <c r="AP84" s="537">
        <f t="shared" si="45"/>
        <v>17528.936864040003</v>
      </c>
      <c r="AQ84" s="537">
        <f t="shared" si="46"/>
        <v>23371.915818720005</v>
      </c>
      <c r="AR84" s="523">
        <f t="shared" si="47"/>
        <v>272318.70000000007</v>
      </c>
      <c r="AS84" s="523">
        <f t="shared" si="48"/>
        <v>22693.225000000006</v>
      </c>
      <c r="AU84" s="539">
        <v>8.4099999999999994E-2</v>
      </c>
      <c r="AV84" s="540">
        <v>0.22</v>
      </c>
    </row>
    <row r="85" spans="1:48" ht="15.75" hidden="1">
      <c r="A85" s="305" t="s">
        <v>595</v>
      </c>
      <c r="B85" s="305" t="s">
        <v>754</v>
      </c>
      <c r="C85" s="305" t="s">
        <v>755</v>
      </c>
      <c r="D85" s="306">
        <v>8332</v>
      </c>
      <c r="E85" s="306">
        <v>2</v>
      </c>
      <c r="F85" s="306"/>
      <c r="G85" s="519">
        <v>1</v>
      </c>
      <c r="H85" s="519">
        <v>6</v>
      </c>
      <c r="I85" s="519">
        <v>54.66</v>
      </c>
      <c r="J85" s="519">
        <v>9077.2900000000009</v>
      </c>
      <c r="K85" s="519">
        <v>36</v>
      </c>
      <c r="L85" s="533">
        <f t="shared" si="31"/>
        <v>3267.8244</v>
      </c>
      <c r="M85" s="519">
        <v>20</v>
      </c>
      <c r="N85" s="532">
        <f t="shared" si="32"/>
        <v>1815.4580000000003</v>
      </c>
      <c r="O85" s="533">
        <f t="shared" si="33"/>
        <v>14160.572400000001</v>
      </c>
      <c r="P85" s="580">
        <f t="shared" si="34"/>
        <v>14160.572400000001</v>
      </c>
      <c r="Q85" s="519">
        <f t="shared" si="49"/>
        <v>1815.4580000000003</v>
      </c>
      <c r="R85" s="519"/>
      <c r="S85" s="535">
        <f t="shared" si="35"/>
        <v>27231.870000000003</v>
      </c>
      <c r="T85" s="535">
        <f t="shared" si="36"/>
        <v>15249.8472</v>
      </c>
      <c r="U85" s="535">
        <f t="shared" si="37"/>
        <v>54463.740000000005</v>
      </c>
      <c r="V85" s="535">
        <f t="shared" si="38"/>
        <v>30499.6944</v>
      </c>
      <c r="W85" s="519">
        <v>14795.46</v>
      </c>
      <c r="X85" s="535">
        <f t="shared" si="39"/>
        <v>81695.610000000015</v>
      </c>
      <c r="Y85" s="535">
        <f t="shared" si="40"/>
        <v>45749.541599999997</v>
      </c>
      <c r="Z85" s="542"/>
      <c r="AA85" s="519">
        <v>15438.38</v>
      </c>
      <c r="AB85" s="535">
        <f t="shared" si="41"/>
        <v>108927.48000000001</v>
      </c>
      <c r="AC85" s="577">
        <f t="shared" si="42"/>
        <v>60999.388800000001</v>
      </c>
      <c r="AD85" s="522">
        <v>0.04</v>
      </c>
      <c r="AE85" s="523">
        <f t="shared" si="50"/>
        <v>0.04</v>
      </c>
      <c r="AF85" s="524">
        <f t="shared" si="51"/>
        <v>1089.2748000000001</v>
      </c>
      <c r="AG85" s="524">
        <f t="shared" si="52"/>
        <v>1089.2748000000001</v>
      </c>
      <c r="AH85" s="524">
        <f t="shared" si="53"/>
        <v>3267.8244000000009</v>
      </c>
      <c r="AI85" s="524">
        <f t="shared" si="54"/>
        <v>4357.0992000000006</v>
      </c>
      <c r="AJ85" s="524">
        <f t="shared" si="30"/>
        <v>26142.595200000003</v>
      </c>
      <c r="AK85" s="524">
        <f t="shared" si="55"/>
        <v>53374.465200000006</v>
      </c>
      <c r="AL85" s="524">
        <f t="shared" si="56"/>
        <v>78427.785600000017</v>
      </c>
      <c r="AM85" s="524">
        <f t="shared" si="57"/>
        <v>104570.38080000001</v>
      </c>
      <c r="AN85" s="537">
        <f t="shared" si="43"/>
        <v>5842.9789546800012</v>
      </c>
      <c r="AO85" s="537">
        <f t="shared" si="44"/>
        <v>11833.990354680001</v>
      </c>
      <c r="AP85" s="537">
        <f t="shared" si="45"/>
        <v>17528.936864040003</v>
      </c>
      <c r="AQ85" s="537">
        <f t="shared" si="46"/>
        <v>23371.915818720005</v>
      </c>
      <c r="AR85" s="523">
        <f t="shared" si="47"/>
        <v>272318.70000000007</v>
      </c>
      <c r="AS85" s="523">
        <f t="shared" si="48"/>
        <v>22693.225000000006</v>
      </c>
      <c r="AU85" s="539">
        <v>8.4099999999999994E-2</v>
      </c>
      <c r="AV85" s="540">
        <v>0.22</v>
      </c>
    </row>
    <row r="86" spans="1:48" ht="15.75" hidden="1">
      <c r="A86" s="305" t="s">
        <v>596</v>
      </c>
      <c r="B86" s="305" t="s">
        <v>754</v>
      </c>
      <c r="C86" s="305" t="s">
        <v>755</v>
      </c>
      <c r="D86" s="306">
        <v>8332</v>
      </c>
      <c r="E86" s="306">
        <v>1</v>
      </c>
      <c r="F86" s="306"/>
      <c r="G86" s="519">
        <v>1</v>
      </c>
      <c r="H86" s="519">
        <v>4</v>
      </c>
      <c r="I86" s="519">
        <v>41</v>
      </c>
      <c r="J86" s="519">
        <v>6808.83</v>
      </c>
      <c r="K86" s="519">
        <v>28</v>
      </c>
      <c r="L86" s="533">
        <f t="shared" si="31"/>
        <v>1906.4724000000001</v>
      </c>
      <c r="M86" s="519">
        <v>20</v>
      </c>
      <c r="N86" s="532">
        <f t="shared" si="32"/>
        <v>1361.7660000000001</v>
      </c>
      <c r="O86" s="533">
        <f t="shared" si="33"/>
        <v>10077.0684</v>
      </c>
      <c r="P86" s="580">
        <f t="shared" si="34"/>
        <v>10077.0684</v>
      </c>
      <c r="Q86" s="519">
        <f t="shared" si="49"/>
        <v>1361.7660000000001</v>
      </c>
      <c r="R86" s="519"/>
      <c r="S86" s="535">
        <f t="shared" si="35"/>
        <v>20426.489999999998</v>
      </c>
      <c r="T86" s="535">
        <f t="shared" si="36"/>
        <v>9804.7152000000006</v>
      </c>
      <c r="U86" s="535">
        <f t="shared" si="37"/>
        <v>40852.979999999996</v>
      </c>
      <c r="V86" s="535">
        <f t="shared" si="38"/>
        <v>19609.430400000001</v>
      </c>
      <c r="W86" s="519">
        <v>10528.88</v>
      </c>
      <c r="X86" s="535">
        <f t="shared" si="39"/>
        <v>61279.47</v>
      </c>
      <c r="Y86" s="535">
        <f t="shared" si="40"/>
        <v>29414.145600000003</v>
      </c>
      <c r="Z86" s="542"/>
      <c r="AA86" s="519">
        <v>10986.4</v>
      </c>
      <c r="AB86" s="535">
        <f t="shared" si="41"/>
        <v>81705.959999999992</v>
      </c>
      <c r="AC86" s="577">
        <f t="shared" si="42"/>
        <v>39218.860800000002</v>
      </c>
      <c r="AD86" s="522">
        <v>0.04</v>
      </c>
      <c r="AE86" s="523">
        <f t="shared" si="50"/>
        <v>0.04</v>
      </c>
      <c r="AF86" s="524">
        <f t="shared" si="51"/>
        <v>817.05959999999993</v>
      </c>
      <c r="AG86" s="524">
        <f t="shared" si="52"/>
        <v>817.05959999999993</v>
      </c>
      <c r="AH86" s="524">
        <f t="shared" si="53"/>
        <v>2451.1788000000001</v>
      </c>
      <c r="AI86" s="524">
        <f t="shared" si="54"/>
        <v>3268.2383999999997</v>
      </c>
      <c r="AJ86" s="524">
        <f t="shared" si="30"/>
        <v>19609.430399999997</v>
      </c>
      <c r="AK86" s="524">
        <f t="shared" si="55"/>
        <v>40035.920399999995</v>
      </c>
      <c r="AL86" s="524">
        <f t="shared" si="56"/>
        <v>58828.2912</v>
      </c>
      <c r="AM86" s="524">
        <f t="shared" si="57"/>
        <v>78437.72159999999</v>
      </c>
      <c r="AN86" s="537">
        <f t="shared" si="43"/>
        <v>4382.7894003599995</v>
      </c>
      <c r="AO86" s="537">
        <f t="shared" si="44"/>
        <v>8876.6172003600004</v>
      </c>
      <c r="AP86" s="537">
        <f t="shared" si="45"/>
        <v>13148.36820108</v>
      </c>
      <c r="AQ86" s="537">
        <f t="shared" si="46"/>
        <v>17531.157601439998</v>
      </c>
      <c r="AR86" s="523">
        <f t="shared" si="47"/>
        <v>204264.9</v>
      </c>
      <c r="AS86" s="523">
        <f t="shared" si="48"/>
        <v>17022.075000000001</v>
      </c>
      <c r="AU86" s="539">
        <v>8.4099999999999994E-2</v>
      </c>
      <c r="AV86" s="540">
        <v>0.22</v>
      </c>
    </row>
    <row r="87" spans="1:48" ht="15.75" hidden="1">
      <c r="A87" s="305" t="s">
        <v>597</v>
      </c>
      <c r="B87" s="305" t="s">
        <v>754</v>
      </c>
      <c r="C87" s="305" t="s">
        <v>755</v>
      </c>
      <c r="D87" s="306">
        <v>8332</v>
      </c>
      <c r="E87" s="306">
        <v>2</v>
      </c>
      <c r="F87" s="306"/>
      <c r="G87" s="519">
        <v>1</v>
      </c>
      <c r="H87" s="519">
        <v>6</v>
      </c>
      <c r="I87" s="519">
        <v>54.66</v>
      </c>
      <c r="J87" s="519">
        <v>9077.2900000000009</v>
      </c>
      <c r="K87" s="519">
        <v>36</v>
      </c>
      <c r="L87" s="533">
        <f t="shared" si="31"/>
        <v>3267.8244</v>
      </c>
      <c r="M87" s="519">
        <v>20</v>
      </c>
      <c r="N87" s="532">
        <f t="shared" si="32"/>
        <v>1815.4580000000003</v>
      </c>
      <c r="O87" s="533">
        <f t="shared" si="33"/>
        <v>14160.572400000001</v>
      </c>
      <c r="P87" s="580">
        <f t="shared" si="34"/>
        <v>14160.572400000001</v>
      </c>
      <c r="Q87" s="519">
        <f t="shared" si="49"/>
        <v>1815.4580000000003</v>
      </c>
      <c r="R87" s="519"/>
      <c r="S87" s="535">
        <f t="shared" si="35"/>
        <v>27231.870000000003</v>
      </c>
      <c r="T87" s="535">
        <f t="shared" si="36"/>
        <v>15249.8472</v>
      </c>
      <c r="U87" s="535">
        <f t="shared" si="37"/>
        <v>54463.740000000005</v>
      </c>
      <c r="V87" s="535">
        <f t="shared" si="38"/>
        <v>30499.6944</v>
      </c>
      <c r="W87" s="519">
        <v>14795.46</v>
      </c>
      <c r="X87" s="535">
        <f t="shared" si="39"/>
        <v>81695.610000000015</v>
      </c>
      <c r="Y87" s="535">
        <f t="shared" si="40"/>
        <v>45749.541599999997</v>
      </c>
      <c r="Z87" s="542"/>
      <c r="AA87" s="519">
        <v>15438.38</v>
      </c>
      <c r="AB87" s="535">
        <f t="shared" si="41"/>
        <v>108927.48000000001</v>
      </c>
      <c r="AC87" s="577">
        <f t="shared" si="42"/>
        <v>60999.388800000001</v>
      </c>
      <c r="AD87" s="522">
        <v>0.04</v>
      </c>
      <c r="AE87" s="523">
        <f t="shared" si="50"/>
        <v>0.04</v>
      </c>
      <c r="AF87" s="524">
        <f t="shared" si="51"/>
        <v>1089.2748000000001</v>
      </c>
      <c r="AG87" s="524">
        <f t="shared" si="52"/>
        <v>1089.2748000000001</v>
      </c>
      <c r="AH87" s="524">
        <f t="shared" si="53"/>
        <v>3267.8244000000009</v>
      </c>
      <c r="AI87" s="524">
        <f t="shared" si="54"/>
        <v>4357.0992000000006</v>
      </c>
      <c r="AJ87" s="524">
        <f t="shared" si="30"/>
        <v>26142.595200000003</v>
      </c>
      <c r="AK87" s="524">
        <f t="shared" si="55"/>
        <v>53374.465200000006</v>
      </c>
      <c r="AL87" s="524">
        <f t="shared" si="56"/>
        <v>78427.785600000017</v>
      </c>
      <c r="AM87" s="524">
        <f t="shared" si="57"/>
        <v>104570.38080000001</v>
      </c>
      <c r="AN87" s="537">
        <f t="shared" si="43"/>
        <v>5842.9789546800012</v>
      </c>
      <c r="AO87" s="537">
        <f t="shared" si="44"/>
        <v>11833.990354680001</v>
      </c>
      <c r="AP87" s="537">
        <f t="shared" si="45"/>
        <v>17528.936864040003</v>
      </c>
      <c r="AQ87" s="537">
        <f t="shared" si="46"/>
        <v>23371.915818720005</v>
      </c>
      <c r="AR87" s="523">
        <f t="shared" si="47"/>
        <v>272318.70000000007</v>
      </c>
      <c r="AS87" s="523">
        <f t="shared" si="48"/>
        <v>22693.225000000006</v>
      </c>
      <c r="AU87" s="539">
        <v>8.4099999999999994E-2</v>
      </c>
      <c r="AV87" s="540">
        <v>0.22</v>
      </c>
    </row>
    <row r="88" spans="1:48" ht="15.75" hidden="1">
      <c r="A88" s="305" t="s">
        <v>598</v>
      </c>
      <c r="B88" s="305" t="s">
        <v>754</v>
      </c>
      <c r="C88" s="305" t="s">
        <v>755</v>
      </c>
      <c r="D88" s="306">
        <v>8332</v>
      </c>
      <c r="E88" s="306">
        <v>1</v>
      </c>
      <c r="F88" s="306"/>
      <c r="G88" s="519">
        <v>1</v>
      </c>
      <c r="H88" s="519">
        <v>6</v>
      </c>
      <c r="I88" s="519">
        <v>54.66</v>
      </c>
      <c r="J88" s="519">
        <v>9077.2900000000009</v>
      </c>
      <c r="K88" s="519">
        <v>36</v>
      </c>
      <c r="L88" s="533">
        <f t="shared" si="31"/>
        <v>3267.8244</v>
      </c>
      <c r="M88" s="519">
        <v>20</v>
      </c>
      <c r="N88" s="532">
        <f t="shared" si="32"/>
        <v>1815.4580000000003</v>
      </c>
      <c r="O88" s="533">
        <f t="shared" si="33"/>
        <v>14160.572400000001</v>
      </c>
      <c r="P88" s="580">
        <f t="shared" si="34"/>
        <v>14160.572400000001</v>
      </c>
      <c r="Q88" s="519">
        <f t="shared" si="49"/>
        <v>1815.4580000000003</v>
      </c>
      <c r="R88" s="519"/>
      <c r="S88" s="535">
        <f t="shared" si="35"/>
        <v>27231.870000000003</v>
      </c>
      <c r="T88" s="535">
        <f t="shared" si="36"/>
        <v>15249.8472</v>
      </c>
      <c r="U88" s="535">
        <f t="shared" si="37"/>
        <v>54463.740000000005</v>
      </c>
      <c r="V88" s="535">
        <f t="shared" si="38"/>
        <v>30499.6944</v>
      </c>
      <c r="W88" s="519">
        <v>14795.46</v>
      </c>
      <c r="X88" s="535">
        <f t="shared" si="39"/>
        <v>81695.610000000015</v>
      </c>
      <c r="Y88" s="535">
        <f t="shared" si="40"/>
        <v>45749.541599999997</v>
      </c>
      <c r="Z88" s="542"/>
      <c r="AA88" s="519">
        <v>15438.38</v>
      </c>
      <c r="AB88" s="535">
        <f t="shared" si="41"/>
        <v>108927.48000000001</v>
      </c>
      <c r="AC88" s="577">
        <f t="shared" si="42"/>
        <v>60999.388800000001</v>
      </c>
      <c r="AD88" s="522">
        <v>0.04</v>
      </c>
      <c r="AE88" s="523">
        <f t="shared" si="50"/>
        <v>0.04</v>
      </c>
      <c r="AF88" s="524">
        <f t="shared" si="51"/>
        <v>1089.2748000000001</v>
      </c>
      <c r="AG88" s="524">
        <f t="shared" si="52"/>
        <v>1089.2748000000001</v>
      </c>
      <c r="AH88" s="524">
        <f t="shared" si="53"/>
        <v>3267.8244000000009</v>
      </c>
      <c r="AI88" s="524">
        <f t="shared" si="54"/>
        <v>4357.0992000000006</v>
      </c>
      <c r="AJ88" s="524">
        <f t="shared" si="30"/>
        <v>26142.595200000003</v>
      </c>
      <c r="AK88" s="524">
        <f t="shared" si="55"/>
        <v>53374.465200000006</v>
      </c>
      <c r="AL88" s="524">
        <f t="shared" si="56"/>
        <v>78427.785600000017</v>
      </c>
      <c r="AM88" s="524">
        <f t="shared" si="57"/>
        <v>104570.38080000001</v>
      </c>
      <c r="AN88" s="537">
        <f t="shared" si="43"/>
        <v>5842.9789546800012</v>
      </c>
      <c r="AO88" s="537">
        <f t="shared" si="44"/>
        <v>11833.990354680001</v>
      </c>
      <c r="AP88" s="537">
        <f t="shared" si="45"/>
        <v>17528.936864040003</v>
      </c>
      <c r="AQ88" s="537">
        <f t="shared" si="46"/>
        <v>23371.915818720005</v>
      </c>
      <c r="AR88" s="523">
        <f t="shared" si="47"/>
        <v>272318.70000000007</v>
      </c>
      <c r="AS88" s="523">
        <f t="shared" si="48"/>
        <v>22693.225000000006</v>
      </c>
      <c r="AU88" s="539">
        <v>8.4099999999999994E-2</v>
      </c>
      <c r="AV88" s="540">
        <v>0.22</v>
      </c>
    </row>
    <row r="89" spans="1:48" ht="15.75" hidden="1">
      <c r="A89" s="305" t="s">
        <v>599</v>
      </c>
      <c r="B89" s="305" t="s">
        <v>754</v>
      </c>
      <c r="C89" s="305" t="s">
        <v>755</v>
      </c>
      <c r="D89" s="306">
        <v>8332</v>
      </c>
      <c r="E89" s="306">
        <v>1</v>
      </c>
      <c r="F89" s="306"/>
      <c r="G89" s="519">
        <v>1</v>
      </c>
      <c r="H89" s="519">
        <v>5</v>
      </c>
      <c r="I89" s="519">
        <v>46.76</v>
      </c>
      <c r="J89" s="519">
        <v>7765.43</v>
      </c>
      <c r="K89" s="519">
        <v>32</v>
      </c>
      <c r="L89" s="533">
        <f t="shared" si="31"/>
        <v>2484.9376000000002</v>
      </c>
      <c r="M89" s="519">
        <v>20</v>
      </c>
      <c r="N89" s="532">
        <f t="shared" si="32"/>
        <v>1553.0860000000002</v>
      </c>
      <c r="O89" s="533">
        <f t="shared" si="33"/>
        <v>11803.453600000001</v>
      </c>
      <c r="P89" s="580">
        <f t="shared" si="34"/>
        <v>11803.453600000001</v>
      </c>
      <c r="Q89" s="519">
        <f t="shared" si="49"/>
        <v>1553.0860000000002</v>
      </c>
      <c r="R89" s="519"/>
      <c r="S89" s="535">
        <f t="shared" si="35"/>
        <v>23296.29</v>
      </c>
      <c r="T89" s="535">
        <f t="shared" si="36"/>
        <v>12114.070800000001</v>
      </c>
      <c r="U89" s="535">
        <f t="shared" si="37"/>
        <v>46592.58</v>
      </c>
      <c r="V89" s="535">
        <f t="shared" si="38"/>
        <v>24228.141600000003</v>
      </c>
      <c r="W89" s="519">
        <v>12332.66</v>
      </c>
      <c r="X89" s="535">
        <f t="shared" si="39"/>
        <v>69888.87</v>
      </c>
      <c r="Y89" s="535">
        <f t="shared" si="40"/>
        <v>36342.212400000004</v>
      </c>
      <c r="Z89" s="542"/>
      <c r="AA89" s="519">
        <v>12868.57</v>
      </c>
      <c r="AB89" s="535">
        <f t="shared" si="41"/>
        <v>93185.16</v>
      </c>
      <c r="AC89" s="577">
        <f t="shared" si="42"/>
        <v>48456.283200000005</v>
      </c>
      <c r="AD89" s="522">
        <v>0.04</v>
      </c>
      <c r="AE89" s="523">
        <f t="shared" si="50"/>
        <v>0.04</v>
      </c>
      <c r="AF89" s="524">
        <f t="shared" si="51"/>
        <v>931.85160000000008</v>
      </c>
      <c r="AG89" s="524">
        <f t="shared" si="52"/>
        <v>931.85160000000008</v>
      </c>
      <c r="AH89" s="524">
        <f t="shared" si="53"/>
        <v>2795.5547999999999</v>
      </c>
      <c r="AI89" s="524">
        <f t="shared" si="54"/>
        <v>3727.4064000000003</v>
      </c>
      <c r="AJ89" s="524">
        <f t="shared" si="30"/>
        <v>22364.438399999999</v>
      </c>
      <c r="AK89" s="524">
        <f t="shared" si="55"/>
        <v>45660.7284</v>
      </c>
      <c r="AL89" s="524">
        <f t="shared" si="56"/>
        <v>67093.315199999997</v>
      </c>
      <c r="AM89" s="524">
        <f t="shared" si="57"/>
        <v>89457.753599999996</v>
      </c>
      <c r="AN89" s="537">
        <f t="shared" si="43"/>
        <v>4998.5451675599998</v>
      </c>
      <c r="AO89" s="537">
        <f t="shared" si="44"/>
        <v>10123.72896756</v>
      </c>
      <c r="AP89" s="537">
        <f t="shared" si="45"/>
        <v>14995.635502679999</v>
      </c>
      <c r="AQ89" s="537">
        <f t="shared" si="46"/>
        <v>19994.180670239999</v>
      </c>
      <c r="AR89" s="523">
        <f t="shared" si="47"/>
        <v>232962.9</v>
      </c>
      <c r="AS89" s="523">
        <f t="shared" si="48"/>
        <v>19413.575000000001</v>
      </c>
      <c r="AU89" s="539">
        <v>8.4099999999999994E-2</v>
      </c>
      <c r="AV89" s="540">
        <v>0.22</v>
      </c>
    </row>
    <row r="90" spans="1:48" ht="15.75" hidden="1">
      <c r="A90" s="305" t="s">
        <v>600</v>
      </c>
      <c r="B90" s="305" t="s">
        <v>754</v>
      </c>
      <c r="C90" s="305" t="s">
        <v>755</v>
      </c>
      <c r="D90" s="306">
        <v>8332</v>
      </c>
      <c r="E90" s="306">
        <v>1</v>
      </c>
      <c r="F90" s="306"/>
      <c r="G90" s="519">
        <v>1</v>
      </c>
      <c r="H90" s="519">
        <v>3</v>
      </c>
      <c r="I90" s="519">
        <v>36.44</v>
      </c>
      <c r="J90" s="519">
        <v>6051.53</v>
      </c>
      <c r="K90" s="519">
        <v>24</v>
      </c>
      <c r="L90" s="533">
        <f t="shared" si="31"/>
        <v>1452.3671999999999</v>
      </c>
      <c r="M90" s="519">
        <v>20</v>
      </c>
      <c r="N90" s="532">
        <f t="shared" si="32"/>
        <v>1210.306</v>
      </c>
      <c r="O90" s="533">
        <f t="shared" si="33"/>
        <v>8714.2031999999999</v>
      </c>
      <c r="P90" s="580">
        <f t="shared" si="34"/>
        <v>8714.2031999999999</v>
      </c>
      <c r="Q90" s="519">
        <f t="shared" si="49"/>
        <v>1210.306</v>
      </c>
      <c r="R90" s="519"/>
      <c r="S90" s="535">
        <f t="shared" si="35"/>
        <v>18154.59</v>
      </c>
      <c r="T90" s="535">
        <f t="shared" si="36"/>
        <v>7988.0196000000005</v>
      </c>
      <c r="U90" s="535">
        <f t="shared" si="37"/>
        <v>36309.18</v>
      </c>
      <c r="V90" s="535">
        <f t="shared" si="38"/>
        <v>15976.039200000001</v>
      </c>
      <c r="W90" s="519">
        <v>9104.9</v>
      </c>
      <c r="X90" s="535">
        <f t="shared" si="39"/>
        <v>54463.77</v>
      </c>
      <c r="Y90" s="535">
        <f t="shared" si="40"/>
        <v>23964.058800000003</v>
      </c>
      <c r="Z90" s="542"/>
      <c r="AA90" s="519">
        <v>9500.5400000000009</v>
      </c>
      <c r="AB90" s="535">
        <f t="shared" si="41"/>
        <v>72618.36</v>
      </c>
      <c r="AC90" s="577">
        <f t="shared" si="42"/>
        <v>31952.078400000002</v>
      </c>
      <c r="AD90" s="522">
        <v>0.04</v>
      </c>
      <c r="AE90" s="523">
        <f t="shared" si="50"/>
        <v>0.04</v>
      </c>
      <c r="AF90" s="524">
        <f t="shared" si="51"/>
        <v>726.18360000000007</v>
      </c>
      <c r="AG90" s="524">
        <f t="shared" si="52"/>
        <v>726.18360000000007</v>
      </c>
      <c r="AH90" s="524">
        <f t="shared" si="53"/>
        <v>2178.5508</v>
      </c>
      <c r="AI90" s="524">
        <f t="shared" si="54"/>
        <v>2904.7344000000003</v>
      </c>
      <c r="AJ90" s="524">
        <f t="shared" si="30"/>
        <v>17428.4064</v>
      </c>
      <c r="AK90" s="524">
        <f t="shared" si="55"/>
        <v>35582.996400000004</v>
      </c>
      <c r="AL90" s="524">
        <f t="shared" si="56"/>
        <v>52285.2192</v>
      </c>
      <c r="AM90" s="524">
        <f t="shared" si="57"/>
        <v>69713.625599999999</v>
      </c>
      <c r="AN90" s="537">
        <f t="shared" si="43"/>
        <v>3895.3214487600003</v>
      </c>
      <c r="AO90" s="537">
        <f t="shared" si="44"/>
        <v>7889.3312487600006</v>
      </c>
      <c r="AP90" s="537">
        <f t="shared" si="45"/>
        <v>11685.964346280001</v>
      </c>
      <c r="AQ90" s="537">
        <f t="shared" si="46"/>
        <v>15581.285795040001</v>
      </c>
      <c r="AR90" s="523">
        <f t="shared" si="47"/>
        <v>181545.90000000002</v>
      </c>
      <c r="AS90" s="523">
        <f t="shared" si="48"/>
        <v>15128.825000000003</v>
      </c>
      <c r="AU90" s="539">
        <v>8.4099999999999994E-2</v>
      </c>
      <c r="AV90" s="540">
        <v>0.22</v>
      </c>
    </row>
    <row r="91" spans="1:48" ht="15.75" hidden="1">
      <c r="A91" s="305" t="s">
        <v>601</v>
      </c>
      <c r="B91" s="305" t="s">
        <v>754</v>
      </c>
      <c r="C91" s="305" t="s">
        <v>755</v>
      </c>
      <c r="D91" s="306">
        <v>8332</v>
      </c>
      <c r="E91" s="306">
        <v>2</v>
      </c>
      <c r="F91" s="306"/>
      <c r="G91" s="519">
        <v>1</v>
      </c>
      <c r="H91" s="519">
        <v>4</v>
      </c>
      <c r="I91" s="519">
        <v>41</v>
      </c>
      <c r="J91" s="519">
        <v>6808.83</v>
      </c>
      <c r="K91" s="519">
        <v>28</v>
      </c>
      <c r="L91" s="533">
        <f t="shared" si="31"/>
        <v>1906.4724000000001</v>
      </c>
      <c r="M91" s="519">
        <v>20</v>
      </c>
      <c r="N91" s="532">
        <f t="shared" si="32"/>
        <v>1361.7660000000001</v>
      </c>
      <c r="O91" s="533">
        <f t="shared" si="33"/>
        <v>10077.0684</v>
      </c>
      <c r="P91" s="580">
        <f t="shared" si="34"/>
        <v>10077.0684</v>
      </c>
      <c r="Q91" s="519">
        <f t="shared" si="49"/>
        <v>1361.7660000000001</v>
      </c>
      <c r="R91" s="519"/>
      <c r="S91" s="535">
        <f t="shared" si="35"/>
        <v>20426.489999999998</v>
      </c>
      <c r="T91" s="535">
        <f t="shared" si="36"/>
        <v>9804.7152000000006</v>
      </c>
      <c r="U91" s="535">
        <f t="shared" si="37"/>
        <v>40852.979999999996</v>
      </c>
      <c r="V91" s="535">
        <f t="shared" si="38"/>
        <v>19609.430400000001</v>
      </c>
      <c r="W91" s="519">
        <v>10528.88</v>
      </c>
      <c r="X91" s="535">
        <f t="shared" si="39"/>
        <v>61279.47</v>
      </c>
      <c r="Y91" s="535">
        <f t="shared" si="40"/>
        <v>29414.145600000003</v>
      </c>
      <c r="Z91" s="542"/>
      <c r="AA91" s="519">
        <v>10986.4</v>
      </c>
      <c r="AB91" s="535">
        <f t="shared" si="41"/>
        <v>81705.959999999992</v>
      </c>
      <c r="AC91" s="577">
        <f t="shared" si="42"/>
        <v>39218.860800000002</v>
      </c>
      <c r="AD91" s="522">
        <v>0.04</v>
      </c>
      <c r="AE91" s="523">
        <f t="shared" si="50"/>
        <v>0.04</v>
      </c>
      <c r="AF91" s="524">
        <f t="shared" si="51"/>
        <v>817.05959999999993</v>
      </c>
      <c r="AG91" s="524">
        <f t="shared" si="52"/>
        <v>817.05959999999993</v>
      </c>
      <c r="AH91" s="524">
        <f t="shared" si="53"/>
        <v>2451.1788000000001</v>
      </c>
      <c r="AI91" s="524">
        <f t="shared" si="54"/>
        <v>3268.2383999999997</v>
      </c>
      <c r="AJ91" s="524">
        <f t="shared" si="30"/>
        <v>19609.430399999997</v>
      </c>
      <c r="AK91" s="524">
        <f t="shared" si="55"/>
        <v>40035.920399999995</v>
      </c>
      <c r="AL91" s="524">
        <f t="shared" si="56"/>
        <v>58828.2912</v>
      </c>
      <c r="AM91" s="524">
        <f t="shared" si="57"/>
        <v>78437.72159999999</v>
      </c>
      <c r="AN91" s="537">
        <f t="shared" si="43"/>
        <v>4382.7894003599995</v>
      </c>
      <c r="AO91" s="537">
        <f t="shared" si="44"/>
        <v>8876.6172003600004</v>
      </c>
      <c r="AP91" s="537">
        <f t="shared" si="45"/>
        <v>13148.36820108</v>
      </c>
      <c r="AQ91" s="537">
        <f t="shared" si="46"/>
        <v>17531.157601439998</v>
      </c>
      <c r="AR91" s="523">
        <f t="shared" si="47"/>
        <v>204264.9</v>
      </c>
      <c r="AS91" s="523">
        <f t="shared" si="48"/>
        <v>17022.075000000001</v>
      </c>
      <c r="AU91" s="539">
        <v>8.4099999999999994E-2</v>
      </c>
      <c r="AV91" s="540">
        <v>0.22</v>
      </c>
    </row>
    <row r="92" spans="1:48" ht="15.75" hidden="1">
      <c r="A92" s="305" t="s">
        <v>602</v>
      </c>
      <c r="B92" s="305" t="s">
        <v>754</v>
      </c>
      <c r="C92" s="305" t="s">
        <v>755</v>
      </c>
      <c r="D92" s="306">
        <v>8332</v>
      </c>
      <c r="E92" s="306">
        <v>1</v>
      </c>
      <c r="F92" s="306"/>
      <c r="G92" s="519">
        <v>1</v>
      </c>
      <c r="H92" s="519">
        <v>6</v>
      </c>
      <c r="I92" s="519">
        <v>54.66</v>
      </c>
      <c r="J92" s="519">
        <v>9077.2900000000009</v>
      </c>
      <c r="K92" s="519">
        <v>36</v>
      </c>
      <c r="L92" s="533">
        <f t="shared" si="31"/>
        <v>3267.8244</v>
      </c>
      <c r="M92" s="519">
        <v>20</v>
      </c>
      <c r="N92" s="532">
        <f t="shared" si="32"/>
        <v>1815.4580000000003</v>
      </c>
      <c r="O92" s="533">
        <f t="shared" si="33"/>
        <v>14160.572400000001</v>
      </c>
      <c r="P92" s="580">
        <f t="shared" si="34"/>
        <v>14160.572400000001</v>
      </c>
      <c r="Q92" s="519">
        <f t="shared" si="49"/>
        <v>1815.4580000000003</v>
      </c>
      <c r="R92" s="519"/>
      <c r="S92" s="535">
        <f t="shared" si="35"/>
        <v>27231.870000000003</v>
      </c>
      <c r="T92" s="535">
        <f t="shared" si="36"/>
        <v>15249.8472</v>
      </c>
      <c r="U92" s="535">
        <f t="shared" si="37"/>
        <v>54463.740000000005</v>
      </c>
      <c r="V92" s="535">
        <f t="shared" si="38"/>
        <v>30499.6944</v>
      </c>
      <c r="W92" s="519">
        <v>14795.46</v>
      </c>
      <c r="X92" s="535">
        <f t="shared" si="39"/>
        <v>81695.610000000015</v>
      </c>
      <c r="Y92" s="535">
        <f t="shared" si="40"/>
        <v>45749.541599999997</v>
      </c>
      <c r="Z92" s="542"/>
      <c r="AA92" s="519">
        <v>15438.38</v>
      </c>
      <c r="AB92" s="535">
        <f t="shared" si="41"/>
        <v>108927.48000000001</v>
      </c>
      <c r="AC92" s="577">
        <f t="shared" si="42"/>
        <v>60999.388800000001</v>
      </c>
      <c r="AD92" s="522">
        <v>0.04</v>
      </c>
      <c r="AE92" s="523">
        <f t="shared" si="50"/>
        <v>0.04</v>
      </c>
      <c r="AF92" s="524">
        <f t="shared" si="51"/>
        <v>1089.2748000000001</v>
      </c>
      <c r="AG92" s="524">
        <f t="shared" si="52"/>
        <v>1089.2748000000001</v>
      </c>
      <c r="AH92" s="524">
        <f t="shared" si="53"/>
        <v>3267.8244000000009</v>
      </c>
      <c r="AI92" s="524">
        <f t="shared" si="54"/>
        <v>4357.0992000000006</v>
      </c>
      <c r="AJ92" s="524">
        <f t="shared" si="30"/>
        <v>26142.595200000003</v>
      </c>
      <c r="AK92" s="524">
        <f t="shared" si="55"/>
        <v>53374.465200000006</v>
      </c>
      <c r="AL92" s="524">
        <f t="shared" si="56"/>
        <v>78427.785600000017</v>
      </c>
      <c r="AM92" s="524">
        <f t="shared" si="57"/>
        <v>104570.38080000001</v>
      </c>
      <c r="AN92" s="537">
        <f t="shared" si="43"/>
        <v>5842.9789546800012</v>
      </c>
      <c r="AO92" s="537">
        <f t="shared" si="44"/>
        <v>11833.990354680001</v>
      </c>
      <c r="AP92" s="537">
        <f t="shared" si="45"/>
        <v>17528.936864040003</v>
      </c>
      <c r="AQ92" s="537">
        <f t="shared" si="46"/>
        <v>23371.915818720005</v>
      </c>
      <c r="AR92" s="523">
        <f t="shared" si="47"/>
        <v>272318.70000000007</v>
      </c>
      <c r="AS92" s="523">
        <f t="shared" si="48"/>
        <v>22693.225000000006</v>
      </c>
      <c r="AU92" s="539">
        <v>8.4099999999999994E-2</v>
      </c>
      <c r="AV92" s="540">
        <v>0.22</v>
      </c>
    </row>
    <row r="93" spans="1:48" ht="15.75" hidden="1">
      <c r="A93" s="305" t="s">
        <v>603</v>
      </c>
      <c r="B93" s="305" t="s">
        <v>754</v>
      </c>
      <c r="C93" s="305" t="s">
        <v>755</v>
      </c>
      <c r="D93" s="306">
        <v>8332</v>
      </c>
      <c r="E93" s="306">
        <v>1</v>
      </c>
      <c r="F93" s="306"/>
      <c r="G93" s="519">
        <v>1</v>
      </c>
      <c r="H93" s="519">
        <v>6</v>
      </c>
      <c r="I93" s="519">
        <v>54.66</v>
      </c>
      <c r="J93" s="519">
        <v>9077.2900000000009</v>
      </c>
      <c r="K93" s="519">
        <v>36</v>
      </c>
      <c r="L93" s="533">
        <f t="shared" si="31"/>
        <v>3267.8244</v>
      </c>
      <c r="M93" s="519">
        <v>20</v>
      </c>
      <c r="N93" s="532">
        <f t="shared" si="32"/>
        <v>1815.4580000000003</v>
      </c>
      <c r="O93" s="533">
        <f t="shared" si="33"/>
        <v>14160.572400000001</v>
      </c>
      <c r="P93" s="580">
        <f t="shared" si="34"/>
        <v>14160.572400000001</v>
      </c>
      <c r="Q93" s="519">
        <f t="shared" si="49"/>
        <v>1815.4580000000003</v>
      </c>
      <c r="R93" s="519"/>
      <c r="S93" s="535">
        <f t="shared" si="35"/>
        <v>27231.870000000003</v>
      </c>
      <c r="T93" s="535">
        <f t="shared" si="36"/>
        <v>15249.8472</v>
      </c>
      <c r="U93" s="535">
        <f t="shared" si="37"/>
        <v>54463.740000000005</v>
      </c>
      <c r="V93" s="535">
        <f t="shared" si="38"/>
        <v>30499.6944</v>
      </c>
      <c r="W93" s="519">
        <v>14795.46</v>
      </c>
      <c r="X93" s="535">
        <f t="shared" si="39"/>
        <v>81695.610000000015</v>
      </c>
      <c r="Y93" s="535">
        <f t="shared" si="40"/>
        <v>45749.541599999997</v>
      </c>
      <c r="Z93" s="542"/>
      <c r="AA93" s="519">
        <v>15438.38</v>
      </c>
      <c r="AB93" s="535">
        <f t="shared" si="41"/>
        <v>108927.48000000001</v>
      </c>
      <c r="AC93" s="577">
        <f t="shared" si="42"/>
        <v>60999.388800000001</v>
      </c>
      <c r="AD93" s="522">
        <v>0.04</v>
      </c>
      <c r="AE93" s="523">
        <f t="shared" si="50"/>
        <v>0.04</v>
      </c>
      <c r="AF93" s="524">
        <f t="shared" si="51"/>
        <v>1089.2748000000001</v>
      </c>
      <c r="AG93" s="524">
        <f t="shared" si="52"/>
        <v>1089.2748000000001</v>
      </c>
      <c r="AH93" s="524">
        <f t="shared" si="53"/>
        <v>3267.8244000000009</v>
      </c>
      <c r="AI93" s="524">
        <f t="shared" si="54"/>
        <v>4357.0992000000006</v>
      </c>
      <c r="AJ93" s="524">
        <f t="shared" si="30"/>
        <v>26142.595200000003</v>
      </c>
      <c r="AK93" s="524">
        <f t="shared" si="55"/>
        <v>53374.465200000006</v>
      </c>
      <c r="AL93" s="524">
        <f t="shared" si="56"/>
        <v>78427.785600000017</v>
      </c>
      <c r="AM93" s="524">
        <f t="shared" si="57"/>
        <v>104570.38080000001</v>
      </c>
      <c r="AN93" s="537">
        <f t="shared" si="43"/>
        <v>5842.9789546800012</v>
      </c>
      <c r="AO93" s="537">
        <f t="shared" si="44"/>
        <v>11833.990354680001</v>
      </c>
      <c r="AP93" s="537">
        <f t="shared" si="45"/>
        <v>17528.936864040003</v>
      </c>
      <c r="AQ93" s="537">
        <f t="shared" si="46"/>
        <v>23371.915818720005</v>
      </c>
      <c r="AR93" s="523">
        <f t="shared" si="47"/>
        <v>272318.70000000007</v>
      </c>
      <c r="AS93" s="523">
        <f t="shared" si="48"/>
        <v>22693.225000000006</v>
      </c>
      <c r="AU93" s="539">
        <v>8.4099999999999994E-2</v>
      </c>
      <c r="AV93" s="540">
        <v>0.22</v>
      </c>
    </row>
    <row r="94" spans="1:48" ht="15.75" hidden="1">
      <c r="A94" s="305" t="s">
        <v>604</v>
      </c>
      <c r="B94" s="305" t="s">
        <v>754</v>
      </c>
      <c r="C94" s="305" t="s">
        <v>755</v>
      </c>
      <c r="D94" s="306">
        <v>8332</v>
      </c>
      <c r="E94" s="306">
        <v>8</v>
      </c>
      <c r="F94" s="306"/>
      <c r="G94" s="519">
        <v>1</v>
      </c>
      <c r="H94" s="519">
        <v>5</v>
      </c>
      <c r="I94" s="519">
        <v>46.76</v>
      </c>
      <c r="J94" s="519">
        <v>7765.43</v>
      </c>
      <c r="K94" s="519">
        <v>32</v>
      </c>
      <c r="L94" s="533">
        <f t="shared" si="31"/>
        <v>2484.9376000000002</v>
      </c>
      <c r="M94" s="519">
        <v>20</v>
      </c>
      <c r="N94" s="532">
        <f t="shared" si="32"/>
        <v>1553.0860000000002</v>
      </c>
      <c r="O94" s="533">
        <f t="shared" si="33"/>
        <v>11803.453600000001</v>
      </c>
      <c r="P94" s="580">
        <f t="shared" si="34"/>
        <v>11803.453600000001</v>
      </c>
      <c r="Q94" s="519">
        <f t="shared" si="49"/>
        <v>1553.0860000000002</v>
      </c>
      <c r="R94" s="519"/>
      <c r="S94" s="535">
        <f t="shared" si="35"/>
        <v>23296.29</v>
      </c>
      <c r="T94" s="535">
        <f t="shared" si="36"/>
        <v>12114.070800000001</v>
      </c>
      <c r="U94" s="535">
        <f t="shared" si="37"/>
        <v>46592.58</v>
      </c>
      <c r="V94" s="535">
        <f t="shared" si="38"/>
        <v>24228.141600000003</v>
      </c>
      <c r="W94" s="519">
        <v>12332.66</v>
      </c>
      <c r="X94" s="535">
        <f t="shared" si="39"/>
        <v>69888.87</v>
      </c>
      <c r="Y94" s="535">
        <f t="shared" si="40"/>
        <v>36342.212400000004</v>
      </c>
      <c r="Z94" s="542"/>
      <c r="AA94" s="519">
        <v>12868.57</v>
      </c>
      <c r="AB94" s="535">
        <f t="shared" si="41"/>
        <v>93185.16</v>
      </c>
      <c r="AC94" s="577">
        <f t="shared" si="42"/>
        <v>48456.283200000005</v>
      </c>
      <c r="AD94" s="522">
        <v>0.04</v>
      </c>
      <c r="AE94" s="523">
        <f t="shared" si="50"/>
        <v>0.04</v>
      </c>
      <c r="AF94" s="524">
        <f t="shared" si="51"/>
        <v>931.85160000000008</v>
      </c>
      <c r="AG94" s="524">
        <f t="shared" si="52"/>
        <v>931.85160000000008</v>
      </c>
      <c r="AH94" s="524">
        <f t="shared" si="53"/>
        <v>2795.5547999999999</v>
      </c>
      <c r="AI94" s="524">
        <f t="shared" si="54"/>
        <v>3727.4064000000003</v>
      </c>
      <c r="AJ94" s="524">
        <f t="shared" si="30"/>
        <v>22364.438399999999</v>
      </c>
      <c r="AK94" s="524">
        <f t="shared" si="55"/>
        <v>45660.7284</v>
      </c>
      <c r="AL94" s="524">
        <f t="shared" si="56"/>
        <v>67093.315199999997</v>
      </c>
      <c r="AM94" s="524">
        <f t="shared" si="57"/>
        <v>89457.753599999996</v>
      </c>
      <c r="AN94" s="537">
        <f t="shared" si="43"/>
        <v>4998.5451675599998</v>
      </c>
      <c r="AO94" s="537">
        <f t="shared" si="44"/>
        <v>10123.72896756</v>
      </c>
      <c r="AP94" s="537">
        <f t="shared" si="45"/>
        <v>14995.635502679999</v>
      </c>
      <c r="AQ94" s="537">
        <f t="shared" si="46"/>
        <v>19994.180670239999</v>
      </c>
      <c r="AR94" s="523">
        <f t="shared" si="47"/>
        <v>232962.9</v>
      </c>
      <c r="AS94" s="523">
        <f t="shared" si="48"/>
        <v>19413.575000000001</v>
      </c>
      <c r="AU94" s="539">
        <v>8.4099999999999994E-2</v>
      </c>
      <c r="AV94" s="540">
        <v>0.22</v>
      </c>
    </row>
    <row r="95" spans="1:48" ht="15.75" hidden="1">
      <c r="A95" s="305" t="s">
        <v>606</v>
      </c>
      <c r="B95" s="305" t="s">
        <v>784</v>
      </c>
      <c r="C95" s="305" t="s">
        <v>755</v>
      </c>
      <c r="D95" s="306">
        <v>8211</v>
      </c>
      <c r="E95" s="306"/>
      <c r="F95" s="306"/>
      <c r="G95" s="519">
        <v>1</v>
      </c>
      <c r="H95" s="519">
        <v>6</v>
      </c>
      <c r="I95" s="519">
        <v>48.1</v>
      </c>
      <c r="J95" s="519">
        <v>7988.98</v>
      </c>
      <c r="K95" s="519">
        <v>24</v>
      </c>
      <c r="L95" s="533">
        <f t="shared" si="31"/>
        <v>1917.3551999999997</v>
      </c>
      <c r="M95" s="519">
        <v>20</v>
      </c>
      <c r="N95" s="532">
        <f t="shared" si="32"/>
        <v>1597.796</v>
      </c>
      <c r="O95" s="533">
        <f t="shared" si="33"/>
        <v>11504.1312</v>
      </c>
      <c r="P95" s="580">
        <f t="shared" si="34"/>
        <v>11504.1312</v>
      </c>
      <c r="Q95" s="519">
        <f t="shared" si="49"/>
        <v>1597.796</v>
      </c>
      <c r="R95" s="519"/>
      <c r="S95" s="535">
        <f t="shared" si="35"/>
        <v>23966.94</v>
      </c>
      <c r="T95" s="535">
        <f t="shared" si="36"/>
        <v>10545.453599999999</v>
      </c>
      <c r="U95" s="535">
        <f t="shared" si="37"/>
        <v>47933.88</v>
      </c>
      <c r="V95" s="535">
        <f t="shared" si="38"/>
        <v>21090.907199999998</v>
      </c>
      <c r="W95" s="519">
        <v>10016.6</v>
      </c>
      <c r="X95" s="535">
        <f t="shared" si="39"/>
        <v>71900.819999999992</v>
      </c>
      <c r="Y95" s="535">
        <f t="shared" si="40"/>
        <v>31636.360799999999</v>
      </c>
      <c r="Z95" s="542"/>
      <c r="AA95" s="519">
        <v>10451.870000000001</v>
      </c>
      <c r="AB95" s="535">
        <f t="shared" si="41"/>
        <v>95867.76</v>
      </c>
      <c r="AC95" s="577">
        <f t="shared" si="42"/>
        <v>42181.814399999996</v>
      </c>
      <c r="AD95" s="522">
        <v>0.04</v>
      </c>
      <c r="AE95" s="523">
        <f t="shared" si="50"/>
        <v>0.04</v>
      </c>
      <c r="AF95" s="524">
        <f t="shared" si="51"/>
        <v>958.67759999999998</v>
      </c>
      <c r="AG95" s="524">
        <f t="shared" si="52"/>
        <v>958.67759999999998</v>
      </c>
      <c r="AH95" s="524">
        <f t="shared" si="53"/>
        <v>2876.0328</v>
      </c>
      <c r="AI95" s="524">
        <f t="shared" si="54"/>
        <v>3834.7103999999999</v>
      </c>
      <c r="AJ95" s="524">
        <f t="shared" si="30"/>
        <v>23008.2624</v>
      </c>
      <c r="AK95" s="524">
        <f t="shared" si="55"/>
        <v>46975.202399999995</v>
      </c>
      <c r="AL95" s="524">
        <f t="shared" si="56"/>
        <v>69024.787199999992</v>
      </c>
      <c r="AM95" s="524">
        <f t="shared" si="57"/>
        <v>92033.049599999998</v>
      </c>
      <c r="AN95" s="537">
        <f t="shared" si="43"/>
        <v>5142.4425141600004</v>
      </c>
      <c r="AO95" s="537">
        <f t="shared" si="44"/>
        <v>10415.169314159999</v>
      </c>
      <c r="AP95" s="537">
        <f t="shared" si="45"/>
        <v>15427.327542479998</v>
      </c>
      <c r="AQ95" s="537">
        <f t="shared" si="46"/>
        <v>20569.770056640002</v>
      </c>
      <c r="AR95" s="523">
        <f t="shared" si="47"/>
        <v>239669.39999999997</v>
      </c>
      <c r="AS95" s="523">
        <f t="shared" si="48"/>
        <v>19972.449999999997</v>
      </c>
      <c r="AU95" s="539">
        <v>8.4099999999999994E-2</v>
      </c>
      <c r="AV95" s="540">
        <v>0.22</v>
      </c>
    </row>
    <row r="96" spans="1:48" ht="15.75" hidden="1">
      <c r="A96" s="305" t="s">
        <v>607</v>
      </c>
      <c r="B96" s="305" t="s">
        <v>784</v>
      </c>
      <c r="C96" s="305" t="s">
        <v>755</v>
      </c>
      <c r="D96" s="306">
        <v>7212</v>
      </c>
      <c r="E96" s="306"/>
      <c r="F96" s="306"/>
      <c r="G96" s="519">
        <v>1</v>
      </c>
      <c r="H96" s="519">
        <v>5</v>
      </c>
      <c r="I96" s="519">
        <v>41.15</v>
      </c>
      <c r="J96" s="519">
        <v>6834.83</v>
      </c>
      <c r="K96" s="519">
        <v>28</v>
      </c>
      <c r="L96" s="533">
        <f t="shared" si="31"/>
        <v>1913.7524000000001</v>
      </c>
      <c r="M96" s="519">
        <v>20</v>
      </c>
      <c r="N96" s="532">
        <f t="shared" si="32"/>
        <v>1366.9660000000001</v>
      </c>
      <c r="O96" s="533">
        <f t="shared" si="33"/>
        <v>10115.5484</v>
      </c>
      <c r="P96" s="580">
        <f t="shared" si="34"/>
        <v>10115.5484</v>
      </c>
      <c r="Q96" s="519">
        <f t="shared" si="49"/>
        <v>1366.9660000000001</v>
      </c>
      <c r="R96" s="519"/>
      <c r="S96" s="535">
        <f t="shared" si="35"/>
        <v>20504.489999999998</v>
      </c>
      <c r="T96" s="535">
        <f t="shared" si="36"/>
        <v>9842.1552000000011</v>
      </c>
      <c r="U96" s="535">
        <f t="shared" si="37"/>
        <v>41008.979999999996</v>
      </c>
      <c r="V96" s="535">
        <f t="shared" si="38"/>
        <v>19684.310400000002</v>
      </c>
      <c r="W96" s="519">
        <v>8569.52</v>
      </c>
      <c r="X96" s="535">
        <f t="shared" si="39"/>
        <v>61513.47</v>
      </c>
      <c r="Y96" s="535">
        <f t="shared" si="40"/>
        <v>29526.465600000003</v>
      </c>
      <c r="Z96" s="542"/>
      <c r="AA96" s="519">
        <v>8941.9</v>
      </c>
      <c r="AB96" s="535">
        <f t="shared" si="41"/>
        <v>82017.959999999992</v>
      </c>
      <c r="AC96" s="577">
        <f t="shared" si="42"/>
        <v>39368.620800000004</v>
      </c>
      <c r="AD96" s="522">
        <v>0.04</v>
      </c>
      <c r="AE96" s="523">
        <f t="shared" si="50"/>
        <v>0.04</v>
      </c>
      <c r="AF96" s="524">
        <f t="shared" si="51"/>
        <v>820.17959999999994</v>
      </c>
      <c r="AG96" s="524">
        <f t="shared" si="52"/>
        <v>820.17959999999994</v>
      </c>
      <c r="AH96" s="524">
        <f t="shared" si="53"/>
        <v>2460.5388000000003</v>
      </c>
      <c r="AI96" s="524">
        <f t="shared" si="54"/>
        <v>3280.7183999999997</v>
      </c>
      <c r="AJ96" s="524">
        <f t="shared" si="30"/>
        <v>19684.310399999998</v>
      </c>
      <c r="AK96" s="524">
        <f t="shared" si="55"/>
        <v>40188.800399999993</v>
      </c>
      <c r="AL96" s="524">
        <f t="shared" si="56"/>
        <v>59052.931199999999</v>
      </c>
      <c r="AM96" s="524">
        <f t="shared" si="57"/>
        <v>78737.241599999994</v>
      </c>
      <c r="AN96" s="537">
        <f t="shared" si="43"/>
        <v>4399.5253923600003</v>
      </c>
      <c r="AO96" s="537">
        <f t="shared" si="44"/>
        <v>8910.5131923599984</v>
      </c>
      <c r="AP96" s="537">
        <f t="shared" si="45"/>
        <v>13198.57617708</v>
      </c>
      <c r="AQ96" s="537">
        <f t="shared" si="46"/>
        <v>17598.101569440001</v>
      </c>
      <c r="AR96" s="523">
        <f t="shared" si="47"/>
        <v>205044.9</v>
      </c>
      <c r="AS96" s="523">
        <f t="shared" si="48"/>
        <v>17087.075000000001</v>
      </c>
      <c r="AU96" s="539">
        <v>8.4099999999999994E-2</v>
      </c>
      <c r="AV96" s="540">
        <v>0.22</v>
      </c>
    </row>
    <row r="97" spans="1:48" ht="15.75" hidden="1">
      <c r="A97" s="305" t="s">
        <v>608</v>
      </c>
      <c r="B97" s="305" t="s">
        <v>784</v>
      </c>
      <c r="C97" s="305" t="s">
        <v>755</v>
      </c>
      <c r="D97" s="306">
        <v>7136</v>
      </c>
      <c r="E97" s="306"/>
      <c r="F97" s="306"/>
      <c r="G97" s="519">
        <v>1</v>
      </c>
      <c r="H97" s="519">
        <v>5</v>
      </c>
      <c r="I97" s="519">
        <v>41.15</v>
      </c>
      <c r="J97" s="519">
        <v>6834.83</v>
      </c>
      <c r="K97" s="519">
        <v>20</v>
      </c>
      <c r="L97" s="533">
        <f t="shared" si="31"/>
        <v>1366.9660000000001</v>
      </c>
      <c r="M97" s="519">
        <v>20</v>
      </c>
      <c r="N97" s="532">
        <f t="shared" si="32"/>
        <v>1366.9660000000001</v>
      </c>
      <c r="O97" s="533">
        <f t="shared" si="33"/>
        <v>9568.7620000000006</v>
      </c>
      <c r="P97" s="580">
        <f t="shared" si="34"/>
        <v>9568.7620000000006</v>
      </c>
      <c r="Q97" s="519">
        <f t="shared" si="49"/>
        <v>1366.9660000000001</v>
      </c>
      <c r="R97" s="519"/>
      <c r="S97" s="535">
        <f t="shared" si="35"/>
        <v>20504.489999999998</v>
      </c>
      <c r="T97" s="535">
        <f t="shared" si="36"/>
        <v>8201.7960000000003</v>
      </c>
      <c r="U97" s="535">
        <f t="shared" si="37"/>
        <v>41008.979999999996</v>
      </c>
      <c r="V97" s="535">
        <f t="shared" si="38"/>
        <v>16403.592000000001</v>
      </c>
      <c r="W97" s="519">
        <v>8569.52</v>
      </c>
      <c r="X97" s="535">
        <f t="shared" si="39"/>
        <v>61513.47</v>
      </c>
      <c r="Y97" s="535">
        <f t="shared" si="40"/>
        <v>24605.388000000003</v>
      </c>
      <c r="Z97" s="542"/>
      <c r="AA97" s="519">
        <v>8941.9</v>
      </c>
      <c r="AB97" s="535">
        <f t="shared" si="41"/>
        <v>82017.959999999992</v>
      </c>
      <c r="AC97" s="577">
        <f t="shared" si="42"/>
        <v>32807.184000000001</v>
      </c>
      <c r="AD97" s="522">
        <v>0.04</v>
      </c>
      <c r="AE97" s="523">
        <f t="shared" si="50"/>
        <v>0.04</v>
      </c>
      <c r="AF97" s="524">
        <f t="shared" si="51"/>
        <v>820.17959999999994</v>
      </c>
      <c r="AG97" s="524">
        <f t="shared" si="52"/>
        <v>820.17959999999994</v>
      </c>
      <c r="AH97" s="524">
        <f t="shared" si="53"/>
        <v>2460.5388000000003</v>
      </c>
      <c r="AI97" s="524">
        <f t="shared" si="54"/>
        <v>3280.7183999999997</v>
      </c>
      <c r="AJ97" s="524">
        <f t="shared" si="30"/>
        <v>19684.310399999998</v>
      </c>
      <c r="AK97" s="524">
        <f t="shared" si="55"/>
        <v>40188.800399999993</v>
      </c>
      <c r="AL97" s="524">
        <f t="shared" si="56"/>
        <v>59052.931199999999</v>
      </c>
      <c r="AM97" s="524">
        <f t="shared" si="57"/>
        <v>78737.241599999994</v>
      </c>
      <c r="AN97" s="537">
        <f t="shared" si="43"/>
        <v>4399.5253923600003</v>
      </c>
      <c r="AO97" s="537">
        <f t="shared" si="44"/>
        <v>8910.5131923599984</v>
      </c>
      <c r="AP97" s="537">
        <f t="shared" si="45"/>
        <v>13198.57617708</v>
      </c>
      <c r="AQ97" s="537">
        <f t="shared" si="46"/>
        <v>17598.101569440001</v>
      </c>
      <c r="AR97" s="523">
        <f t="shared" si="47"/>
        <v>205044.9</v>
      </c>
      <c r="AS97" s="523">
        <f t="shared" si="48"/>
        <v>17087.075000000001</v>
      </c>
      <c r="AU97" s="539">
        <v>8.4099999999999994E-2</v>
      </c>
      <c r="AV97" s="540">
        <v>0.22</v>
      </c>
    </row>
    <row r="98" spans="1:48" ht="15.75" hidden="1">
      <c r="A98" s="305" t="s">
        <v>609</v>
      </c>
      <c r="B98" s="305" t="s">
        <v>784</v>
      </c>
      <c r="C98" s="305" t="s">
        <v>755</v>
      </c>
      <c r="D98" s="306">
        <v>7233</v>
      </c>
      <c r="E98" s="306"/>
      <c r="F98" s="306"/>
      <c r="G98" s="519">
        <v>1</v>
      </c>
      <c r="H98" s="519">
        <v>5</v>
      </c>
      <c r="I98" s="519">
        <v>41.15</v>
      </c>
      <c r="J98" s="519">
        <v>6834.83</v>
      </c>
      <c r="K98" s="519">
        <v>20</v>
      </c>
      <c r="L98" s="533">
        <f t="shared" si="31"/>
        <v>1366.9660000000001</v>
      </c>
      <c r="M98" s="519">
        <v>20</v>
      </c>
      <c r="N98" s="532">
        <f t="shared" si="32"/>
        <v>1366.9660000000001</v>
      </c>
      <c r="O98" s="533">
        <f t="shared" si="33"/>
        <v>9568.7620000000006</v>
      </c>
      <c r="P98" s="580">
        <f t="shared" si="34"/>
        <v>9568.7620000000006</v>
      </c>
      <c r="Q98" s="519">
        <f t="shared" si="49"/>
        <v>1366.9660000000001</v>
      </c>
      <c r="R98" s="519"/>
      <c r="S98" s="535">
        <f t="shared" si="35"/>
        <v>20504.489999999998</v>
      </c>
      <c r="T98" s="535">
        <f t="shared" si="36"/>
        <v>8201.7960000000003</v>
      </c>
      <c r="U98" s="535">
        <f t="shared" si="37"/>
        <v>41008.979999999996</v>
      </c>
      <c r="V98" s="535">
        <f t="shared" si="38"/>
        <v>16403.592000000001</v>
      </c>
      <c r="W98" s="519">
        <v>8569.52</v>
      </c>
      <c r="X98" s="535">
        <f t="shared" si="39"/>
        <v>61513.47</v>
      </c>
      <c r="Y98" s="535">
        <f t="shared" si="40"/>
        <v>24605.388000000003</v>
      </c>
      <c r="Z98" s="542"/>
      <c r="AA98" s="519">
        <v>8941.9</v>
      </c>
      <c r="AB98" s="535">
        <f t="shared" si="41"/>
        <v>82017.959999999992</v>
      </c>
      <c r="AC98" s="577">
        <f t="shared" si="42"/>
        <v>32807.184000000001</v>
      </c>
      <c r="AD98" s="522">
        <v>0.04</v>
      </c>
      <c r="AE98" s="523">
        <f t="shared" si="50"/>
        <v>0.04</v>
      </c>
      <c r="AF98" s="524">
        <f t="shared" si="51"/>
        <v>820.17959999999994</v>
      </c>
      <c r="AG98" s="524">
        <f t="shared" si="52"/>
        <v>820.17959999999994</v>
      </c>
      <c r="AH98" s="524">
        <f t="shared" si="53"/>
        <v>2460.5388000000003</v>
      </c>
      <c r="AI98" s="524">
        <f t="shared" si="54"/>
        <v>3280.7183999999997</v>
      </c>
      <c r="AJ98" s="524">
        <f t="shared" si="30"/>
        <v>19684.310399999998</v>
      </c>
      <c r="AK98" s="524">
        <f t="shared" si="55"/>
        <v>40188.800399999993</v>
      </c>
      <c r="AL98" s="524">
        <f t="shared" si="56"/>
        <v>59052.931199999999</v>
      </c>
      <c r="AM98" s="524">
        <f t="shared" si="57"/>
        <v>78737.241599999994</v>
      </c>
      <c r="AN98" s="537">
        <f t="shared" si="43"/>
        <v>4399.5253923600003</v>
      </c>
      <c r="AO98" s="537">
        <f t="shared" si="44"/>
        <v>8910.5131923599984</v>
      </c>
      <c r="AP98" s="537">
        <f t="shared" si="45"/>
        <v>13198.57617708</v>
      </c>
      <c r="AQ98" s="537">
        <f t="shared" si="46"/>
        <v>17598.101569440001</v>
      </c>
      <c r="AR98" s="523">
        <f t="shared" si="47"/>
        <v>205044.9</v>
      </c>
      <c r="AS98" s="523">
        <f t="shared" si="48"/>
        <v>17087.075000000001</v>
      </c>
      <c r="AU98" s="539">
        <v>8.4099999999999994E-2</v>
      </c>
      <c r="AV98" s="540">
        <v>0.22</v>
      </c>
    </row>
    <row r="99" spans="1:48" ht="15.75" hidden="1">
      <c r="A99" s="305" t="s">
        <v>610</v>
      </c>
      <c r="B99" s="305" t="s">
        <v>784</v>
      </c>
      <c r="C99" s="305" t="s">
        <v>755</v>
      </c>
      <c r="D99" s="306">
        <v>7241</v>
      </c>
      <c r="E99" s="306"/>
      <c r="F99" s="306"/>
      <c r="G99" s="519">
        <v>1</v>
      </c>
      <c r="H99" s="519">
        <v>5</v>
      </c>
      <c r="I99" s="519">
        <v>41.15</v>
      </c>
      <c r="J99" s="519">
        <v>6834.83</v>
      </c>
      <c r="K99" s="519">
        <v>20</v>
      </c>
      <c r="L99" s="533">
        <f t="shared" si="31"/>
        <v>1366.9660000000001</v>
      </c>
      <c r="M99" s="519">
        <v>20</v>
      </c>
      <c r="N99" s="532">
        <f t="shared" si="32"/>
        <v>1366.9660000000001</v>
      </c>
      <c r="O99" s="533">
        <f t="shared" si="33"/>
        <v>9568.7620000000006</v>
      </c>
      <c r="P99" s="580">
        <f t="shared" si="34"/>
        <v>9568.7620000000006</v>
      </c>
      <c r="Q99" s="519">
        <f t="shared" si="49"/>
        <v>1366.9660000000001</v>
      </c>
      <c r="R99" s="519"/>
      <c r="S99" s="535">
        <f t="shared" si="35"/>
        <v>20504.489999999998</v>
      </c>
      <c r="T99" s="535">
        <f t="shared" si="36"/>
        <v>8201.7960000000003</v>
      </c>
      <c r="U99" s="535">
        <f t="shared" si="37"/>
        <v>41008.979999999996</v>
      </c>
      <c r="V99" s="535">
        <f t="shared" si="38"/>
        <v>16403.592000000001</v>
      </c>
      <c r="W99" s="519">
        <v>8569.52</v>
      </c>
      <c r="X99" s="535">
        <f t="shared" si="39"/>
        <v>61513.47</v>
      </c>
      <c r="Y99" s="535">
        <f t="shared" si="40"/>
        <v>24605.388000000003</v>
      </c>
      <c r="Z99" s="542"/>
      <c r="AA99" s="519">
        <v>8941.9</v>
      </c>
      <c r="AB99" s="535">
        <f t="shared" si="41"/>
        <v>82017.959999999992</v>
      </c>
      <c r="AC99" s="577">
        <f t="shared" si="42"/>
        <v>32807.184000000001</v>
      </c>
      <c r="AD99" s="522">
        <v>0.04</v>
      </c>
      <c r="AE99" s="523">
        <f t="shared" si="50"/>
        <v>0.04</v>
      </c>
      <c r="AF99" s="524">
        <f t="shared" si="51"/>
        <v>820.17959999999994</v>
      </c>
      <c r="AG99" s="524">
        <f t="shared" si="52"/>
        <v>820.17959999999994</v>
      </c>
      <c r="AH99" s="524">
        <f t="shared" si="53"/>
        <v>2460.5388000000003</v>
      </c>
      <c r="AI99" s="524">
        <f t="shared" si="54"/>
        <v>3280.7183999999997</v>
      </c>
      <c r="AJ99" s="524">
        <f t="shared" si="30"/>
        <v>19684.310399999998</v>
      </c>
      <c r="AK99" s="524">
        <f t="shared" si="55"/>
        <v>40188.800399999993</v>
      </c>
      <c r="AL99" s="524">
        <f t="shared" si="56"/>
        <v>59052.931199999999</v>
      </c>
      <c r="AM99" s="524">
        <f t="shared" si="57"/>
        <v>78737.241599999994</v>
      </c>
      <c r="AN99" s="537">
        <f t="shared" si="43"/>
        <v>4399.5253923600003</v>
      </c>
      <c r="AO99" s="537">
        <f t="shared" si="44"/>
        <v>8910.5131923599984</v>
      </c>
      <c r="AP99" s="537">
        <f t="shared" si="45"/>
        <v>13198.57617708</v>
      </c>
      <c r="AQ99" s="537">
        <f t="shared" si="46"/>
        <v>17598.101569440001</v>
      </c>
      <c r="AR99" s="523">
        <f t="shared" si="47"/>
        <v>205044.9</v>
      </c>
      <c r="AS99" s="523">
        <f t="shared" si="48"/>
        <v>17087.075000000001</v>
      </c>
      <c r="AU99" s="539">
        <v>8.4099999999999994E-2</v>
      </c>
      <c r="AV99" s="540">
        <v>0.22</v>
      </c>
    </row>
    <row r="100" spans="1:48" ht="15.75" hidden="1">
      <c r="A100" s="305" t="s">
        <v>612</v>
      </c>
      <c r="B100" s="305" t="s">
        <v>784</v>
      </c>
      <c r="C100" s="305" t="s">
        <v>755</v>
      </c>
      <c r="D100" s="306">
        <v>7231</v>
      </c>
      <c r="E100" s="306"/>
      <c r="F100" s="306"/>
      <c r="G100" s="519">
        <v>5</v>
      </c>
      <c r="H100" s="519">
        <v>5</v>
      </c>
      <c r="I100" s="519">
        <v>41.15</v>
      </c>
      <c r="J100" s="519">
        <v>6834.83</v>
      </c>
      <c r="K100" s="519">
        <v>20</v>
      </c>
      <c r="L100" s="533">
        <f t="shared" si="31"/>
        <v>1366.9660000000001</v>
      </c>
      <c r="M100" s="519">
        <v>20</v>
      </c>
      <c r="N100" s="532">
        <f t="shared" si="32"/>
        <v>1366.9660000000001</v>
      </c>
      <c r="O100" s="533">
        <f t="shared" si="33"/>
        <v>9568.7620000000006</v>
      </c>
      <c r="P100" s="580">
        <f t="shared" si="34"/>
        <v>47843.810000000005</v>
      </c>
      <c r="Q100" s="519">
        <f t="shared" si="49"/>
        <v>6834.8300000000008</v>
      </c>
      <c r="R100" s="519"/>
      <c r="S100" s="535">
        <f t="shared" si="35"/>
        <v>102522.44999999998</v>
      </c>
      <c r="T100" s="535">
        <f t="shared" si="36"/>
        <v>41008.980000000003</v>
      </c>
      <c r="U100" s="535">
        <f t="shared" si="37"/>
        <v>205044.89999999997</v>
      </c>
      <c r="V100" s="535">
        <f t="shared" si="38"/>
        <v>82017.960000000006</v>
      </c>
      <c r="W100" s="519">
        <v>42847.6</v>
      </c>
      <c r="X100" s="535">
        <f t="shared" si="39"/>
        <v>307567.34999999998</v>
      </c>
      <c r="Y100" s="535">
        <f t="shared" si="40"/>
        <v>123026.94000000002</v>
      </c>
      <c r="Z100" s="542"/>
      <c r="AA100" s="519">
        <v>44709.5</v>
      </c>
      <c r="AB100" s="535">
        <f t="shared" si="41"/>
        <v>410089.79999999993</v>
      </c>
      <c r="AC100" s="577">
        <f t="shared" si="42"/>
        <v>164035.92000000001</v>
      </c>
      <c r="AD100" s="522">
        <v>0.04</v>
      </c>
      <c r="AE100" s="523">
        <f t="shared" si="50"/>
        <v>0.2</v>
      </c>
      <c r="AF100" s="524">
        <f t="shared" si="51"/>
        <v>4100.8980000000001</v>
      </c>
      <c r="AG100" s="524">
        <f t="shared" si="52"/>
        <v>4100.8980000000001</v>
      </c>
      <c r="AH100" s="524">
        <f t="shared" si="53"/>
        <v>12302.694</v>
      </c>
      <c r="AI100" s="524">
        <f t="shared" si="54"/>
        <v>16403.592000000001</v>
      </c>
      <c r="AJ100" s="524">
        <f t="shared" ref="AJ100:AJ131" si="58">S100-AF100</f>
        <v>98421.551999999981</v>
      </c>
      <c r="AK100" s="524">
        <f t="shared" si="55"/>
        <v>200944.00199999998</v>
      </c>
      <c r="AL100" s="524">
        <f t="shared" si="56"/>
        <v>295264.65599999996</v>
      </c>
      <c r="AM100" s="524">
        <f t="shared" si="57"/>
        <v>393686.20799999993</v>
      </c>
      <c r="AN100" s="537">
        <f t="shared" si="43"/>
        <v>21997.626961799993</v>
      </c>
      <c r="AO100" s="537">
        <f t="shared" si="44"/>
        <v>44552.565961799999</v>
      </c>
      <c r="AP100" s="537">
        <f t="shared" si="45"/>
        <v>65992.880885399994</v>
      </c>
      <c r="AQ100" s="537">
        <f t="shared" si="46"/>
        <v>87990.507847199973</v>
      </c>
      <c r="AR100" s="523">
        <f t="shared" si="47"/>
        <v>1025224.4999999999</v>
      </c>
      <c r="AS100" s="523">
        <f t="shared" si="48"/>
        <v>17087.074999999997</v>
      </c>
      <c r="AU100" s="539">
        <v>8.4099999999999994E-2</v>
      </c>
      <c r="AV100" s="540">
        <v>0.22</v>
      </c>
    </row>
    <row r="101" spans="1:48" ht="15.75" hidden="1">
      <c r="A101" s="305" t="s">
        <v>612</v>
      </c>
      <c r="B101" s="305" t="s">
        <v>784</v>
      </c>
      <c r="C101" s="305" t="s">
        <v>755</v>
      </c>
      <c r="D101" s="306">
        <v>7231</v>
      </c>
      <c r="E101" s="306"/>
      <c r="F101" s="306"/>
      <c r="G101" s="519">
        <v>1</v>
      </c>
      <c r="H101" s="519">
        <v>6</v>
      </c>
      <c r="I101" s="519">
        <v>48.1</v>
      </c>
      <c r="J101" s="519">
        <v>7988.98</v>
      </c>
      <c r="K101" s="519">
        <v>24</v>
      </c>
      <c r="L101" s="533">
        <f t="shared" si="31"/>
        <v>1917.3551999999997</v>
      </c>
      <c r="M101" s="519">
        <v>20</v>
      </c>
      <c r="N101" s="532">
        <f t="shared" si="32"/>
        <v>1597.796</v>
      </c>
      <c r="O101" s="533">
        <f t="shared" si="33"/>
        <v>11504.1312</v>
      </c>
      <c r="P101" s="580">
        <f t="shared" si="34"/>
        <v>11504.1312</v>
      </c>
      <c r="Q101" s="519">
        <f t="shared" si="49"/>
        <v>1597.796</v>
      </c>
      <c r="R101" s="519"/>
      <c r="S101" s="535">
        <f t="shared" si="35"/>
        <v>23966.94</v>
      </c>
      <c r="T101" s="535">
        <f t="shared" si="36"/>
        <v>10545.453599999999</v>
      </c>
      <c r="U101" s="535">
        <f t="shared" si="37"/>
        <v>47933.88</v>
      </c>
      <c r="V101" s="535">
        <f t="shared" si="38"/>
        <v>21090.907199999998</v>
      </c>
      <c r="W101" s="519">
        <v>10016.6</v>
      </c>
      <c r="X101" s="535">
        <f t="shared" si="39"/>
        <v>71900.819999999992</v>
      </c>
      <c r="Y101" s="535">
        <f t="shared" si="40"/>
        <v>31636.360799999999</v>
      </c>
      <c r="Z101" s="542"/>
      <c r="AA101" s="519">
        <v>10451.870000000001</v>
      </c>
      <c r="AB101" s="535">
        <f t="shared" si="41"/>
        <v>95867.76</v>
      </c>
      <c r="AC101" s="577">
        <f t="shared" si="42"/>
        <v>42181.814399999996</v>
      </c>
      <c r="AD101" s="522">
        <v>0.04</v>
      </c>
      <c r="AE101" s="523">
        <f t="shared" si="50"/>
        <v>0.04</v>
      </c>
      <c r="AF101" s="524">
        <f t="shared" si="51"/>
        <v>958.67759999999998</v>
      </c>
      <c r="AG101" s="524">
        <f t="shared" si="52"/>
        <v>958.67759999999998</v>
      </c>
      <c r="AH101" s="524">
        <f t="shared" si="53"/>
        <v>2876.0328</v>
      </c>
      <c r="AI101" s="524">
        <f t="shared" si="54"/>
        <v>3834.7103999999999</v>
      </c>
      <c r="AJ101" s="524">
        <f t="shared" si="58"/>
        <v>23008.2624</v>
      </c>
      <c r="AK101" s="524">
        <f t="shared" si="55"/>
        <v>46975.202399999995</v>
      </c>
      <c r="AL101" s="524">
        <f t="shared" si="56"/>
        <v>69024.787199999992</v>
      </c>
      <c r="AM101" s="524">
        <f t="shared" si="57"/>
        <v>92033.049599999998</v>
      </c>
      <c r="AN101" s="537">
        <f t="shared" si="43"/>
        <v>5142.4425141600004</v>
      </c>
      <c r="AO101" s="537">
        <f t="shared" si="44"/>
        <v>10415.169314159999</v>
      </c>
      <c r="AP101" s="537">
        <f t="shared" si="45"/>
        <v>15427.327542479998</v>
      </c>
      <c r="AQ101" s="537">
        <f t="shared" si="46"/>
        <v>20569.770056640002</v>
      </c>
      <c r="AR101" s="523">
        <f t="shared" si="47"/>
        <v>239669.39999999997</v>
      </c>
      <c r="AS101" s="523">
        <f t="shared" si="48"/>
        <v>19972.449999999997</v>
      </c>
      <c r="AU101" s="539">
        <v>8.4099999999999994E-2</v>
      </c>
      <c r="AV101" s="540">
        <v>0.22</v>
      </c>
    </row>
    <row r="102" spans="1:48" ht="15.75" hidden="1">
      <c r="A102" s="305" t="s">
        <v>613</v>
      </c>
      <c r="B102" s="305" t="s">
        <v>784</v>
      </c>
      <c r="C102" s="305" t="s">
        <v>755</v>
      </c>
      <c r="D102" s="306">
        <v>7222</v>
      </c>
      <c r="E102" s="306"/>
      <c r="F102" s="306"/>
      <c r="G102" s="519">
        <v>1</v>
      </c>
      <c r="H102" s="519">
        <v>5</v>
      </c>
      <c r="I102" s="519">
        <v>41.15</v>
      </c>
      <c r="J102" s="519">
        <v>6834.83</v>
      </c>
      <c r="K102" s="519">
        <v>20</v>
      </c>
      <c r="L102" s="533">
        <f t="shared" si="31"/>
        <v>1366.9660000000001</v>
      </c>
      <c r="M102" s="519">
        <v>20</v>
      </c>
      <c r="N102" s="532">
        <f t="shared" si="32"/>
        <v>1366.9660000000001</v>
      </c>
      <c r="O102" s="533">
        <f t="shared" si="33"/>
        <v>9568.7620000000006</v>
      </c>
      <c r="P102" s="580">
        <f t="shared" si="34"/>
        <v>9568.7620000000006</v>
      </c>
      <c r="Q102" s="519">
        <f t="shared" si="49"/>
        <v>1366.9660000000001</v>
      </c>
      <c r="R102" s="519"/>
      <c r="S102" s="535">
        <f t="shared" si="35"/>
        <v>20504.489999999998</v>
      </c>
      <c r="T102" s="535">
        <f t="shared" si="36"/>
        <v>8201.7960000000003</v>
      </c>
      <c r="U102" s="535">
        <f t="shared" si="37"/>
        <v>41008.979999999996</v>
      </c>
      <c r="V102" s="535">
        <f t="shared" si="38"/>
        <v>16403.592000000001</v>
      </c>
      <c r="W102" s="519">
        <v>8569.52</v>
      </c>
      <c r="X102" s="535">
        <f t="shared" si="39"/>
        <v>61513.47</v>
      </c>
      <c r="Y102" s="535">
        <f t="shared" si="40"/>
        <v>24605.388000000003</v>
      </c>
      <c r="Z102" s="542"/>
      <c r="AA102" s="519">
        <v>8941.9</v>
      </c>
      <c r="AB102" s="535">
        <f t="shared" si="41"/>
        <v>82017.959999999992</v>
      </c>
      <c r="AC102" s="577">
        <f t="shared" si="42"/>
        <v>32807.184000000001</v>
      </c>
      <c r="AD102" s="522">
        <v>0.04</v>
      </c>
      <c r="AE102" s="523">
        <f t="shared" si="50"/>
        <v>0.04</v>
      </c>
      <c r="AF102" s="524">
        <f t="shared" si="51"/>
        <v>820.17959999999994</v>
      </c>
      <c r="AG102" s="524">
        <f t="shared" si="52"/>
        <v>820.17959999999994</v>
      </c>
      <c r="AH102" s="524">
        <f t="shared" si="53"/>
        <v>2460.5388000000003</v>
      </c>
      <c r="AI102" s="524">
        <f t="shared" si="54"/>
        <v>3280.7183999999997</v>
      </c>
      <c r="AJ102" s="524">
        <f t="shared" si="58"/>
        <v>19684.310399999998</v>
      </c>
      <c r="AK102" s="524">
        <f t="shared" si="55"/>
        <v>40188.800399999993</v>
      </c>
      <c r="AL102" s="524">
        <f t="shared" si="56"/>
        <v>59052.931199999999</v>
      </c>
      <c r="AM102" s="524">
        <f t="shared" si="57"/>
        <v>78737.241599999994</v>
      </c>
      <c r="AN102" s="537">
        <f t="shared" si="43"/>
        <v>4399.5253923600003</v>
      </c>
      <c r="AO102" s="537">
        <f t="shared" si="44"/>
        <v>8910.5131923599984</v>
      </c>
      <c r="AP102" s="537">
        <f t="shared" si="45"/>
        <v>13198.57617708</v>
      </c>
      <c r="AQ102" s="537">
        <f t="shared" si="46"/>
        <v>17598.101569440001</v>
      </c>
      <c r="AR102" s="523">
        <f t="shared" si="47"/>
        <v>205044.9</v>
      </c>
      <c r="AS102" s="523">
        <f t="shared" si="48"/>
        <v>17087.075000000001</v>
      </c>
      <c r="AU102" s="539">
        <v>8.4099999999999994E-2</v>
      </c>
      <c r="AV102" s="540">
        <v>0.22</v>
      </c>
    </row>
    <row r="103" spans="1:48" ht="15.75" hidden="1">
      <c r="A103" s="305" t="s">
        <v>614</v>
      </c>
      <c r="B103" s="305" t="s">
        <v>784</v>
      </c>
      <c r="C103" s="305" t="s">
        <v>755</v>
      </c>
      <c r="D103" s="306">
        <v>7241</v>
      </c>
      <c r="E103" s="306"/>
      <c r="F103" s="306"/>
      <c r="G103" s="519">
        <v>1</v>
      </c>
      <c r="H103" s="519">
        <v>5</v>
      </c>
      <c r="I103" s="519">
        <v>41.15</v>
      </c>
      <c r="J103" s="519">
        <v>6834.83</v>
      </c>
      <c r="K103" s="519">
        <v>28</v>
      </c>
      <c r="L103" s="533">
        <f t="shared" si="31"/>
        <v>1913.7524000000001</v>
      </c>
      <c r="M103" s="519">
        <v>20</v>
      </c>
      <c r="N103" s="532">
        <f t="shared" si="32"/>
        <v>1366.9660000000001</v>
      </c>
      <c r="O103" s="533">
        <f t="shared" si="33"/>
        <v>10115.5484</v>
      </c>
      <c r="P103" s="580">
        <f t="shared" si="34"/>
        <v>10115.5484</v>
      </c>
      <c r="Q103" s="519">
        <f t="shared" si="49"/>
        <v>1366.9660000000001</v>
      </c>
      <c r="R103" s="519"/>
      <c r="S103" s="535">
        <f t="shared" si="35"/>
        <v>20504.489999999998</v>
      </c>
      <c r="T103" s="535">
        <f t="shared" si="36"/>
        <v>9842.1552000000011</v>
      </c>
      <c r="U103" s="535">
        <f t="shared" si="37"/>
        <v>41008.979999999996</v>
      </c>
      <c r="V103" s="535">
        <f t="shared" si="38"/>
        <v>19684.310400000002</v>
      </c>
      <c r="W103" s="519">
        <v>8569.52</v>
      </c>
      <c r="X103" s="535">
        <f t="shared" si="39"/>
        <v>61513.47</v>
      </c>
      <c r="Y103" s="535">
        <f t="shared" si="40"/>
        <v>29526.465600000003</v>
      </c>
      <c r="Z103" s="542"/>
      <c r="AA103" s="519">
        <v>8941.9</v>
      </c>
      <c r="AB103" s="535">
        <f t="shared" si="41"/>
        <v>82017.959999999992</v>
      </c>
      <c r="AC103" s="577">
        <f t="shared" si="42"/>
        <v>39368.620800000004</v>
      </c>
      <c r="AD103" s="522">
        <v>0.04</v>
      </c>
      <c r="AE103" s="523">
        <f t="shared" si="50"/>
        <v>0.04</v>
      </c>
      <c r="AF103" s="524">
        <f t="shared" si="51"/>
        <v>820.17959999999994</v>
      </c>
      <c r="AG103" s="524">
        <f t="shared" si="52"/>
        <v>820.17959999999994</v>
      </c>
      <c r="AH103" s="524">
        <f t="shared" si="53"/>
        <v>2460.5388000000003</v>
      </c>
      <c r="AI103" s="524">
        <f t="shared" si="54"/>
        <v>3280.7183999999997</v>
      </c>
      <c r="AJ103" s="524">
        <f t="shared" si="58"/>
        <v>19684.310399999998</v>
      </c>
      <c r="AK103" s="524">
        <f t="shared" si="55"/>
        <v>40188.800399999993</v>
      </c>
      <c r="AL103" s="524">
        <f t="shared" si="56"/>
        <v>59052.931199999999</v>
      </c>
      <c r="AM103" s="524">
        <f t="shared" si="57"/>
        <v>78737.241599999994</v>
      </c>
      <c r="AN103" s="537">
        <f t="shared" si="43"/>
        <v>4399.5253923600003</v>
      </c>
      <c r="AO103" s="537">
        <f t="shared" si="44"/>
        <v>8910.5131923599984</v>
      </c>
      <c r="AP103" s="537">
        <f t="shared" si="45"/>
        <v>13198.57617708</v>
      </c>
      <c r="AQ103" s="537">
        <f t="shared" si="46"/>
        <v>17598.101569440001</v>
      </c>
      <c r="AR103" s="523">
        <f t="shared" si="47"/>
        <v>205044.9</v>
      </c>
      <c r="AS103" s="523">
        <f t="shared" si="48"/>
        <v>17087.075000000001</v>
      </c>
      <c r="AU103" s="539">
        <v>8.4099999999999994E-2</v>
      </c>
      <c r="AV103" s="540">
        <v>0.22</v>
      </c>
    </row>
    <row r="104" spans="1:48" ht="15.75" hidden="1">
      <c r="A104" s="305" t="s">
        <v>615</v>
      </c>
      <c r="B104" s="305" t="s">
        <v>784</v>
      </c>
      <c r="C104" s="305" t="s">
        <v>755</v>
      </c>
      <c r="D104" s="306">
        <v>8231</v>
      </c>
      <c r="E104" s="306"/>
      <c r="F104" s="306"/>
      <c r="G104" s="519">
        <v>1</v>
      </c>
      <c r="H104" s="519">
        <v>6</v>
      </c>
      <c r="I104" s="519">
        <v>48.1</v>
      </c>
      <c r="J104" s="519">
        <v>7988.98</v>
      </c>
      <c r="K104" s="519">
        <v>32</v>
      </c>
      <c r="L104" s="533">
        <f t="shared" si="31"/>
        <v>2556.4735999999998</v>
      </c>
      <c r="M104" s="519">
        <v>20</v>
      </c>
      <c r="N104" s="532">
        <f t="shared" si="32"/>
        <v>1597.796</v>
      </c>
      <c r="O104" s="533">
        <f t="shared" si="33"/>
        <v>12143.249599999999</v>
      </c>
      <c r="P104" s="580">
        <f t="shared" si="34"/>
        <v>12143.249599999999</v>
      </c>
      <c r="Q104" s="519">
        <f t="shared" si="49"/>
        <v>1597.796</v>
      </c>
      <c r="R104" s="519"/>
      <c r="S104" s="535">
        <f t="shared" si="35"/>
        <v>23966.94</v>
      </c>
      <c r="T104" s="535">
        <f t="shared" si="36"/>
        <v>12462.808799999999</v>
      </c>
      <c r="U104" s="535">
        <f t="shared" si="37"/>
        <v>47933.88</v>
      </c>
      <c r="V104" s="535">
        <f t="shared" si="38"/>
        <v>24925.617599999998</v>
      </c>
      <c r="W104" s="519">
        <v>10016.6</v>
      </c>
      <c r="X104" s="535">
        <f t="shared" si="39"/>
        <v>71900.819999999992</v>
      </c>
      <c r="Y104" s="535">
        <f t="shared" si="40"/>
        <v>37388.426399999997</v>
      </c>
      <c r="Z104" s="542"/>
      <c r="AA104" s="519">
        <v>10451.870000000001</v>
      </c>
      <c r="AB104" s="535">
        <f t="shared" si="41"/>
        <v>95867.76</v>
      </c>
      <c r="AC104" s="577">
        <f t="shared" si="42"/>
        <v>49851.235199999996</v>
      </c>
      <c r="AD104" s="522">
        <v>0.04</v>
      </c>
      <c r="AE104" s="523">
        <f t="shared" si="50"/>
        <v>0.04</v>
      </c>
      <c r="AF104" s="524">
        <f t="shared" si="51"/>
        <v>958.67759999999998</v>
      </c>
      <c r="AG104" s="524">
        <f t="shared" si="52"/>
        <v>958.67759999999998</v>
      </c>
      <c r="AH104" s="524">
        <f t="shared" si="53"/>
        <v>2876.0328</v>
      </c>
      <c r="AI104" s="524">
        <f t="shared" si="54"/>
        <v>3834.7103999999999</v>
      </c>
      <c r="AJ104" s="524">
        <f t="shared" si="58"/>
        <v>23008.2624</v>
      </c>
      <c r="AK104" s="524">
        <f t="shared" si="55"/>
        <v>46975.202399999995</v>
      </c>
      <c r="AL104" s="524">
        <f t="shared" si="56"/>
        <v>69024.787199999992</v>
      </c>
      <c r="AM104" s="524">
        <f t="shared" si="57"/>
        <v>92033.049599999998</v>
      </c>
      <c r="AN104" s="537">
        <f t="shared" si="43"/>
        <v>5142.4425141600004</v>
      </c>
      <c r="AO104" s="537">
        <f t="shared" si="44"/>
        <v>10415.169314159999</v>
      </c>
      <c r="AP104" s="537">
        <f t="shared" si="45"/>
        <v>15427.327542479998</v>
      </c>
      <c r="AQ104" s="537">
        <f t="shared" si="46"/>
        <v>20569.770056640002</v>
      </c>
      <c r="AR104" s="523">
        <f t="shared" si="47"/>
        <v>239669.39999999997</v>
      </c>
      <c r="AS104" s="523">
        <f t="shared" si="48"/>
        <v>19972.449999999997</v>
      </c>
      <c r="AU104" s="539">
        <v>8.4099999999999994E-2</v>
      </c>
      <c r="AV104" s="540">
        <v>0.22</v>
      </c>
    </row>
    <row r="105" spans="1:48" ht="15.75" hidden="1">
      <c r="A105" s="305" t="s">
        <v>606</v>
      </c>
      <c r="B105" s="305" t="s">
        <v>784</v>
      </c>
      <c r="C105" s="305" t="s">
        <v>755</v>
      </c>
      <c r="D105" s="306">
        <v>8211</v>
      </c>
      <c r="E105" s="306"/>
      <c r="F105" s="306"/>
      <c r="G105" s="519">
        <v>1</v>
      </c>
      <c r="H105" s="519">
        <v>6</v>
      </c>
      <c r="I105" s="519">
        <v>48.1</v>
      </c>
      <c r="J105" s="519">
        <v>7988.98</v>
      </c>
      <c r="K105" s="519">
        <v>24</v>
      </c>
      <c r="L105" s="533">
        <f t="shared" si="31"/>
        <v>1917.3551999999997</v>
      </c>
      <c r="M105" s="519">
        <v>20</v>
      </c>
      <c r="N105" s="532">
        <f t="shared" si="32"/>
        <v>1597.796</v>
      </c>
      <c r="O105" s="533">
        <f t="shared" si="33"/>
        <v>11504.1312</v>
      </c>
      <c r="P105" s="580">
        <f t="shared" si="34"/>
        <v>11504.1312</v>
      </c>
      <c r="Q105" s="519">
        <f t="shared" si="49"/>
        <v>1597.796</v>
      </c>
      <c r="R105" s="519"/>
      <c r="S105" s="535">
        <f t="shared" si="35"/>
        <v>23966.94</v>
      </c>
      <c r="T105" s="535">
        <f t="shared" si="36"/>
        <v>10545.453599999999</v>
      </c>
      <c r="U105" s="535">
        <f t="shared" si="37"/>
        <v>47933.88</v>
      </c>
      <c r="V105" s="535">
        <f t="shared" si="38"/>
        <v>21090.907199999998</v>
      </c>
      <c r="W105" s="519">
        <v>10016.6</v>
      </c>
      <c r="X105" s="535">
        <f t="shared" si="39"/>
        <v>71900.819999999992</v>
      </c>
      <c r="Y105" s="535">
        <f t="shared" si="40"/>
        <v>31636.360799999999</v>
      </c>
      <c r="Z105" s="542"/>
      <c r="AA105" s="519">
        <v>10451.870000000001</v>
      </c>
      <c r="AB105" s="535">
        <f t="shared" si="41"/>
        <v>95867.76</v>
      </c>
      <c r="AC105" s="577">
        <f t="shared" si="42"/>
        <v>42181.814399999996</v>
      </c>
      <c r="AD105" s="522">
        <v>0.04</v>
      </c>
      <c r="AE105" s="523">
        <f t="shared" si="50"/>
        <v>0.04</v>
      </c>
      <c r="AF105" s="524">
        <f t="shared" si="51"/>
        <v>958.67759999999998</v>
      </c>
      <c r="AG105" s="524">
        <f t="shared" si="52"/>
        <v>958.67759999999998</v>
      </c>
      <c r="AH105" s="524">
        <f t="shared" si="53"/>
        <v>2876.0328</v>
      </c>
      <c r="AI105" s="524">
        <f t="shared" si="54"/>
        <v>3834.7103999999999</v>
      </c>
      <c r="AJ105" s="524">
        <f t="shared" si="58"/>
        <v>23008.2624</v>
      </c>
      <c r="AK105" s="524">
        <f t="shared" si="55"/>
        <v>46975.202399999995</v>
      </c>
      <c r="AL105" s="524">
        <f t="shared" si="56"/>
        <v>69024.787199999992</v>
      </c>
      <c r="AM105" s="524">
        <f t="shared" si="57"/>
        <v>92033.049599999998</v>
      </c>
      <c r="AN105" s="537">
        <f t="shared" si="43"/>
        <v>5142.4425141600004</v>
      </c>
      <c r="AO105" s="537">
        <f t="shared" si="44"/>
        <v>10415.169314159999</v>
      </c>
      <c r="AP105" s="537">
        <f t="shared" si="45"/>
        <v>15427.327542479998</v>
      </c>
      <c r="AQ105" s="537">
        <f t="shared" si="46"/>
        <v>20569.770056640002</v>
      </c>
      <c r="AR105" s="523">
        <f t="shared" si="47"/>
        <v>239669.39999999997</v>
      </c>
      <c r="AS105" s="523">
        <f t="shared" si="48"/>
        <v>19972.449999999997</v>
      </c>
      <c r="AU105" s="539">
        <v>8.4099999999999994E-2</v>
      </c>
      <c r="AV105" s="540">
        <v>0.22</v>
      </c>
    </row>
    <row r="106" spans="1:48" ht="15.75" hidden="1">
      <c r="A106" s="305" t="s">
        <v>607</v>
      </c>
      <c r="B106" s="305" t="s">
        <v>784</v>
      </c>
      <c r="C106" s="305" t="s">
        <v>755</v>
      </c>
      <c r="D106" s="306">
        <v>7212</v>
      </c>
      <c r="E106" s="306"/>
      <c r="F106" s="306"/>
      <c r="G106" s="519">
        <v>1</v>
      </c>
      <c r="H106" s="519">
        <v>4</v>
      </c>
      <c r="I106" s="519">
        <v>36.07</v>
      </c>
      <c r="J106" s="519">
        <v>5990.87</v>
      </c>
      <c r="K106" s="519">
        <v>24</v>
      </c>
      <c r="L106" s="533">
        <f t="shared" si="31"/>
        <v>1437.8088</v>
      </c>
      <c r="M106" s="519">
        <v>20</v>
      </c>
      <c r="N106" s="532">
        <f t="shared" si="32"/>
        <v>1198.174</v>
      </c>
      <c r="O106" s="533">
        <f t="shared" si="33"/>
        <v>8626.8528000000006</v>
      </c>
      <c r="P106" s="580">
        <f t="shared" si="34"/>
        <v>8626.8528000000006</v>
      </c>
      <c r="Q106" s="519">
        <f t="shared" si="49"/>
        <v>1198.174</v>
      </c>
      <c r="R106" s="519"/>
      <c r="S106" s="535">
        <f t="shared" si="35"/>
        <v>17972.61</v>
      </c>
      <c r="T106" s="535">
        <f t="shared" si="36"/>
        <v>7907.9483999999993</v>
      </c>
      <c r="U106" s="535">
        <f t="shared" si="37"/>
        <v>35945.22</v>
      </c>
      <c r="V106" s="535">
        <f t="shared" si="38"/>
        <v>15815.896799999999</v>
      </c>
      <c r="W106" s="519">
        <v>7511.37</v>
      </c>
      <c r="X106" s="535">
        <f t="shared" si="39"/>
        <v>53917.83</v>
      </c>
      <c r="Y106" s="535">
        <f t="shared" si="40"/>
        <v>23723.845199999996</v>
      </c>
      <c r="Z106" s="542"/>
      <c r="AA106" s="519">
        <v>7837.77</v>
      </c>
      <c r="AB106" s="535">
        <f t="shared" si="41"/>
        <v>71890.44</v>
      </c>
      <c r="AC106" s="577">
        <f t="shared" si="42"/>
        <v>31631.793599999997</v>
      </c>
      <c r="AD106" s="522">
        <v>0.04</v>
      </c>
      <c r="AE106" s="523">
        <f t="shared" si="50"/>
        <v>0.04</v>
      </c>
      <c r="AF106" s="524">
        <f t="shared" si="51"/>
        <v>718.90440000000001</v>
      </c>
      <c r="AG106" s="524">
        <f t="shared" si="52"/>
        <v>718.90440000000001</v>
      </c>
      <c r="AH106" s="524">
        <f t="shared" si="53"/>
        <v>2156.7132000000001</v>
      </c>
      <c r="AI106" s="524">
        <f t="shared" si="54"/>
        <v>2875.6176</v>
      </c>
      <c r="AJ106" s="524">
        <f t="shared" si="58"/>
        <v>17253.705600000001</v>
      </c>
      <c r="AK106" s="524">
        <f t="shared" si="55"/>
        <v>35226.315600000002</v>
      </c>
      <c r="AL106" s="524">
        <f t="shared" si="56"/>
        <v>51761.116800000003</v>
      </c>
      <c r="AM106" s="524">
        <f t="shared" si="57"/>
        <v>69014.822400000005</v>
      </c>
      <c r="AN106" s="537">
        <f t="shared" si="43"/>
        <v>3856.2750920400003</v>
      </c>
      <c r="AO106" s="537">
        <f t="shared" si="44"/>
        <v>7810.2492920400009</v>
      </c>
      <c r="AP106" s="537">
        <f t="shared" si="45"/>
        <v>11568.82527612</v>
      </c>
      <c r="AQ106" s="537">
        <f t="shared" si="46"/>
        <v>15425.100368160001</v>
      </c>
      <c r="AR106" s="523">
        <f t="shared" si="47"/>
        <v>179726.1</v>
      </c>
      <c r="AS106" s="523">
        <f t="shared" si="48"/>
        <v>14977.175000000001</v>
      </c>
      <c r="AU106" s="539">
        <v>8.4099999999999994E-2</v>
      </c>
      <c r="AV106" s="540">
        <v>0.22</v>
      </c>
    </row>
    <row r="107" spans="1:48" ht="15.75" hidden="1">
      <c r="A107" s="305" t="s">
        <v>607</v>
      </c>
      <c r="B107" s="305" t="s">
        <v>784</v>
      </c>
      <c r="C107" s="305" t="s">
        <v>755</v>
      </c>
      <c r="D107" s="306">
        <v>7212</v>
      </c>
      <c r="E107" s="306"/>
      <c r="F107" s="306"/>
      <c r="G107" s="519">
        <v>2</v>
      </c>
      <c r="H107" s="519">
        <v>5</v>
      </c>
      <c r="I107" s="519">
        <v>41.15</v>
      </c>
      <c r="J107" s="519">
        <v>6834.83</v>
      </c>
      <c r="K107" s="519">
        <v>28</v>
      </c>
      <c r="L107" s="533">
        <f t="shared" si="31"/>
        <v>1913.7524000000001</v>
      </c>
      <c r="M107" s="519">
        <v>20</v>
      </c>
      <c r="N107" s="532">
        <f t="shared" si="32"/>
        <v>1366.9660000000001</v>
      </c>
      <c r="O107" s="533">
        <f t="shared" si="33"/>
        <v>10115.5484</v>
      </c>
      <c r="P107" s="580">
        <f t="shared" si="34"/>
        <v>20231.096799999999</v>
      </c>
      <c r="Q107" s="519">
        <f t="shared" si="49"/>
        <v>2733.9320000000002</v>
      </c>
      <c r="R107" s="519"/>
      <c r="S107" s="535">
        <f t="shared" si="35"/>
        <v>41008.979999999996</v>
      </c>
      <c r="T107" s="535">
        <f t="shared" si="36"/>
        <v>19684.310400000002</v>
      </c>
      <c r="U107" s="535">
        <f t="shared" si="37"/>
        <v>82017.959999999992</v>
      </c>
      <c r="V107" s="535">
        <f t="shared" si="38"/>
        <v>39368.620800000004</v>
      </c>
      <c r="W107" s="519">
        <v>17139.04</v>
      </c>
      <c r="X107" s="535">
        <f t="shared" si="39"/>
        <v>123026.94</v>
      </c>
      <c r="Y107" s="535">
        <f t="shared" si="40"/>
        <v>59052.931200000006</v>
      </c>
      <c r="Z107" s="542"/>
      <c r="AA107" s="519">
        <v>17883.8</v>
      </c>
      <c r="AB107" s="535">
        <f t="shared" si="41"/>
        <v>164035.91999999998</v>
      </c>
      <c r="AC107" s="577">
        <f t="shared" si="42"/>
        <v>78737.241600000008</v>
      </c>
      <c r="AD107" s="522">
        <v>0.04</v>
      </c>
      <c r="AE107" s="523">
        <f t="shared" si="50"/>
        <v>0.08</v>
      </c>
      <c r="AF107" s="524">
        <f t="shared" si="51"/>
        <v>1640.3591999999999</v>
      </c>
      <c r="AG107" s="524">
        <f t="shared" si="52"/>
        <v>1640.3591999999999</v>
      </c>
      <c r="AH107" s="524">
        <f t="shared" si="53"/>
        <v>4921.0776000000005</v>
      </c>
      <c r="AI107" s="524">
        <f t="shared" si="54"/>
        <v>6561.4367999999995</v>
      </c>
      <c r="AJ107" s="524">
        <f t="shared" si="58"/>
        <v>39368.620799999997</v>
      </c>
      <c r="AK107" s="524">
        <f t="shared" si="55"/>
        <v>80377.600799999986</v>
      </c>
      <c r="AL107" s="524">
        <f t="shared" si="56"/>
        <v>118105.8624</v>
      </c>
      <c r="AM107" s="524">
        <f t="shared" si="57"/>
        <v>157474.48319999999</v>
      </c>
      <c r="AN107" s="537">
        <f t="shared" si="43"/>
        <v>8799.0507847200006</v>
      </c>
      <c r="AO107" s="537">
        <f t="shared" si="44"/>
        <v>17821.026384719997</v>
      </c>
      <c r="AP107" s="537">
        <f t="shared" si="45"/>
        <v>26397.15235416</v>
      </c>
      <c r="AQ107" s="537">
        <f t="shared" si="46"/>
        <v>35196.203138880002</v>
      </c>
      <c r="AR107" s="523">
        <f t="shared" si="47"/>
        <v>410089.8</v>
      </c>
      <c r="AS107" s="523">
        <f t="shared" si="48"/>
        <v>17087.075000000001</v>
      </c>
      <c r="AU107" s="539">
        <v>8.4099999999999994E-2</v>
      </c>
      <c r="AV107" s="540">
        <v>0.22</v>
      </c>
    </row>
    <row r="108" spans="1:48" ht="15.75" hidden="1">
      <c r="A108" s="305" t="s">
        <v>616</v>
      </c>
      <c r="B108" s="305" t="s">
        <v>784</v>
      </c>
      <c r="C108" s="305" t="s">
        <v>755</v>
      </c>
      <c r="D108" s="306">
        <v>7213</v>
      </c>
      <c r="E108" s="306"/>
      <c r="F108" s="306"/>
      <c r="G108" s="519">
        <v>1</v>
      </c>
      <c r="H108" s="519">
        <v>5</v>
      </c>
      <c r="I108" s="519">
        <v>41.15</v>
      </c>
      <c r="J108" s="519">
        <v>6834.83</v>
      </c>
      <c r="K108" s="519">
        <v>28</v>
      </c>
      <c r="L108" s="533">
        <f t="shared" si="31"/>
        <v>1913.7524000000001</v>
      </c>
      <c r="M108" s="519">
        <v>20</v>
      </c>
      <c r="N108" s="532">
        <f t="shared" si="32"/>
        <v>1366.9660000000001</v>
      </c>
      <c r="O108" s="533">
        <f t="shared" si="33"/>
        <v>10115.5484</v>
      </c>
      <c r="P108" s="580">
        <f t="shared" si="34"/>
        <v>10115.5484</v>
      </c>
      <c r="Q108" s="519">
        <f t="shared" si="49"/>
        <v>1366.9660000000001</v>
      </c>
      <c r="R108" s="519"/>
      <c r="S108" s="535">
        <f t="shared" si="35"/>
        <v>20504.489999999998</v>
      </c>
      <c r="T108" s="535">
        <f t="shared" si="36"/>
        <v>9842.1552000000011</v>
      </c>
      <c r="U108" s="535">
        <f t="shared" si="37"/>
        <v>41008.979999999996</v>
      </c>
      <c r="V108" s="535">
        <f t="shared" si="38"/>
        <v>19684.310400000002</v>
      </c>
      <c r="W108" s="519">
        <v>8569.52</v>
      </c>
      <c r="X108" s="535">
        <f t="shared" si="39"/>
        <v>61513.47</v>
      </c>
      <c r="Y108" s="535">
        <f t="shared" si="40"/>
        <v>29526.465600000003</v>
      </c>
      <c r="Z108" s="542"/>
      <c r="AA108" s="519">
        <v>8941.9</v>
      </c>
      <c r="AB108" s="535">
        <f t="shared" si="41"/>
        <v>82017.959999999992</v>
      </c>
      <c r="AC108" s="577">
        <f t="shared" si="42"/>
        <v>39368.620800000004</v>
      </c>
      <c r="AD108" s="522">
        <v>0.04</v>
      </c>
      <c r="AE108" s="523">
        <f t="shared" si="50"/>
        <v>0.04</v>
      </c>
      <c r="AF108" s="524">
        <f t="shared" si="51"/>
        <v>820.17959999999994</v>
      </c>
      <c r="AG108" s="524">
        <f t="shared" si="52"/>
        <v>820.17959999999994</v>
      </c>
      <c r="AH108" s="524">
        <f t="shared" si="53"/>
        <v>2460.5388000000003</v>
      </c>
      <c r="AI108" s="524">
        <f t="shared" si="54"/>
        <v>3280.7183999999997</v>
      </c>
      <c r="AJ108" s="524">
        <f t="shared" si="58"/>
        <v>19684.310399999998</v>
      </c>
      <c r="AK108" s="524">
        <f t="shared" si="55"/>
        <v>40188.800399999993</v>
      </c>
      <c r="AL108" s="524">
        <f t="shared" si="56"/>
        <v>59052.931199999999</v>
      </c>
      <c r="AM108" s="524">
        <f t="shared" si="57"/>
        <v>78737.241599999994</v>
      </c>
      <c r="AN108" s="537">
        <f t="shared" si="43"/>
        <v>4399.5253923600003</v>
      </c>
      <c r="AO108" s="537">
        <f t="shared" si="44"/>
        <v>8910.5131923599984</v>
      </c>
      <c r="AP108" s="537">
        <f t="shared" si="45"/>
        <v>13198.57617708</v>
      </c>
      <c r="AQ108" s="537">
        <f t="shared" si="46"/>
        <v>17598.101569440001</v>
      </c>
      <c r="AR108" s="523">
        <f t="shared" si="47"/>
        <v>205044.9</v>
      </c>
      <c r="AS108" s="523">
        <f t="shared" si="48"/>
        <v>17087.075000000001</v>
      </c>
      <c r="AU108" s="539">
        <v>8.4099999999999994E-2</v>
      </c>
      <c r="AV108" s="540">
        <v>0.22</v>
      </c>
    </row>
    <row r="109" spans="1:48" ht="15.75" hidden="1">
      <c r="A109" s="305" t="s">
        <v>617</v>
      </c>
      <c r="B109" s="305" t="s">
        <v>784</v>
      </c>
      <c r="C109" s="305" t="s">
        <v>755</v>
      </c>
      <c r="D109" s="306">
        <v>7141</v>
      </c>
      <c r="E109" s="306"/>
      <c r="F109" s="306"/>
      <c r="G109" s="519">
        <v>1</v>
      </c>
      <c r="H109" s="519">
        <v>5</v>
      </c>
      <c r="I109" s="519">
        <v>42.15</v>
      </c>
      <c r="J109" s="519">
        <v>6999.46</v>
      </c>
      <c r="K109" s="519">
        <v>20</v>
      </c>
      <c r="L109" s="533">
        <f t="shared" si="31"/>
        <v>1399.8920000000001</v>
      </c>
      <c r="M109" s="519">
        <v>20</v>
      </c>
      <c r="N109" s="532">
        <f t="shared" si="32"/>
        <v>1399.8920000000001</v>
      </c>
      <c r="O109" s="533">
        <f t="shared" si="33"/>
        <v>9799.2440000000006</v>
      </c>
      <c r="P109" s="580">
        <f t="shared" si="34"/>
        <v>9799.2440000000006</v>
      </c>
      <c r="Q109" s="519">
        <f t="shared" si="49"/>
        <v>1399.8920000000001</v>
      </c>
      <c r="R109" s="519"/>
      <c r="S109" s="535">
        <f t="shared" si="35"/>
        <v>20998.38</v>
      </c>
      <c r="T109" s="535">
        <f t="shared" si="36"/>
        <v>8399.3520000000008</v>
      </c>
      <c r="U109" s="535">
        <f t="shared" si="37"/>
        <v>41996.76</v>
      </c>
      <c r="V109" s="535">
        <f t="shared" si="38"/>
        <v>16798.704000000002</v>
      </c>
      <c r="W109" s="519">
        <v>8775.94</v>
      </c>
      <c r="X109" s="535">
        <f t="shared" si="39"/>
        <v>62995.14</v>
      </c>
      <c r="Y109" s="535">
        <f t="shared" si="40"/>
        <v>25198.056</v>
      </c>
      <c r="Z109" s="542"/>
      <c r="AA109" s="519">
        <v>9157.2900000000009</v>
      </c>
      <c r="AB109" s="535">
        <f t="shared" si="41"/>
        <v>83993.52</v>
      </c>
      <c r="AC109" s="577">
        <f t="shared" si="42"/>
        <v>33597.408000000003</v>
      </c>
      <c r="AD109" s="522">
        <v>0.04</v>
      </c>
      <c r="AE109" s="523">
        <f t="shared" si="50"/>
        <v>0.04</v>
      </c>
      <c r="AF109" s="524">
        <f t="shared" si="51"/>
        <v>839.93520000000001</v>
      </c>
      <c r="AG109" s="524">
        <f t="shared" si="52"/>
        <v>839.93520000000001</v>
      </c>
      <c r="AH109" s="524">
        <f t="shared" si="53"/>
        <v>2519.8056000000001</v>
      </c>
      <c r="AI109" s="524">
        <f t="shared" si="54"/>
        <v>3359.7408</v>
      </c>
      <c r="AJ109" s="524">
        <f t="shared" si="58"/>
        <v>20158.444800000001</v>
      </c>
      <c r="AK109" s="524">
        <f t="shared" si="55"/>
        <v>41156.824800000002</v>
      </c>
      <c r="AL109" s="524">
        <f t="shared" si="56"/>
        <v>60475.3344</v>
      </c>
      <c r="AM109" s="524">
        <f t="shared" si="57"/>
        <v>80633.779200000004</v>
      </c>
      <c r="AN109" s="537">
        <f t="shared" si="43"/>
        <v>4505.4964063200005</v>
      </c>
      <c r="AO109" s="537">
        <f t="shared" si="44"/>
        <v>9125.1400063199999</v>
      </c>
      <c r="AP109" s="537">
        <f t="shared" si="45"/>
        <v>13516.48921896</v>
      </c>
      <c r="AQ109" s="537">
        <f t="shared" si="46"/>
        <v>18021.985625280002</v>
      </c>
      <c r="AR109" s="523">
        <f t="shared" si="47"/>
        <v>209983.8</v>
      </c>
      <c r="AS109" s="523">
        <f t="shared" si="48"/>
        <v>17498.649999999998</v>
      </c>
      <c r="AU109" s="539">
        <v>8.4099999999999994E-2</v>
      </c>
      <c r="AV109" s="540">
        <v>0.22</v>
      </c>
    </row>
    <row r="110" spans="1:48" ht="15.75" hidden="1">
      <c r="A110" s="305" t="s">
        <v>619</v>
      </c>
      <c r="B110" s="305" t="s">
        <v>784</v>
      </c>
      <c r="C110" s="305" t="s">
        <v>755</v>
      </c>
      <c r="D110" s="306">
        <v>5169</v>
      </c>
      <c r="E110" s="306"/>
      <c r="F110" s="306"/>
      <c r="G110" s="519">
        <v>1</v>
      </c>
      <c r="H110" s="519"/>
      <c r="I110" s="519"/>
      <c r="J110" s="519">
        <v>4572.42</v>
      </c>
      <c r="K110" s="519"/>
      <c r="L110" s="533">
        <f t="shared" si="31"/>
        <v>0</v>
      </c>
      <c r="M110" s="519">
        <v>20</v>
      </c>
      <c r="N110" s="532">
        <f t="shared" si="32"/>
        <v>914.48400000000004</v>
      </c>
      <c r="O110" s="533">
        <f t="shared" si="33"/>
        <v>5486.9040000000005</v>
      </c>
      <c r="P110" s="580">
        <f t="shared" si="34"/>
        <v>5486.9040000000005</v>
      </c>
      <c r="Q110" s="519">
        <f t="shared" si="49"/>
        <v>914.48400000000004</v>
      </c>
      <c r="R110" s="519"/>
      <c r="S110" s="535">
        <f t="shared" si="35"/>
        <v>13717.26</v>
      </c>
      <c r="T110" s="535">
        <f t="shared" si="36"/>
        <v>2743.4520000000002</v>
      </c>
      <c r="U110" s="535">
        <f t="shared" si="37"/>
        <v>27434.52</v>
      </c>
      <c r="V110" s="535">
        <f t="shared" si="38"/>
        <v>5486.9040000000005</v>
      </c>
      <c r="W110" s="519">
        <v>5732.9</v>
      </c>
      <c r="X110" s="535">
        <f t="shared" si="39"/>
        <v>41151.78</v>
      </c>
      <c r="Y110" s="535">
        <f t="shared" si="40"/>
        <v>8230.3559999999998</v>
      </c>
      <c r="Z110" s="542"/>
      <c r="AA110" s="519">
        <v>5982.02</v>
      </c>
      <c r="AB110" s="535">
        <f t="shared" si="41"/>
        <v>54869.04</v>
      </c>
      <c r="AC110" s="577">
        <f t="shared" si="42"/>
        <v>10973.808000000001</v>
      </c>
      <c r="AD110" s="522">
        <v>0.04</v>
      </c>
      <c r="AE110" s="523">
        <f t="shared" si="50"/>
        <v>0.04</v>
      </c>
      <c r="AF110" s="524">
        <f t="shared" si="51"/>
        <v>548.69040000000007</v>
      </c>
      <c r="AG110" s="524">
        <f t="shared" si="52"/>
        <v>548.69040000000007</v>
      </c>
      <c r="AH110" s="524">
        <f t="shared" si="53"/>
        <v>1646.0712000000001</v>
      </c>
      <c r="AI110" s="524">
        <f t="shared" si="54"/>
        <v>2194.7616000000003</v>
      </c>
      <c r="AJ110" s="524">
        <f t="shared" si="58"/>
        <v>13168.569600000001</v>
      </c>
      <c r="AK110" s="524">
        <f t="shared" si="55"/>
        <v>26885.829600000001</v>
      </c>
      <c r="AL110" s="524">
        <f t="shared" si="56"/>
        <v>39505.7088</v>
      </c>
      <c r="AM110" s="524">
        <f t="shared" si="57"/>
        <v>52674.278400000003</v>
      </c>
      <c r="AN110" s="537">
        <f t="shared" si="43"/>
        <v>2943.2301746400003</v>
      </c>
      <c r="AO110" s="537">
        <f t="shared" si="44"/>
        <v>5961.0273746399998</v>
      </c>
      <c r="AP110" s="537">
        <f t="shared" si="45"/>
        <v>8829.6905239199987</v>
      </c>
      <c r="AQ110" s="537">
        <f t="shared" si="46"/>
        <v>11772.920698560001</v>
      </c>
      <c r="AR110" s="523">
        <f t="shared" si="47"/>
        <v>137172.6</v>
      </c>
      <c r="AS110" s="523">
        <f t="shared" si="48"/>
        <v>11431.050000000001</v>
      </c>
      <c r="AU110" s="539">
        <v>8.4099999999999994E-2</v>
      </c>
      <c r="AV110" s="540">
        <v>0.22</v>
      </c>
    </row>
    <row r="111" spans="1:48" ht="15.75" hidden="1">
      <c r="A111" s="305" t="s">
        <v>620</v>
      </c>
      <c r="B111" s="305" t="s">
        <v>784</v>
      </c>
      <c r="C111" s="305" t="s">
        <v>755</v>
      </c>
      <c r="D111" s="306">
        <v>5169</v>
      </c>
      <c r="E111" s="306"/>
      <c r="F111" s="306"/>
      <c r="G111" s="519">
        <v>8</v>
      </c>
      <c r="H111" s="519"/>
      <c r="I111" s="519">
        <v>26.72</v>
      </c>
      <c r="J111" s="519">
        <v>4438.13</v>
      </c>
      <c r="K111" s="519">
        <v>14.7</v>
      </c>
      <c r="L111" s="533">
        <f t="shared" si="31"/>
        <v>652.40511000000004</v>
      </c>
      <c r="M111" s="519">
        <v>20</v>
      </c>
      <c r="N111" s="532">
        <f t="shared" si="32"/>
        <v>887.62600000000009</v>
      </c>
      <c r="O111" s="533">
        <f t="shared" si="33"/>
        <v>5978.16111</v>
      </c>
      <c r="P111" s="580">
        <f t="shared" si="34"/>
        <v>47825.28888</v>
      </c>
      <c r="Q111" s="519">
        <f t="shared" si="49"/>
        <v>7101.0080000000007</v>
      </c>
      <c r="R111" s="519"/>
      <c r="S111" s="535">
        <f t="shared" si="35"/>
        <v>106515.12</v>
      </c>
      <c r="T111" s="535">
        <f t="shared" si="36"/>
        <v>36960.746640000005</v>
      </c>
      <c r="U111" s="535">
        <f t="shared" si="37"/>
        <v>213030.24</v>
      </c>
      <c r="V111" s="535">
        <f t="shared" si="38"/>
        <v>73921.49328000001</v>
      </c>
      <c r="W111" s="519">
        <v>49969.56</v>
      </c>
      <c r="X111" s="535">
        <f t="shared" si="39"/>
        <v>319545.36</v>
      </c>
      <c r="Y111" s="535">
        <f t="shared" si="40"/>
        <v>110882.23992000001</v>
      </c>
      <c r="Z111" s="542"/>
      <c r="AA111" s="519">
        <v>52140.94</v>
      </c>
      <c r="AB111" s="535">
        <f t="shared" si="41"/>
        <v>426060.48</v>
      </c>
      <c r="AC111" s="577">
        <f t="shared" si="42"/>
        <v>147842.98656000002</v>
      </c>
      <c r="AD111" s="522">
        <v>0.04</v>
      </c>
      <c r="AE111" s="523">
        <f t="shared" si="50"/>
        <v>0.32</v>
      </c>
      <c r="AF111" s="524">
        <f t="shared" si="51"/>
        <v>4260.6048000000001</v>
      </c>
      <c r="AG111" s="524">
        <f t="shared" si="52"/>
        <v>4260.6048000000001</v>
      </c>
      <c r="AH111" s="524">
        <f t="shared" si="53"/>
        <v>12781.814399999999</v>
      </c>
      <c r="AI111" s="524">
        <f t="shared" si="54"/>
        <v>17042.4192</v>
      </c>
      <c r="AJ111" s="524">
        <f t="shared" si="58"/>
        <v>102254.51519999999</v>
      </c>
      <c r="AK111" s="524">
        <f t="shared" si="55"/>
        <v>208769.63519999999</v>
      </c>
      <c r="AL111" s="524">
        <f t="shared" si="56"/>
        <v>306763.54560000001</v>
      </c>
      <c r="AM111" s="524">
        <f t="shared" si="57"/>
        <v>409018.06079999998</v>
      </c>
      <c r="AN111" s="537">
        <f t="shared" si="43"/>
        <v>22854.310207679999</v>
      </c>
      <c r="AO111" s="537">
        <f t="shared" si="44"/>
        <v>46287.636607679997</v>
      </c>
      <c r="AP111" s="537">
        <f t="shared" si="45"/>
        <v>68562.930623040011</v>
      </c>
      <c r="AQ111" s="537">
        <f t="shared" si="46"/>
        <v>91417.240830719995</v>
      </c>
      <c r="AR111" s="523">
        <f t="shared" si="47"/>
        <v>1065151.2</v>
      </c>
      <c r="AS111" s="523">
        <f t="shared" si="48"/>
        <v>11095.324999999999</v>
      </c>
      <c r="AU111" s="539">
        <v>8.4099999999999994E-2</v>
      </c>
      <c r="AV111" s="540">
        <v>0.22</v>
      </c>
    </row>
    <row r="112" spans="1:48" ht="15.75" hidden="1">
      <c r="A112" s="305" t="s">
        <v>621</v>
      </c>
      <c r="B112" s="305" t="s">
        <v>784</v>
      </c>
      <c r="C112" s="305" t="s">
        <v>755</v>
      </c>
      <c r="D112" s="306">
        <v>5169</v>
      </c>
      <c r="E112" s="306"/>
      <c r="F112" s="306"/>
      <c r="G112" s="519">
        <v>4</v>
      </c>
      <c r="H112" s="519"/>
      <c r="I112" s="519">
        <v>25.91</v>
      </c>
      <c r="J112" s="519">
        <v>4302.96</v>
      </c>
      <c r="K112" s="519">
        <v>14.7</v>
      </c>
      <c r="L112" s="533">
        <f t="shared" si="31"/>
        <v>632.53512000000001</v>
      </c>
      <c r="M112" s="519">
        <v>20</v>
      </c>
      <c r="N112" s="532">
        <f t="shared" si="32"/>
        <v>860.5920000000001</v>
      </c>
      <c r="O112" s="533">
        <f t="shared" si="33"/>
        <v>5796.0871200000001</v>
      </c>
      <c r="P112" s="580">
        <f t="shared" si="34"/>
        <v>23184.348480000001</v>
      </c>
      <c r="Q112" s="519">
        <f t="shared" si="49"/>
        <v>3442.3680000000004</v>
      </c>
      <c r="R112" s="519"/>
      <c r="S112" s="535">
        <f t="shared" si="35"/>
        <v>51635.520000000004</v>
      </c>
      <c r="T112" s="535">
        <f t="shared" si="36"/>
        <v>17917.525440000001</v>
      </c>
      <c r="U112" s="535">
        <f t="shared" si="37"/>
        <v>103271.04000000001</v>
      </c>
      <c r="V112" s="535">
        <f t="shared" si="38"/>
        <v>35835.050880000003</v>
      </c>
      <c r="W112" s="519">
        <v>24223.82</v>
      </c>
      <c r="X112" s="535">
        <f t="shared" si="39"/>
        <v>154906.56</v>
      </c>
      <c r="Y112" s="535">
        <f t="shared" si="40"/>
        <v>53752.576320000007</v>
      </c>
      <c r="Z112" s="542"/>
      <c r="AA112" s="519">
        <v>25276.44</v>
      </c>
      <c r="AB112" s="535">
        <f t="shared" si="41"/>
        <v>206542.08000000002</v>
      </c>
      <c r="AC112" s="577">
        <f t="shared" si="42"/>
        <v>71670.101760000005</v>
      </c>
      <c r="AD112" s="522">
        <v>0.04</v>
      </c>
      <c r="AE112" s="523">
        <f t="shared" si="50"/>
        <v>0.16</v>
      </c>
      <c r="AF112" s="524">
        <f t="shared" si="51"/>
        <v>2065.4208000000003</v>
      </c>
      <c r="AG112" s="524">
        <f t="shared" si="52"/>
        <v>2065.4208000000003</v>
      </c>
      <c r="AH112" s="524">
        <f t="shared" si="53"/>
        <v>6196.2623999999996</v>
      </c>
      <c r="AI112" s="524">
        <f t="shared" si="54"/>
        <v>8261.6832000000013</v>
      </c>
      <c r="AJ112" s="524">
        <f t="shared" si="58"/>
        <v>49570.099200000004</v>
      </c>
      <c r="AK112" s="524">
        <f t="shared" si="55"/>
        <v>101205.6192</v>
      </c>
      <c r="AL112" s="524">
        <f t="shared" si="56"/>
        <v>148710.29759999999</v>
      </c>
      <c r="AM112" s="524">
        <f t="shared" si="57"/>
        <v>198280.39680000002</v>
      </c>
      <c r="AN112" s="537">
        <f t="shared" si="43"/>
        <v>11079.123713280002</v>
      </c>
      <c r="AO112" s="537">
        <f t="shared" si="44"/>
        <v>22438.938113280001</v>
      </c>
      <c r="AP112" s="537">
        <f t="shared" si="45"/>
        <v>33237.371139839997</v>
      </c>
      <c r="AQ112" s="537">
        <f t="shared" si="46"/>
        <v>44316.494853120006</v>
      </c>
      <c r="AR112" s="523">
        <f t="shared" si="47"/>
        <v>516355.2</v>
      </c>
      <c r="AS112" s="523">
        <f t="shared" si="48"/>
        <v>10757.4</v>
      </c>
      <c r="AU112" s="539">
        <v>8.4099999999999994E-2</v>
      </c>
      <c r="AV112" s="540">
        <v>0.22</v>
      </c>
    </row>
    <row r="113" spans="1:50" ht="15.75" hidden="1">
      <c r="A113" s="305" t="s">
        <v>622</v>
      </c>
      <c r="B113" s="305" t="s">
        <v>784</v>
      </c>
      <c r="C113" s="305" t="s">
        <v>755</v>
      </c>
      <c r="D113" s="306">
        <v>8163</v>
      </c>
      <c r="E113" s="306"/>
      <c r="F113" s="306"/>
      <c r="G113" s="519">
        <v>4</v>
      </c>
      <c r="H113" s="519"/>
      <c r="I113" s="519">
        <v>28.02</v>
      </c>
      <c r="J113" s="519">
        <v>4653.0200000000004</v>
      </c>
      <c r="K113" s="519">
        <v>14.7</v>
      </c>
      <c r="L113" s="533">
        <f t="shared" si="31"/>
        <v>683.99394000000007</v>
      </c>
      <c r="M113" s="519">
        <v>20</v>
      </c>
      <c r="N113" s="532">
        <f t="shared" si="32"/>
        <v>930.60400000000016</v>
      </c>
      <c r="O113" s="533">
        <f t="shared" si="33"/>
        <v>6267.617940000001</v>
      </c>
      <c r="P113" s="580">
        <f t="shared" si="34"/>
        <v>25070.471760000004</v>
      </c>
      <c r="Q113" s="519">
        <f t="shared" si="49"/>
        <v>3722.4160000000006</v>
      </c>
      <c r="R113" s="519"/>
      <c r="S113" s="535">
        <f t="shared" si="35"/>
        <v>55836.240000000005</v>
      </c>
      <c r="T113" s="535">
        <f t="shared" si="36"/>
        <v>19375.175280000003</v>
      </c>
      <c r="U113" s="535">
        <f t="shared" si="37"/>
        <v>111672.48000000001</v>
      </c>
      <c r="V113" s="535">
        <f t="shared" si="38"/>
        <v>38750.350560000006</v>
      </c>
      <c r="W113" s="519">
        <v>26194.51</v>
      </c>
      <c r="X113" s="535">
        <f t="shared" si="39"/>
        <v>167508.72000000003</v>
      </c>
      <c r="Y113" s="535">
        <f t="shared" si="40"/>
        <v>58125.525840000002</v>
      </c>
      <c r="Z113" s="542"/>
      <c r="AA113" s="519">
        <v>27332.76</v>
      </c>
      <c r="AB113" s="535">
        <f t="shared" si="41"/>
        <v>223344.96000000002</v>
      </c>
      <c r="AC113" s="577">
        <f t="shared" si="42"/>
        <v>77500.701120000012</v>
      </c>
      <c r="AD113" s="522">
        <v>0.04</v>
      </c>
      <c r="AE113" s="523">
        <f t="shared" si="50"/>
        <v>0.16</v>
      </c>
      <c r="AF113" s="524">
        <f t="shared" si="51"/>
        <v>2233.4496000000004</v>
      </c>
      <c r="AG113" s="524">
        <f t="shared" si="52"/>
        <v>2233.4496000000004</v>
      </c>
      <c r="AH113" s="524">
        <f t="shared" si="53"/>
        <v>6700.3488000000016</v>
      </c>
      <c r="AI113" s="524">
        <f t="shared" si="54"/>
        <v>8933.7984000000015</v>
      </c>
      <c r="AJ113" s="524">
        <f t="shared" si="58"/>
        <v>53602.790400000005</v>
      </c>
      <c r="AK113" s="524">
        <f t="shared" si="55"/>
        <v>109439.0304</v>
      </c>
      <c r="AL113" s="524">
        <f t="shared" si="56"/>
        <v>160808.37120000002</v>
      </c>
      <c r="AM113" s="524">
        <f t="shared" si="57"/>
        <v>214411.16160000002</v>
      </c>
      <c r="AN113" s="537">
        <f t="shared" si="43"/>
        <v>11980.446999360001</v>
      </c>
      <c r="AO113" s="537">
        <f t="shared" si="44"/>
        <v>24264.419799359999</v>
      </c>
      <c r="AP113" s="537">
        <f t="shared" si="45"/>
        <v>35941.340998080006</v>
      </c>
      <c r="AQ113" s="537">
        <f t="shared" si="46"/>
        <v>47921.787997440006</v>
      </c>
      <c r="AR113" s="523">
        <f t="shared" si="47"/>
        <v>558362.40000000014</v>
      </c>
      <c r="AS113" s="523">
        <f t="shared" si="48"/>
        <v>11632.550000000003</v>
      </c>
      <c r="AU113" s="539">
        <v>8.4099999999999994E-2</v>
      </c>
      <c r="AV113" s="540">
        <v>0.22</v>
      </c>
    </row>
    <row r="114" spans="1:50" s="597" customFormat="1" ht="26.25" customHeight="1">
      <c r="A114" s="582" t="s">
        <v>796</v>
      </c>
      <c r="B114" s="583" t="s">
        <v>783</v>
      </c>
      <c r="C114" s="583" t="s">
        <v>797</v>
      </c>
      <c r="D114" s="584" t="s">
        <v>798</v>
      </c>
      <c r="E114" s="585"/>
      <c r="F114" s="585"/>
      <c r="G114" s="586">
        <v>1</v>
      </c>
      <c r="H114" s="587"/>
      <c r="I114" s="587"/>
      <c r="J114" s="588">
        <f>P114</f>
        <v>28843</v>
      </c>
      <c r="K114" s="587"/>
      <c r="L114" s="587"/>
      <c r="M114" s="587"/>
      <c r="N114" s="587"/>
      <c r="O114" s="587"/>
      <c r="P114" s="589">
        <v>28843</v>
      </c>
      <c r="Q114" s="587"/>
      <c r="R114" s="587"/>
      <c r="S114" s="587">
        <f>P114*3</f>
        <v>86529</v>
      </c>
      <c r="T114" s="587"/>
      <c r="U114" s="587">
        <f>P114*6</f>
        <v>173058</v>
      </c>
      <c r="V114" s="587"/>
      <c r="W114" s="589">
        <v>30134</v>
      </c>
      <c r="X114" s="587">
        <f>P114*9</f>
        <v>259587</v>
      </c>
      <c r="Y114" s="587"/>
      <c r="Z114" s="587"/>
      <c r="AA114" s="589">
        <v>31560</v>
      </c>
      <c r="AB114" s="587">
        <f>P114*12</f>
        <v>346116</v>
      </c>
      <c r="AC114" s="590"/>
      <c r="AD114" s="591">
        <v>0.04</v>
      </c>
      <c r="AE114" s="592">
        <f t="shared" si="50"/>
        <v>0.04</v>
      </c>
      <c r="AF114" s="593">
        <f t="shared" si="51"/>
        <v>3461.16</v>
      </c>
      <c r="AG114" s="593">
        <f t="shared" si="52"/>
        <v>3461.16</v>
      </c>
      <c r="AH114" s="593">
        <f t="shared" si="53"/>
        <v>10383.48</v>
      </c>
      <c r="AI114" s="593">
        <f t="shared" si="54"/>
        <v>13844.64</v>
      </c>
      <c r="AJ114" s="593">
        <f t="shared" si="58"/>
        <v>83067.839999999997</v>
      </c>
      <c r="AK114" s="593">
        <f t="shared" si="55"/>
        <v>169596.84</v>
      </c>
      <c r="AL114" s="593">
        <f t="shared" si="56"/>
        <v>249203.52</v>
      </c>
      <c r="AM114" s="593">
        <f t="shared" si="57"/>
        <v>332271.35999999999</v>
      </c>
      <c r="AN114" s="594">
        <f t="shared" si="43"/>
        <v>18566.008356000002</v>
      </c>
      <c r="AO114" s="594">
        <f t="shared" si="44"/>
        <v>37602.388355999996</v>
      </c>
      <c r="AP114" s="594">
        <f t="shared" si="45"/>
        <v>55698.025067999995</v>
      </c>
      <c r="AQ114" s="594">
        <f t="shared" si="46"/>
        <v>74264.033424000008</v>
      </c>
      <c r="AR114" s="592">
        <f t="shared" si="47"/>
        <v>865290</v>
      </c>
      <c r="AS114" s="592">
        <f t="shared" si="48"/>
        <v>72107.5</v>
      </c>
      <c r="AT114" s="592"/>
      <c r="AU114" s="595">
        <v>8.4099999999999994E-2</v>
      </c>
      <c r="AV114" s="596">
        <v>0.22</v>
      </c>
      <c r="AW114" s="592"/>
      <c r="AX114" s="592"/>
    </row>
    <row r="115" spans="1:50" ht="31.5" hidden="1">
      <c r="A115" s="317" t="s">
        <v>464</v>
      </c>
      <c r="B115" s="314" t="s">
        <v>784</v>
      </c>
      <c r="C115" s="314" t="s">
        <v>797</v>
      </c>
      <c r="D115" s="315" t="s">
        <v>798</v>
      </c>
      <c r="E115" s="312"/>
      <c r="F115" s="312"/>
      <c r="G115" s="558">
        <v>1</v>
      </c>
      <c r="H115" s="542"/>
      <c r="I115" s="542"/>
      <c r="J115" s="559">
        <f>P115</f>
        <v>25958</v>
      </c>
      <c r="K115" s="542"/>
      <c r="L115" s="542"/>
      <c r="M115" s="542"/>
      <c r="N115" s="542"/>
      <c r="O115" s="542"/>
      <c r="P115" s="560">
        <v>25958</v>
      </c>
      <c r="Q115" s="542"/>
      <c r="R115" s="542"/>
      <c r="S115" s="542">
        <f t="shared" ref="S115:S171" si="59">P115*3</f>
        <v>77874</v>
      </c>
      <c r="T115" s="542"/>
      <c r="U115" s="542">
        <f t="shared" ref="U115:U171" si="60">P115*6</f>
        <v>155748</v>
      </c>
      <c r="V115" s="542"/>
      <c r="W115" s="560">
        <v>27120</v>
      </c>
      <c r="X115" s="542">
        <f t="shared" ref="X115:X171" si="61">P115*9</f>
        <v>233622</v>
      </c>
      <c r="Y115" s="542"/>
      <c r="Z115" s="542">
        <f>X115*3</f>
        <v>700866</v>
      </c>
      <c r="AA115" s="560">
        <v>28404</v>
      </c>
      <c r="AB115" s="542">
        <f t="shared" ref="AB115:AB171" si="62">P115*12</f>
        <v>311496</v>
      </c>
      <c r="AC115" s="578"/>
      <c r="AD115" s="522">
        <v>0.04</v>
      </c>
      <c r="AE115" s="523">
        <f t="shared" si="50"/>
        <v>0.04</v>
      </c>
      <c r="AF115" s="524">
        <f t="shared" si="51"/>
        <v>3114.96</v>
      </c>
      <c r="AG115" s="524">
        <f t="shared" si="52"/>
        <v>3114.96</v>
      </c>
      <c r="AH115" s="524">
        <f t="shared" si="53"/>
        <v>9344.880000000001</v>
      </c>
      <c r="AI115" s="524">
        <f t="shared" si="54"/>
        <v>12459.84</v>
      </c>
      <c r="AJ115" s="524">
        <f t="shared" si="58"/>
        <v>74759.039999999994</v>
      </c>
      <c r="AK115" s="524">
        <f t="shared" si="55"/>
        <v>152633.04</v>
      </c>
      <c r="AL115" s="524">
        <f t="shared" si="56"/>
        <v>224277.12</v>
      </c>
      <c r="AM115" s="524">
        <f t="shared" si="57"/>
        <v>299036.15999999997</v>
      </c>
      <c r="AN115" s="537">
        <f t="shared" si="43"/>
        <v>16708.956935999999</v>
      </c>
      <c r="AO115" s="537">
        <f t="shared" si="44"/>
        <v>33841.236936000008</v>
      </c>
      <c r="AP115" s="537">
        <f t="shared" si="45"/>
        <v>50126.870808</v>
      </c>
      <c r="AQ115" s="537">
        <f t="shared" si="46"/>
        <v>66835.827743999995</v>
      </c>
      <c r="AR115" s="523">
        <f t="shared" si="47"/>
        <v>778740</v>
      </c>
      <c r="AS115" s="523">
        <f t="shared" si="48"/>
        <v>64895</v>
      </c>
      <c r="AU115" s="539">
        <v>8.4099999999999994E-2</v>
      </c>
      <c r="AV115" s="540">
        <v>0.22</v>
      </c>
    </row>
    <row r="116" spans="1:50" ht="15.75" hidden="1">
      <c r="A116" s="317" t="s">
        <v>799</v>
      </c>
      <c r="B116" s="314" t="s">
        <v>784</v>
      </c>
      <c r="C116" s="314" t="s">
        <v>797</v>
      </c>
      <c r="D116" s="315" t="s">
        <v>798</v>
      </c>
      <c r="E116" s="312"/>
      <c r="F116" s="312"/>
      <c r="G116" s="558">
        <v>1</v>
      </c>
      <c r="H116" s="542"/>
      <c r="I116" s="542"/>
      <c r="J116" s="559">
        <f>P116</f>
        <v>25958</v>
      </c>
      <c r="K116" s="542"/>
      <c r="L116" s="542"/>
      <c r="M116" s="542"/>
      <c r="N116" s="542"/>
      <c r="O116" s="542"/>
      <c r="P116" s="560">
        <v>25958</v>
      </c>
      <c r="Q116" s="542"/>
      <c r="R116" s="542"/>
      <c r="S116" s="542">
        <f t="shared" si="59"/>
        <v>77874</v>
      </c>
      <c r="T116" s="542"/>
      <c r="U116" s="542">
        <f t="shared" si="60"/>
        <v>155748</v>
      </c>
      <c r="V116" s="542"/>
      <c r="W116" s="560">
        <v>27120</v>
      </c>
      <c r="X116" s="542">
        <f t="shared" si="61"/>
        <v>233622</v>
      </c>
      <c r="Y116" s="542"/>
      <c r="Z116" s="542"/>
      <c r="AA116" s="560">
        <v>28404</v>
      </c>
      <c r="AB116" s="542">
        <f t="shared" si="62"/>
        <v>311496</v>
      </c>
      <c r="AC116" s="578"/>
      <c r="AD116" s="522">
        <v>0.04</v>
      </c>
      <c r="AE116" s="523">
        <f t="shared" si="50"/>
        <v>0.04</v>
      </c>
      <c r="AF116" s="524">
        <f t="shared" si="51"/>
        <v>3114.96</v>
      </c>
      <c r="AG116" s="524">
        <f t="shared" si="52"/>
        <v>3114.96</v>
      </c>
      <c r="AH116" s="524">
        <f t="shared" si="53"/>
        <v>9344.880000000001</v>
      </c>
      <c r="AI116" s="524">
        <f t="shared" si="54"/>
        <v>12459.84</v>
      </c>
      <c r="AJ116" s="524">
        <f t="shared" si="58"/>
        <v>74759.039999999994</v>
      </c>
      <c r="AK116" s="524">
        <f t="shared" si="55"/>
        <v>152633.04</v>
      </c>
      <c r="AL116" s="524">
        <f t="shared" si="56"/>
        <v>224277.12</v>
      </c>
      <c r="AM116" s="524">
        <f t="shared" si="57"/>
        <v>299036.15999999997</v>
      </c>
      <c r="AN116" s="537">
        <f t="shared" si="43"/>
        <v>16708.956935999999</v>
      </c>
      <c r="AO116" s="537">
        <f t="shared" si="44"/>
        <v>33841.236936000008</v>
      </c>
      <c r="AP116" s="537">
        <f t="shared" si="45"/>
        <v>50126.870808</v>
      </c>
      <c r="AQ116" s="537">
        <f t="shared" si="46"/>
        <v>66835.827743999995</v>
      </c>
      <c r="AR116" s="523">
        <f t="shared" si="47"/>
        <v>778740</v>
      </c>
      <c r="AS116" s="523">
        <f t="shared" si="48"/>
        <v>64895</v>
      </c>
      <c r="AU116" s="539">
        <v>8.4099999999999994E-2</v>
      </c>
      <c r="AV116" s="540">
        <v>0.22</v>
      </c>
    </row>
    <row r="117" spans="1:50" ht="15.75">
      <c r="A117" s="317" t="s">
        <v>465</v>
      </c>
      <c r="B117" s="314" t="s">
        <v>783</v>
      </c>
      <c r="C117" s="314" t="s">
        <v>797</v>
      </c>
      <c r="D117" s="315" t="s">
        <v>798</v>
      </c>
      <c r="E117" s="312"/>
      <c r="F117" s="312"/>
      <c r="G117" s="558">
        <v>1</v>
      </c>
      <c r="H117" s="542"/>
      <c r="I117" s="542"/>
      <c r="J117" s="559">
        <f>P117</f>
        <v>25958</v>
      </c>
      <c r="K117" s="542"/>
      <c r="L117" s="542"/>
      <c r="M117" s="542"/>
      <c r="N117" s="542"/>
      <c r="O117" s="542"/>
      <c r="P117" s="560">
        <v>25958</v>
      </c>
      <c r="Q117" s="542"/>
      <c r="R117" s="542"/>
      <c r="S117" s="542">
        <f t="shared" si="59"/>
        <v>77874</v>
      </c>
      <c r="T117" s="542"/>
      <c r="U117" s="542">
        <f t="shared" si="60"/>
        <v>155748</v>
      </c>
      <c r="V117" s="542"/>
      <c r="W117" s="560">
        <v>27120</v>
      </c>
      <c r="X117" s="542">
        <f t="shared" si="61"/>
        <v>233622</v>
      </c>
      <c r="Y117" s="542"/>
      <c r="Z117" s="542"/>
      <c r="AA117" s="560">
        <v>28404</v>
      </c>
      <c r="AB117" s="542">
        <f t="shared" si="62"/>
        <v>311496</v>
      </c>
      <c r="AC117" s="578"/>
      <c r="AD117" s="522">
        <v>0.04</v>
      </c>
      <c r="AE117" s="523">
        <f t="shared" si="50"/>
        <v>0.04</v>
      </c>
      <c r="AF117" s="524">
        <f t="shared" si="51"/>
        <v>3114.96</v>
      </c>
      <c r="AG117" s="524">
        <f t="shared" si="52"/>
        <v>3114.96</v>
      </c>
      <c r="AH117" s="524">
        <f t="shared" si="53"/>
        <v>9344.880000000001</v>
      </c>
      <c r="AI117" s="524">
        <f t="shared" si="54"/>
        <v>12459.84</v>
      </c>
      <c r="AJ117" s="524">
        <f t="shared" si="58"/>
        <v>74759.039999999994</v>
      </c>
      <c r="AK117" s="524">
        <f t="shared" si="55"/>
        <v>152633.04</v>
      </c>
      <c r="AL117" s="524">
        <f t="shared" si="56"/>
        <v>224277.12</v>
      </c>
      <c r="AM117" s="524">
        <f t="shared" si="57"/>
        <v>299036.15999999997</v>
      </c>
      <c r="AN117" s="537">
        <f t="shared" si="43"/>
        <v>16708.956935999999</v>
      </c>
      <c r="AO117" s="537">
        <f t="shared" si="44"/>
        <v>33841.236936000008</v>
      </c>
      <c r="AP117" s="537">
        <f t="shared" si="45"/>
        <v>50126.870808</v>
      </c>
      <c r="AQ117" s="537">
        <f t="shared" si="46"/>
        <v>66835.827743999995</v>
      </c>
      <c r="AR117" s="523">
        <f t="shared" si="47"/>
        <v>778740</v>
      </c>
      <c r="AS117" s="523">
        <f t="shared" si="48"/>
        <v>64895</v>
      </c>
      <c r="AU117" s="539">
        <v>8.4099999999999994E-2</v>
      </c>
      <c r="AV117" s="540">
        <v>0.22</v>
      </c>
    </row>
    <row r="118" spans="1:50" ht="15.75" hidden="1">
      <c r="A118" s="313" t="s">
        <v>466</v>
      </c>
      <c r="B118" s="314" t="s">
        <v>784</v>
      </c>
      <c r="C118" s="314" t="s">
        <v>797</v>
      </c>
      <c r="D118" s="315" t="s">
        <v>800</v>
      </c>
      <c r="E118" s="312"/>
      <c r="F118" s="312"/>
      <c r="G118" s="558">
        <v>1</v>
      </c>
      <c r="H118" s="542"/>
      <c r="I118" s="542"/>
      <c r="J118" s="559">
        <f>P119</f>
        <v>14644</v>
      </c>
      <c r="K118" s="542"/>
      <c r="L118" s="542"/>
      <c r="M118" s="542"/>
      <c r="N118" s="542"/>
      <c r="O118" s="542"/>
      <c r="P118" s="560">
        <v>25958</v>
      </c>
      <c r="Q118" s="542"/>
      <c r="R118" s="542"/>
      <c r="S118" s="542">
        <f t="shared" si="59"/>
        <v>77874</v>
      </c>
      <c r="T118" s="542"/>
      <c r="U118" s="542">
        <f t="shared" si="60"/>
        <v>155748</v>
      </c>
      <c r="V118" s="542"/>
      <c r="W118" s="560">
        <v>27120</v>
      </c>
      <c r="X118" s="542">
        <f t="shared" si="61"/>
        <v>233622</v>
      </c>
      <c r="Y118" s="542"/>
      <c r="Z118" s="542"/>
      <c r="AA118" s="560">
        <v>28404</v>
      </c>
      <c r="AB118" s="542">
        <f t="shared" si="62"/>
        <v>311496</v>
      </c>
      <c r="AC118" s="578"/>
      <c r="AD118" s="522">
        <v>0.04</v>
      </c>
      <c r="AE118" s="523">
        <f t="shared" si="50"/>
        <v>0.04</v>
      </c>
      <c r="AF118" s="524">
        <f t="shared" si="51"/>
        <v>3114.96</v>
      </c>
      <c r="AG118" s="524">
        <f t="shared" si="52"/>
        <v>3114.96</v>
      </c>
      <c r="AH118" s="524">
        <f t="shared" si="53"/>
        <v>9344.880000000001</v>
      </c>
      <c r="AI118" s="524">
        <f t="shared" si="54"/>
        <v>12459.84</v>
      </c>
      <c r="AJ118" s="524">
        <f t="shared" si="58"/>
        <v>74759.039999999994</v>
      </c>
      <c r="AK118" s="524">
        <f t="shared" si="55"/>
        <v>152633.04</v>
      </c>
      <c r="AL118" s="524">
        <f t="shared" si="56"/>
        <v>224277.12</v>
      </c>
      <c r="AM118" s="524">
        <f t="shared" si="57"/>
        <v>299036.15999999997</v>
      </c>
      <c r="AN118" s="537">
        <f t="shared" si="43"/>
        <v>16708.956935999999</v>
      </c>
      <c r="AO118" s="537">
        <f t="shared" si="44"/>
        <v>33841.236936000008</v>
      </c>
      <c r="AP118" s="537">
        <f t="shared" si="45"/>
        <v>50126.870808</v>
      </c>
      <c r="AQ118" s="537">
        <f t="shared" si="46"/>
        <v>66835.827743999995</v>
      </c>
      <c r="AR118" s="523">
        <f t="shared" si="47"/>
        <v>778740</v>
      </c>
      <c r="AS118" s="523">
        <f t="shared" si="48"/>
        <v>64895</v>
      </c>
      <c r="AU118" s="539">
        <v>8.4099999999999994E-2</v>
      </c>
      <c r="AV118" s="540">
        <v>0.22</v>
      </c>
    </row>
    <row r="119" spans="1:50" ht="15.75" hidden="1">
      <c r="A119" s="313" t="s">
        <v>467</v>
      </c>
      <c r="B119" s="314" t="s">
        <v>784</v>
      </c>
      <c r="C119" s="314" t="s">
        <v>797</v>
      </c>
      <c r="D119" s="315" t="s">
        <v>801</v>
      </c>
      <c r="E119" s="312"/>
      <c r="F119" s="312"/>
      <c r="G119" s="558">
        <v>1</v>
      </c>
      <c r="H119" s="542"/>
      <c r="I119" s="542"/>
      <c r="J119" s="560">
        <v>14644</v>
      </c>
      <c r="K119" s="542"/>
      <c r="L119" s="542"/>
      <c r="M119" s="542"/>
      <c r="N119" s="542"/>
      <c r="O119" s="542"/>
      <c r="P119" s="560">
        <v>14644</v>
      </c>
      <c r="Q119" s="542"/>
      <c r="R119" s="542"/>
      <c r="S119" s="542">
        <f t="shared" si="59"/>
        <v>43932</v>
      </c>
      <c r="T119" s="542"/>
      <c r="U119" s="542">
        <f t="shared" si="60"/>
        <v>87864</v>
      </c>
      <c r="V119" s="542"/>
      <c r="W119" s="560">
        <v>15300</v>
      </c>
      <c r="X119" s="542">
        <f t="shared" si="61"/>
        <v>131796</v>
      </c>
      <c r="Y119" s="542"/>
      <c r="Z119" s="542"/>
      <c r="AA119" s="560">
        <v>16024</v>
      </c>
      <c r="AB119" s="542">
        <f t="shared" si="62"/>
        <v>175728</v>
      </c>
      <c r="AC119" s="578"/>
      <c r="AD119" s="522">
        <v>0.04</v>
      </c>
      <c r="AE119" s="523">
        <f t="shared" si="50"/>
        <v>0.04</v>
      </c>
      <c r="AF119" s="524">
        <f t="shared" si="51"/>
        <v>1757.28</v>
      </c>
      <c r="AG119" s="524">
        <f t="shared" si="52"/>
        <v>1757.28</v>
      </c>
      <c r="AH119" s="524">
        <f t="shared" si="53"/>
        <v>5271.84</v>
      </c>
      <c r="AI119" s="524">
        <f t="shared" si="54"/>
        <v>7029.12</v>
      </c>
      <c r="AJ119" s="524">
        <f t="shared" si="58"/>
        <v>42174.720000000001</v>
      </c>
      <c r="AK119" s="524">
        <f t="shared" si="55"/>
        <v>86106.72</v>
      </c>
      <c r="AL119" s="524">
        <f t="shared" si="56"/>
        <v>126524.16</v>
      </c>
      <c r="AM119" s="524">
        <f t="shared" si="57"/>
        <v>168698.88</v>
      </c>
      <c r="AN119" s="537">
        <f t="shared" si="43"/>
        <v>9426.2256480000015</v>
      </c>
      <c r="AO119" s="537">
        <f t="shared" si="44"/>
        <v>19091.265648000001</v>
      </c>
      <c r="AP119" s="537">
        <f t="shared" si="45"/>
        <v>28278.676944000003</v>
      </c>
      <c r="AQ119" s="537">
        <f t="shared" si="46"/>
        <v>37704.902592000006</v>
      </c>
      <c r="AR119" s="523">
        <f t="shared" si="47"/>
        <v>439320</v>
      </c>
      <c r="AS119" s="523">
        <f t="shared" si="48"/>
        <v>36610</v>
      </c>
      <c r="AU119" s="539">
        <v>8.4099999999999994E-2</v>
      </c>
      <c r="AV119" s="540">
        <v>0.22</v>
      </c>
    </row>
    <row r="120" spans="1:50" ht="15.75">
      <c r="A120" s="317" t="s">
        <v>468</v>
      </c>
      <c r="B120" s="314" t="s">
        <v>783</v>
      </c>
      <c r="C120" s="314" t="s">
        <v>802</v>
      </c>
      <c r="D120" s="315" t="s">
        <v>803</v>
      </c>
      <c r="E120" s="312"/>
      <c r="F120" s="312"/>
      <c r="G120" s="558">
        <v>1</v>
      </c>
      <c r="H120" s="542"/>
      <c r="I120" s="542"/>
      <c r="J120" s="559">
        <f>P120</f>
        <v>11094</v>
      </c>
      <c r="K120" s="542"/>
      <c r="L120" s="542"/>
      <c r="M120" s="542"/>
      <c r="N120" s="542"/>
      <c r="O120" s="542"/>
      <c r="P120" s="560">
        <v>11094</v>
      </c>
      <c r="Q120" s="542"/>
      <c r="R120" s="542"/>
      <c r="S120" s="542">
        <f t="shared" si="59"/>
        <v>33282</v>
      </c>
      <c r="T120" s="542"/>
      <c r="U120" s="542">
        <f t="shared" si="60"/>
        <v>66564</v>
      </c>
      <c r="V120" s="542"/>
      <c r="W120" s="560">
        <v>11591</v>
      </c>
      <c r="X120" s="542">
        <f t="shared" si="61"/>
        <v>99846</v>
      </c>
      <c r="Y120" s="542"/>
      <c r="Z120" s="542"/>
      <c r="AA120" s="560">
        <v>12140</v>
      </c>
      <c r="AB120" s="542">
        <f t="shared" si="62"/>
        <v>133128</v>
      </c>
      <c r="AC120" s="578"/>
      <c r="AD120" s="522">
        <v>0.04</v>
      </c>
      <c r="AE120" s="523">
        <f t="shared" si="50"/>
        <v>0.04</v>
      </c>
      <c r="AF120" s="524">
        <f t="shared" si="51"/>
        <v>1331.28</v>
      </c>
      <c r="AG120" s="524">
        <f t="shared" si="52"/>
        <v>1331.28</v>
      </c>
      <c r="AH120" s="524">
        <f t="shared" si="53"/>
        <v>3993.84</v>
      </c>
      <c r="AI120" s="524">
        <f t="shared" si="54"/>
        <v>5325.12</v>
      </c>
      <c r="AJ120" s="524">
        <f t="shared" si="58"/>
        <v>31950.720000000001</v>
      </c>
      <c r="AK120" s="524">
        <f t="shared" si="55"/>
        <v>65232.72</v>
      </c>
      <c r="AL120" s="524">
        <f t="shared" si="56"/>
        <v>95852.160000000003</v>
      </c>
      <c r="AM120" s="524">
        <f t="shared" si="57"/>
        <v>127802.88</v>
      </c>
      <c r="AN120" s="537">
        <f t="shared" si="43"/>
        <v>7141.1190480000005</v>
      </c>
      <c r="AO120" s="537">
        <f t="shared" si="44"/>
        <v>14463.159048000001</v>
      </c>
      <c r="AP120" s="537">
        <f t="shared" si="45"/>
        <v>21423.357144000001</v>
      </c>
      <c r="AQ120" s="537">
        <f t="shared" si="46"/>
        <v>28564.476192000002</v>
      </c>
      <c r="AR120" s="523">
        <f t="shared" si="47"/>
        <v>332820</v>
      </c>
      <c r="AS120" s="523">
        <f t="shared" si="48"/>
        <v>27735</v>
      </c>
      <c r="AU120" s="539">
        <v>8.4099999999999994E-2</v>
      </c>
      <c r="AV120" s="540">
        <v>0.22</v>
      </c>
    </row>
    <row r="121" spans="1:50" ht="15.75">
      <c r="A121" s="317" t="s">
        <v>469</v>
      </c>
      <c r="B121" s="314" t="s">
        <v>783</v>
      </c>
      <c r="C121" s="314" t="s">
        <v>802</v>
      </c>
      <c r="D121" s="315" t="s">
        <v>804</v>
      </c>
      <c r="E121" s="312"/>
      <c r="F121" s="312"/>
      <c r="G121" s="558">
        <v>1</v>
      </c>
      <c r="H121" s="542"/>
      <c r="I121" s="542"/>
      <c r="J121" s="559">
        <f>P121</f>
        <v>9319</v>
      </c>
      <c r="K121" s="542"/>
      <c r="L121" s="542"/>
      <c r="M121" s="542"/>
      <c r="N121" s="542"/>
      <c r="O121" s="542"/>
      <c r="P121" s="560">
        <v>9319</v>
      </c>
      <c r="Q121" s="542"/>
      <c r="R121" s="542"/>
      <c r="S121" s="542">
        <f t="shared" si="59"/>
        <v>27957</v>
      </c>
      <c r="T121" s="542"/>
      <c r="U121" s="542">
        <f t="shared" si="60"/>
        <v>55914</v>
      </c>
      <c r="V121" s="542"/>
      <c r="W121" s="560">
        <v>9737</v>
      </c>
      <c r="X121" s="542">
        <f>P121*9</f>
        <v>83871</v>
      </c>
      <c r="Y121" s="542"/>
      <c r="Z121" s="542"/>
      <c r="AA121" s="560">
        <v>10198</v>
      </c>
      <c r="AB121" s="542">
        <f t="shared" si="62"/>
        <v>111828</v>
      </c>
      <c r="AC121" s="578"/>
      <c r="AD121" s="522">
        <v>0.04</v>
      </c>
      <c r="AE121" s="523">
        <f t="shared" si="50"/>
        <v>0.04</v>
      </c>
      <c r="AF121" s="524">
        <f t="shared" si="51"/>
        <v>1118.28</v>
      </c>
      <c r="AG121" s="524">
        <f t="shared" si="52"/>
        <v>1118.28</v>
      </c>
      <c r="AH121" s="524">
        <f t="shared" si="53"/>
        <v>3354.84</v>
      </c>
      <c r="AI121" s="524">
        <f t="shared" si="54"/>
        <v>4473.12</v>
      </c>
      <c r="AJ121" s="524">
        <f t="shared" si="58"/>
        <v>26838.720000000001</v>
      </c>
      <c r="AK121" s="524">
        <f t="shared" si="55"/>
        <v>54795.72</v>
      </c>
      <c r="AL121" s="524">
        <f t="shared" si="56"/>
        <v>80516.160000000003</v>
      </c>
      <c r="AM121" s="524">
        <f t="shared" si="57"/>
        <v>107354.88</v>
      </c>
      <c r="AN121" s="537">
        <f t="shared" si="43"/>
        <v>5998.565748</v>
      </c>
      <c r="AO121" s="537">
        <f t="shared" si="44"/>
        <v>12149.105748</v>
      </c>
      <c r="AP121" s="537">
        <f t="shared" si="45"/>
        <v>17995.697244000003</v>
      </c>
      <c r="AQ121" s="537">
        <f t="shared" si="46"/>
        <v>23994.262992</v>
      </c>
      <c r="AR121" s="523">
        <f t="shared" si="47"/>
        <v>279570</v>
      </c>
      <c r="AS121" s="523">
        <f t="shared" si="48"/>
        <v>23297.5</v>
      </c>
      <c r="AU121" s="539">
        <v>8.4099999999999994E-2</v>
      </c>
      <c r="AV121" s="540">
        <v>0.22</v>
      </c>
    </row>
    <row r="122" spans="1:50" ht="15.75">
      <c r="A122" s="313" t="s">
        <v>470</v>
      </c>
      <c r="B122" s="314" t="s">
        <v>783</v>
      </c>
      <c r="C122" s="314" t="s">
        <v>805</v>
      </c>
      <c r="D122" s="315">
        <v>4115</v>
      </c>
      <c r="E122" s="312"/>
      <c r="F122" s="312"/>
      <c r="G122" s="558">
        <v>1</v>
      </c>
      <c r="H122" s="542"/>
      <c r="I122" s="542"/>
      <c r="J122" s="542">
        <f>(100-12)/100*P122</f>
        <v>5857.28</v>
      </c>
      <c r="K122" s="542"/>
      <c r="L122" s="542"/>
      <c r="M122" s="542"/>
      <c r="N122" s="542"/>
      <c r="O122" s="542"/>
      <c r="P122" s="560">
        <v>6656</v>
      </c>
      <c r="Q122" s="542"/>
      <c r="R122" s="542"/>
      <c r="S122" s="542">
        <f t="shared" si="59"/>
        <v>19968</v>
      </c>
      <c r="T122" s="542"/>
      <c r="U122" s="542">
        <f t="shared" si="60"/>
        <v>39936</v>
      </c>
      <c r="V122" s="542"/>
      <c r="W122" s="560">
        <v>6955</v>
      </c>
      <c r="X122" s="542">
        <f t="shared" si="61"/>
        <v>59904</v>
      </c>
      <c r="Y122" s="542"/>
      <c r="Z122" s="542"/>
      <c r="AA122" s="560">
        <v>7284</v>
      </c>
      <c r="AB122" s="542">
        <f t="shared" si="62"/>
        <v>79872</v>
      </c>
      <c r="AC122" s="578"/>
      <c r="AD122" s="522">
        <v>0.04</v>
      </c>
      <c r="AE122" s="523">
        <f t="shared" si="50"/>
        <v>0.04</v>
      </c>
      <c r="AF122" s="524">
        <f t="shared" si="51"/>
        <v>798.72</v>
      </c>
      <c r="AG122" s="524">
        <f t="shared" si="52"/>
        <v>798.72</v>
      </c>
      <c r="AH122" s="524">
        <f t="shared" si="53"/>
        <v>2396.16</v>
      </c>
      <c r="AI122" s="524">
        <f t="shared" si="54"/>
        <v>3194.88</v>
      </c>
      <c r="AJ122" s="524">
        <f t="shared" si="58"/>
        <v>19169.28</v>
      </c>
      <c r="AK122" s="524">
        <f t="shared" si="55"/>
        <v>39137.279999999999</v>
      </c>
      <c r="AL122" s="524">
        <f t="shared" si="56"/>
        <v>57507.839999999997</v>
      </c>
      <c r="AM122" s="524">
        <f t="shared" si="57"/>
        <v>76677.119999999995</v>
      </c>
      <c r="AN122" s="537">
        <f t="shared" si="43"/>
        <v>4284.413951999999</v>
      </c>
      <c r="AO122" s="537">
        <f t="shared" si="44"/>
        <v>8677.3739519999999</v>
      </c>
      <c r="AP122" s="537">
        <f t="shared" si="45"/>
        <v>12853.241856000001</v>
      </c>
      <c r="AQ122" s="537">
        <f t="shared" si="46"/>
        <v>17137.655807999996</v>
      </c>
      <c r="AR122" s="523">
        <f t="shared" si="47"/>
        <v>199680</v>
      </c>
      <c r="AS122" s="523">
        <f t="shared" si="48"/>
        <v>16640</v>
      </c>
      <c r="AU122" s="539">
        <v>8.4099999999999994E-2</v>
      </c>
      <c r="AV122" s="540">
        <v>0.22</v>
      </c>
    </row>
    <row r="123" spans="1:50" ht="15.75">
      <c r="A123" s="313" t="s">
        <v>471</v>
      </c>
      <c r="B123" s="314" t="s">
        <v>783</v>
      </c>
      <c r="C123" s="314" t="s">
        <v>755</v>
      </c>
      <c r="D123" s="315">
        <v>9132</v>
      </c>
      <c r="E123" s="312"/>
      <c r="F123" s="312"/>
      <c r="G123" s="558">
        <v>1</v>
      </c>
      <c r="H123" s="542"/>
      <c r="I123" s="542"/>
      <c r="J123" s="559">
        <f>P123</f>
        <v>4367</v>
      </c>
      <c r="K123" s="542"/>
      <c r="L123" s="542"/>
      <c r="M123" s="542"/>
      <c r="N123" s="542"/>
      <c r="O123" s="542"/>
      <c r="P123" s="560">
        <v>4367</v>
      </c>
      <c r="Q123" s="542"/>
      <c r="R123" s="542"/>
      <c r="S123" s="542">
        <f t="shared" si="59"/>
        <v>13101</v>
      </c>
      <c r="T123" s="542"/>
      <c r="U123" s="542">
        <f t="shared" si="60"/>
        <v>26202</v>
      </c>
      <c r="V123" s="542"/>
      <c r="W123" s="560">
        <v>4563</v>
      </c>
      <c r="X123" s="542">
        <f t="shared" si="61"/>
        <v>39303</v>
      </c>
      <c r="Y123" s="542"/>
      <c r="Z123" s="542"/>
      <c r="AA123" s="560">
        <v>4779</v>
      </c>
      <c r="AB123" s="542">
        <f t="shared" si="62"/>
        <v>52404</v>
      </c>
      <c r="AC123" s="578"/>
      <c r="AD123" s="522">
        <v>0.04</v>
      </c>
      <c r="AE123" s="523">
        <f t="shared" si="50"/>
        <v>0.04</v>
      </c>
      <c r="AF123" s="524">
        <f t="shared" si="51"/>
        <v>524.04</v>
      </c>
      <c r="AG123" s="524">
        <f t="shared" si="52"/>
        <v>524.04</v>
      </c>
      <c r="AH123" s="524">
        <f t="shared" si="53"/>
        <v>1572.1200000000001</v>
      </c>
      <c r="AI123" s="524">
        <f t="shared" si="54"/>
        <v>2096.16</v>
      </c>
      <c r="AJ123" s="524">
        <f t="shared" si="58"/>
        <v>12576.96</v>
      </c>
      <c r="AK123" s="524">
        <f t="shared" si="55"/>
        <v>25677.96</v>
      </c>
      <c r="AL123" s="524">
        <f t="shared" si="56"/>
        <v>37730.879999999997</v>
      </c>
      <c r="AM123" s="524">
        <f t="shared" si="57"/>
        <v>50307.839999999997</v>
      </c>
      <c r="AN123" s="537">
        <f t="shared" si="43"/>
        <v>2811.0029639999998</v>
      </c>
      <c r="AO123" s="537">
        <f t="shared" si="44"/>
        <v>5693.2229640000005</v>
      </c>
      <c r="AP123" s="537">
        <f t="shared" si="45"/>
        <v>8433.0088919999998</v>
      </c>
      <c r="AQ123" s="537">
        <f t="shared" si="46"/>
        <v>11244.011855999999</v>
      </c>
      <c r="AR123" s="523">
        <f t="shared" si="47"/>
        <v>131010</v>
      </c>
      <c r="AS123" s="523">
        <f t="shared" si="48"/>
        <v>10917.5</v>
      </c>
      <c r="AU123" s="539">
        <v>8.4099999999999994E-2</v>
      </c>
      <c r="AV123" s="540">
        <v>0.22</v>
      </c>
    </row>
    <row r="124" spans="1:50" ht="15.75">
      <c r="A124" s="313" t="s">
        <v>474</v>
      </c>
      <c r="B124" s="314" t="s">
        <v>783</v>
      </c>
      <c r="C124" s="314" t="s">
        <v>797</v>
      </c>
      <c r="D124" s="315">
        <v>1232</v>
      </c>
      <c r="E124" s="312"/>
      <c r="F124" s="312"/>
      <c r="G124" s="558">
        <v>1</v>
      </c>
      <c r="H124" s="542"/>
      <c r="I124" s="561" t="s">
        <v>806</v>
      </c>
      <c r="J124" s="542">
        <v>20869</v>
      </c>
      <c r="K124" s="542"/>
      <c r="L124" s="542"/>
      <c r="M124" s="542"/>
      <c r="N124" s="542"/>
      <c r="O124" s="542"/>
      <c r="P124" s="560">
        <v>20869</v>
      </c>
      <c r="Q124" s="542"/>
      <c r="R124" s="542"/>
      <c r="S124" s="542">
        <f t="shared" si="59"/>
        <v>62607</v>
      </c>
      <c r="T124" s="542"/>
      <c r="U124" s="542">
        <f t="shared" si="60"/>
        <v>125214</v>
      </c>
      <c r="V124" s="542"/>
      <c r="W124" s="560">
        <v>21803</v>
      </c>
      <c r="X124" s="542">
        <f t="shared" si="61"/>
        <v>187821</v>
      </c>
      <c r="Y124" s="542"/>
      <c r="Z124" s="542"/>
      <c r="AA124" s="560">
        <v>22835</v>
      </c>
      <c r="AB124" s="542">
        <f t="shared" si="62"/>
        <v>250428</v>
      </c>
      <c r="AC124" s="578"/>
      <c r="AD124" s="522">
        <v>0.04</v>
      </c>
      <c r="AE124" s="523">
        <f t="shared" si="50"/>
        <v>0.04</v>
      </c>
      <c r="AF124" s="524">
        <f t="shared" si="51"/>
        <v>2504.2800000000002</v>
      </c>
      <c r="AG124" s="524">
        <f t="shared" si="52"/>
        <v>2504.2800000000002</v>
      </c>
      <c r="AH124" s="524">
        <f t="shared" si="53"/>
        <v>7512.84</v>
      </c>
      <c r="AI124" s="524">
        <f t="shared" si="54"/>
        <v>10017.120000000001</v>
      </c>
      <c r="AJ124" s="524">
        <f t="shared" si="58"/>
        <v>60102.720000000001</v>
      </c>
      <c r="AK124" s="524">
        <f t="shared" si="55"/>
        <v>122709.72</v>
      </c>
      <c r="AL124" s="524">
        <f t="shared" si="56"/>
        <v>180308.16</v>
      </c>
      <c r="AM124" s="524">
        <f t="shared" si="57"/>
        <v>240410.88</v>
      </c>
      <c r="AN124" s="537">
        <f t="shared" si="43"/>
        <v>13433.208348</v>
      </c>
      <c r="AO124" s="537">
        <f t="shared" si="44"/>
        <v>27206.748348000001</v>
      </c>
      <c r="AP124" s="537">
        <f t="shared" si="45"/>
        <v>40299.625044</v>
      </c>
      <c r="AQ124" s="537">
        <f t="shared" si="46"/>
        <v>53732.833392</v>
      </c>
      <c r="AR124" s="523">
        <f t="shared" si="47"/>
        <v>626070</v>
      </c>
      <c r="AS124" s="523">
        <f t="shared" si="48"/>
        <v>52172.5</v>
      </c>
      <c r="AU124" s="539">
        <v>8.4099999999999994E-2</v>
      </c>
      <c r="AV124" s="540">
        <v>0.22</v>
      </c>
    </row>
    <row r="125" spans="1:50" ht="15.75">
      <c r="A125" s="313" t="s">
        <v>475</v>
      </c>
      <c r="B125" s="314" t="s">
        <v>783</v>
      </c>
      <c r="C125" s="314" t="s">
        <v>802</v>
      </c>
      <c r="D125" s="315">
        <v>3423</v>
      </c>
      <c r="E125" s="312"/>
      <c r="F125" s="312"/>
      <c r="G125" s="558">
        <v>1</v>
      </c>
      <c r="H125" s="542"/>
      <c r="I125" s="561" t="s">
        <v>806</v>
      </c>
      <c r="J125" s="542">
        <v>12425</v>
      </c>
      <c r="K125" s="542"/>
      <c r="L125" s="542"/>
      <c r="M125" s="542"/>
      <c r="N125" s="542"/>
      <c r="O125" s="542"/>
      <c r="P125" s="560">
        <v>9763</v>
      </c>
      <c r="Q125" s="542"/>
      <c r="R125" s="542"/>
      <c r="S125" s="542">
        <f t="shared" si="59"/>
        <v>29289</v>
      </c>
      <c r="T125" s="542"/>
      <c r="U125" s="542">
        <f t="shared" si="60"/>
        <v>58578</v>
      </c>
      <c r="V125" s="542"/>
      <c r="W125" s="560">
        <v>10200</v>
      </c>
      <c r="X125" s="542">
        <f t="shared" si="61"/>
        <v>87867</v>
      </c>
      <c r="Y125" s="542"/>
      <c r="Z125" s="542"/>
      <c r="AA125" s="560">
        <v>10683</v>
      </c>
      <c r="AB125" s="542">
        <f t="shared" si="62"/>
        <v>117156</v>
      </c>
      <c r="AC125" s="578"/>
      <c r="AD125" s="522">
        <v>0.04</v>
      </c>
      <c r="AE125" s="523">
        <f t="shared" si="50"/>
        <v>0.04</v>
      </c>
      <c r="AF125" s="524">
        <f t="shared" si="51"/>
        <v>1171.56</v>
      </c>
      <c r="AG125" s="524">
        <f t="shared" si="52"/>
        <v>1171.56</v>
      </c>
      <c r="AH125" s="524">
        <f t="shared" si="53"/>
        <v>3514.6800000000003</v>
      </c>
      <c r="AI125" s="524">
        <f t="shared" si="54"/>
        <v>4686.24</v>
      </c>
      <c r="AJ125" s="524">
        <f t="shared" si="58"/>
        <v>28117.439999999999</v>
      </c>
      <c r="AK125" s="524">
        <f t="shared" si="55"/>
        <v>57406.44</v>
      </c>
      <c r="AL125" s="524">
        <f t="shared" si="56"/>
        <v>84352.320000000007</v>
      </c>
      <c r="AM125" s="524">
        <f t="shared" si="57"/>
        <v>112469.75999999999</v>
      </c>
      <c r="AN125" s="537">
        <f t="shared" si="43"/>
        <v>6284.3649960000002</v>
      </c>
      <c r="AO125" s="537">
        <f t="shared" si="44"/>
        <v>12727.944996</v>
      </c>
      <c r="AP125" s="537">
        <f t="shared" si="45"/>
        <v>18853.094988000004</v>
      </c>
      <c r="AQ125" s="537">
        <f t="shared" si="46"/>
        <v>25137.459984000001</v>
      </c>
      <c r="AR125" s="523">
        <f t="shared" si="47"/>
        <v>292890</v>
      </c>
      <c r="AS125" s="523">
        <f t="shared" si="48"/>
        <v>24407.5</v>
      </c>
      <c r="AU125" s="539">
        <v>8.4099999999999994E-2</v>
      </c>
      <c r="AV125" s="540">
        <v>0.22</v>
      </c>
    </row>
    <row r="126" spans="1:50" ht="15.75" hidden="1">
      <c r="A126" s="313" t="s">
        <v>477</v>
      </c>
      <c r="B126" s="314" t="s">
        <v>784</v>
      </c>
      <c r="C126" s="314" t="s">
        <v>797</v>
      </c>
      <c r="D126" s="315" t="s">
        <v>807</v>
      </c>
      <c r="E126" s="312"/>
      <c r="F126" s="312"/>
      <c r="G126" s="558">
        <v>1</v>
      </c>
      <c r="H126" s="542"/>
      <c r="I126" s="561" t="s">
        <v>808</v>
      </c>
      <c r="J126" s="559">
        <f>P126</f>
        <v>12425</v>
      </c>
      <c r="K126" s="542"/>
      <c r="L126" s="542"/>
      <c r="M126" s="542"/>
      <c r="N126" s="542"/>
      <c r="O126" s="542"/>
      <c r="P126" s="560">
        <v>12425</v>
      </c>
      <c r="Q126" s="542"/>
      <c r="R126" s="542"/>
      <c r="S126" s="542">
        <f t="shared" si="59"/>
        <v>37275</v>
      </c>
      <c r="T126" s="542"/>
      <c r="U126" s="542">
        <f t="shared" si="60"/>
        <v>74550</v>
      </c>
      <c r="V126" s="542"/>
      <c r="W126" s="560">
        <v>12983</v>
      </c>
      <c r="X126" s="542">
        <f t="shared" si="61"/>
        <v>111825</v>
      </c>
      <c r="Y126" s="542"/>
      <c r="Z126" s="542"/>
      <c r="AA126" s="560">
        <v>13598</v>
      </c>
      <c r="AB126" s="542">
        <f t="shared" si="62"/>
        <v>149100</v>
      </c>
      <c r="AC126" s="578"/>
      <c r="AD126" s="522">
        <v>0.04</v>
      </c>
      <c r="AE126" s="523">
        <f t="shared" si="50"/>
        <v>0.04</v>
      </c>
      <c r="AF126" s="524">
        <f t="shared" si="51"/>
        <v>1491</v>
      </c>
      <c r="AG126" s="524">
        <f t="shared" si="52"/>
        <v>1491</v>
      </c>
      <c r="AH126" s="524">
        <f t="shared" si="53"/>
        <v>4473</v>
      </c>
      <c r="AI126" s="524">
        <f t="shared" si="54"/>
        <v>5964</v>
      </c>
      <c r="AJ126" s="524">
        <f t="shared" si="58"/>
        <v>35784</v>
      </c>
      <c r="AK126" s="524">
        <f t="shared" si="55"/>
        <v>73059</v>
      </c>
      <c r="AL126" s="524">
        <f t="shared" si="56"/>
        <v>107352</v>
      </c>
      <c r="AM126" s="524">
        <f t="shared" si="57"/>
        <v>143136</v>
      </c>
      <c r="AN126" s="537">
        <f t="shared" si="43"/>
        <v>7997.8731000000007</v>
      </c>
      <c r="AO126" s="537">
        <f t="shared" si="44"/>
        <v>16198.373099999999</v>
      </c>
      <c r="AP126" s="537">
        <f t="shared" si="45"/>
        <v>23993.619299999998</v>
      </c>
      <c r="AQ126" s="537">
        <f t="shared" si="46"/>
        <v>31991.492400000003</v>
      </c>
      <c r="AR126" s="523">
        <f t="shared" si="47"/>
        <v>372750</v>
      </c>
      <c r="AS126" s="523">
        <f t="shared" si="48"/>
        <v>31062.5</v>
      </c>
      <c r="AU126" s="539">
        <v>8.4099999999999994E-2</v>
      </c>
      <c r="AV126" s="540">
        <v>0.22</v>
      </c>
    </row>
    <row r="127" spans="1:50" ht="15.75" hidden="1">
      <c r="A127" s="313" t="s">
        <v>478</v>
      </c>
      <c r="B127" s="314" t="s">
        <v>784</v>
      </c>
      <c r="C127" s="314" t="s">
        <v>809</v>
      </c>
      <c r="D127" s="315">
        <v>3119</v>
      </c>
      <c r="E127" s="312"/>
      <c r="F127" s="312"/>
      <c r="G127" s="558">
        <v>1</v>
      </c>
      <c r="H127" s="542"/>
      <c r="I127" s="561" t="s">
        <v>808</v>
      </c>
      <c r="J127" s="542">
        <v>13312</v>
      </c>
      <c r="K127" s="542"/>
      <c r="L127" s="542"/>
      <c r="M127" s="542"/>
      <c r="N127" s="542"/>
      <c r="O127" s="542"/>
      <c r="P127" s="560">
        <v>11094</v>
      </c>
      <c r="Q127" s="542"/>
      <c r="R127" s="542"/>
      <c r="S127" s="542">
        <f t="shared" si="59"/>
        <v>33282</v>
      </c>
      <c r="T127" s="542"/>
      <c r="U127" s="542">
        <f t="shared" si="60"/>
        <v>66564</v>
      </c>
      <c r="V127" s="542"/>
      <c r="W127" s="560">
        <v>11591</v>
      </c>
      <c r="X127" s="542">
        <f t="shared" si="61"/>
        <v>99846</v>
      </c>
      <c r="Y127" s="542"/>
      <c r="Z127" s="542"/>
      <c r="AA127" s="560">
        <v>12140</v>
      </c>
      <c r="AB127" s="542">
        <f t="shared" si="62"/>
        <v>133128</v>
      </c>
      <c r="AC127" s="578"/>
      <c r="AD127" s="522">
        <v>0.04</v>
      </c>
      <c r="AE127" s="523">
        <f t="shared" si="50"/>
        <v>0.04</v>
      </c>
      <c r="AF127" s="524">
        <f t="shared" si="51"/>
        <v>1331.28</v>
      </c>
      <c r="AG127" s="524">
        <f t="shared" si="52"/>
        <v>1331.28</v>
      </c>
      <c r="AH127" s="524">
        <f t="shared" si="53"/>
        <v>3993.84</v>
      </c>
      <c r="AI127" s="524">
        <f t="shared" si="54"/>
        <v>5325.12</v>
      </c>
      <c r="AJ127" s="524">
        <f t="shared" si="58"/>
        <v>31950.720000000001</v>
      </c>
      <c r="AK127" s="524">
        <f t="shared" si="55"/>
        <v>65232.72</v>
      </c>
      <c r="AL127" s="524">
        <f t="shared" si="56"/>
        <v>95852.160000000003</v>
      </c>
      <c r="AM127" s="524">
        <f t="shared" si="57"/>
        <v>127802.88</v>
      </c>
      <c r="AN127" s="537">
        <f t="shared" si="43"/>
        <v>7141.1190480000005</v>
      </c>
      <c r="AO127" s="537">
        <f t="shared" si="44"/>
        <v>14463.159048000001</v>
      </c>
      <c r="AP127" s="537">
        <f t="shared" si="45"/>
        <v>21423.357144000001</v>
      </c>
      <c r="AQ127" s="537">
        <f t="shared" si="46"/>
        <v>28564.476192000002</v>
      </c>
      <c r="AR127" s="523">
        <f t="shared" si="47"/>
        <v>332820</v>
      </c>
      <c r="AS127" s="523">
        <f t="shared" si="48"/>
        <v>27735</v>
      </c>
      <c r="AU127" s="539">
        <v>8.4099999999999994E-2</v>
      </c>
      <c r="AV127" s="540">
        <v>0.22</v>
      </c>
    </row>
    <row r="128" spans="1:50" ht="15.75" hidden="1">
      <c r="A128" s="313" t="s">
        <v>479</v>
      </c>
      <c r="B128" s="314" t="s">
        <v>784</v>
      </c>
      <c r="C128" s="314" t="s">
        <v>805</v>
      </c>
      <c r="D128" s="315">
        <v>4131</v>
      </c>
      <c r="E128" s="312"/>
      <c r="F128" s="312"/>
      <c r="G128" s="558">
        <v>1</v>
      </c>
      <c r="H128" s="542"/>
      <c r="I128" s="561" t="s">
        <v>808</v>
      </c>
      <c r="J128" s="542">
        <v>25958</v>
      </c>
      <c r="K128" s="542"/>
      <c r="L128" s="542"/>
      <c r="M128" s="542"/>
      <c r="N128" s="542"/>
      <c r="O128" s="542"/>
      <c r="P128" s="560">
        <v>6656</v>
      </c>
      <c r="Q128" s="542"/>
      <c r="R128" s="542"/>
      <c r="S128" s="542">
        <f t="shared" si="59"/>
        <v>19968</v>
      </c>
      <c r="T128" s="542"/>
      <c r="U128" s="542">
        <f t="shared" si="60"/>
        <v>39936</v>
      </c>
      <c r="V128" s="542"/>
      <c r="W128" s="560">
        <v>6955</v>
      </c>
      <c r="X128" s="542">
        <f t="shared" si="61"/>
        <v>59904</v>
      </c>
      <c r="Y128" s="542"/>
      <c r="Z128" s="542"/>
      <c r="AA128" s="560">
        <v>7284</v>
      </c>
      <c r="AB128" s="542">
        <f t="shared" si="62"/>
        <v>79872</v>
      </c>
      <c r="AC128" s="578"/>
      <c r="AD128" s="522">
        <v>0.04</v>
      </c>
      <c r="AE128" s="523">
        <f t="shared" si="50"/>
        <v>0.04</v>
      </c>
      <c r="AF128" s="524">
        <f t="shared" si="51"/>
        <v>798.72</v>
      </c>
      <c r="AG128" s="524">
        <f t="shared" si="52"/>
        <v>798.72</v>
      </c>
      <c r="AH128" s="524">
        <f t="shared" si="53"/>
        <v>2396.16</v>
      </c>
      <c r="AI128" s="524">
        <f t="shared" si="54"/>
        <v>3194.88</v>
      </c>
      <c r="AJ128" s="524">
        <f t="shared" si="58"/>
        <v>19169.28</v>
      </c>
      <c r="AK128" s="524">
        <f t="shared" si="55"/>
        <v>39137.279999999999</v>
      </c>
      <c r="AL128" s="524">
        <f t="shared" si="56"/>
        <v>57507.839999999997</v>
      </c>
      <c r="AM128" s="524">
        <f t="shared" si="57"/>
        <v>76677.119999999995</v>
      </c>
      <c r="AN128" s="537">
        <f t="shared" si="43"/>
        <v>4284.413951999999</v>
      </c>
      <c r="AO128" s="537">
        <f t="shared" si="44"/>
        <v>8677.3739519999999</v>
      </c>
      <c r="AP128" s="537">
        <f t="shared" si="45"/>
        <v>12853.241856000001</v>
      </c>
      <c r="AQ128" s="537">
        <f t="shared" si="46"/>
        <v>17137.655807999996</v>
      </c>
      <c r="AR128" s="523">
        <f t="shared" si="47"/>
        <v>199680</v>
      </c>
      <c r="AS128" s="523">
        <f t="shared" si="48"/>
        <v>16640</v>
      </c>
      <c r="AU128" s="539">
        <v>8.4099999999999994E-2</v>
      </c>
      <c r="AV128" s="540">
        <v>0.22</v>
      </c>
    </row>
    <row r="129" spans="1:48" ht="15.75" hidden="1">
      <c r="A129" s="313" t="s">
        <v>480</v>
      </c>
      <c r="B129" s="314" t="s">
        <v>784</v>
      </c>
      <c r="C129" s="314" t="s">
        <v>810</v>
      </c>
      <c r="D129" s="315" t="s">
        <v>803</v>
      </c>
      <c r="E129" s="312"/>
      <c r="F129" s="312"/>
      <c r="G129" s="558">
        <v>1</v>
      </c>
      <c r="H129" s="542"/>
      <c r="I129" s="561" t="s">
        <v>808</v>
      </c>
      <c r="J129" s="542">
        <v>13312</v>
      </c>
      <c r="K129" s="542"/>
      <c r="L129" s="542"/>
      <c r="M129" s="542"/>
      <c r="N129" s="542"/>
      <c r="O129" s="542"/>
      <c r="P129" s="560">
        <v>10206</v>
      </c>
      <c r="Q129" s="542"/>
      <c r="R129" s="542"/>
      <c r="S129" s="542">
        <f t="shared" si="59"/>
        <v>30618</v>
      </c>
      <c r="T129" s="542"/>
      <c r="U129" s="542">
        <f t="shared" si="60"/>
        <v>61236</v>
      </c>
      <c r="V129" s="542"/>
      <c r="W129" s="560">
        <v>10664</v>
      </c>
      <c r="X129" s="542">
        <f t="shared" si="61"/>
        <v>91854</v>
      </c>
      <c r="Y129" s="542"/>
      <c r="Z129" s="542"/>
      <c r="AA129" s="560">
        <v>11169</v>
      </c>
      <c r="AB129" s="542">
        <f t="shared" si="62"/>
        <v>122472</v>
      </c>
      <c r="AC129" s="578"/>
      <c r="AD129" s="522">
        <v>0.04</v>
      </c>
      <c r="AE129" s="523">
        <f t="shared" si="50"/>
        <v>0.04</v>
      </c>
      <c r="AF129" s="524">
        <f t="shared" si="51"/>
        <v>1224.72</v>
      </c>
      <c r="AG129" s="524">
        <f t="shared" si="52"/>
        <v>1224.72</v>
      </c>
      <c r="AH129" s="524">
        <f t="shared" si="53"/>
        <v>3674.16</v>
      </c>
      <c r="AI129" s="524">
        <f t="shared" si="54"/>
        <v>4898.88</v>
      </c>
      <c r="AJ129" s="524">
        <f t="shared" si="58"/>
        <v>29393.279999999999</v>
      </c>
      <c r="AK129" s="524">
        <f t="shared" si="55"/>
        <v>60011.28</v>
      </c>
      <c r="AL129" s="524">
        <f t="shared" si="56"/>
        <v>88179.839999999997</v>
      </c>
      <c r="AM129" s="524">
        <f t="shared" si="57"/>
        <v>117573.12</v>
      </c>
      <c r="AN129" s="537">
        <f t="shared" si="43"/>
        <v>6569.520552</v>
      </c>
      <c r="AO129" s="537">
        <f t="shared" si="44"/>
        <v>13305.480551999999</v>
      </c>
      <c r="AP129" s="537">
        <f t="shared" si="45"/>
        <v>19708.561656000002</v>
      </c>
      <c r="AQ129" s="537">
        <f t="shared" si="46"/>
        <v>26278.082208</v>
      </c>
      <c r="AR129" s="523">
        <f t="shared" si="47"/>
        <v>306180</v>
      </c>
      <c r="AS129" s="523">
        <f t="shared" si="48"/>
        <v>25515</v>
      </c>
      <c r="AU129" s="539">
        <v>8.4099999999999994E-2</v>
      </c>
      <c r="AV129" s="540">
        <v>0.22</v>
      </c>
    </row>
    <row r="130" spans="1:48" ht="15.75">
      <c r="A130" s="313" t="s">
        <v>477</v>
      </c>
      <c r="B130" s="314" t="s">
        <v>783</v>
      </c>
      <c r="C130" s="314" t="s">
        <v>797</v>
      </c>
      <c r="D130" s="315" t="s">
        <v>807</v>
      </c>
      <c r="E130" s="312"/>
      <c r="F130" s="312"/>
      <c r="G130" s="558">
        <v>1</v>
      </c>
      <c r="H130" s="542"/>
      <c r="I130" s="561" t="s">
        <v>811</v>
      </c>
      <c r="J130" s="559">
        <f>P130</f>
        <v>17486</v>
      </c>
      <c r="K130" s="542"/>
      <c r="L130" s="542"/>
      <c r="M130" s="542"/>
      <c r="N130" s="542"/>
      <c r="O130" s="542"/>
      <c r="P130" s="560">
        <v>17486</v>
      </c>
      <c r="Q130" s="542"/>
      <c r="R130" s="542"/>
      <c r="S130" s="542">
        <f t="shared" si="59"/>
        <v>52458</v>
      </c>
      <c r="T130" s="542"/>
      <c r="U130" s="542">
        <f t="shared" si="60"/>
        <v>104916</v>
      </c>
      <c r="V130" s="542"/>
      <c r="W130" s="560">
        <v>18269</v>
      </c>
      <c r="X130" s="542">
        <f t="shared" si="61"/>
        <v>157374</v>
      </c>
      <c r="Y130" s="542"/>
      <c r="Z130" s="542"/>
      <c r="AA130" s="560">
        <v>19134</v>
      </c>
      <c r="AB130" s="542">
        <f t="shared" si="62"/>
        <v>209832</v>
      </c>
      <c r="AC130" s="578"/>
      <c r="AD130" s="522">
        <v>0.04</v>
      </c>
      <c r="AE130" s="523">
        <f t="shared" si="50"/>
        <v>0.04</v>
      </c>
      <c r="AF130" s="524">
        <f t="shared" si="51"/>
        <v>2098.3200000000002</v>
      </c>
      <c r="AG130" s="524">
        <f t="shared" si="52"/>
        <v>2098.3200000000002</v>
      </c>
      <c r="AH130" s="524">
        <f t="shared" si="53"/>
        <v>6294.96</v>
      </c>
      <c r="AI130" s="524">
        <f t="shared" si="54"/>
        <v>8393.2800000000007</v>
      </c>
      <c r="AJ130" s="524">
        <f t="shared" si="58"/>
        <v>50359.68</v>
      </c>
      <c r="AK130" s="524">
        <f t="shared" si="55"/>
        <v>102817.68</v>
      </c>
      <c r="AL130" s="524">
        <f t="shared" si="56"/>
        <v>151079.04000000001</v>
      </c>
      <c r="AM130" s="524">
        <f t="shared" si="57"/>
        <v>201438.72</v>
      </c>
      <c r="AN130" s="537">
        <f t="shared" si="43"/>
        <v>11255.598312</v>
      </c>
      <c r="AO130" s="537">
        <f t="shared" si="44"/>
        <v>22796.358312</v>
      </c>
      <c r="AP130" s="537">
        <f t="shared" si="45"/>
        <v>33766.794935999998</v>
      </c>
      <c r="AQ130" s="537">
        <f t="shared" si="46"/>
        <v>45022.393248</v>
      </c>
      <c r="AR130" s="523">
        <f t="shared" si="47"/>
        <v>524580</v>
      </c>
      <c r="AS130" s="523">
        <f t="shared" si="48"/>
        <v>43715</v>
      </c>
      <c r="AU130" s="539">
        <v>8.4099999999999994E-2</v>
      </c>
      <c r="AV130" s="540">
        <v>0.22</v>
      </c>
    </row>
    <row r="131" spans="1:48" ht="15.75">
      <c r="A131" s="317" t="s">
        <v>812</v>
      </c>
      <c r="B131" s="314" t="s">
        <v>783</v>
      </c>
      <c r="C131" s="314" t="s">
        <v>810</v>
      </c>
      <c r="D131" s="315" t="s">
        <v>813</v>
      </c>
      <c r="E131" s="312"/>
      <c r="F131" s="312"/>
      <c r="G131" s="558">
        <v>1</v>
      </c>
      <c r="H131" s="542"/>
      <c r="I131" s="561" t="s">
        <v>811</v>
      </c>
      <c r="J131" s="559">
        <f>P131</f>
        <v>10206</v>
      </c>
      <c r="K131" s="542"/>
      <c r="L131" s="542"/>
      <c r="M131" s="542"/>
      <c r="N131" s="542"/>
      <c r="O131" s="542"/>
      <c r="P131" s="560">
        <v>10206</v>
      </c>
      <c r="Q131" s="542"/>
      <c r="R131" s="542"/>
      <c r="S131" s="542">
        <f t="shared" si="59"/>
        <v>30618</v>
      </c>
      <c r="T131" s="542"/>
      <c r="U131" s="542">
        <f t="shared" si="60"/>
        <v>61236</v>
      </c>
      <c r="V131" s="542"/>
      <c r="W131" s="560">
        <v>10664</v>
      </c>
      <c r="X131" s="542">
        <f t="shared" si="61"/>
        <v>91854</v>
      </c>
      <c r="Y131" s="542"/>
      <c r="Z131" s="542"/>
      <c r="AA131" s="560">
        <v>11169</v>
      </c>
      <c r="AB131" s="542">
        <f t="shared" si="62"/>
        <v>122472</v>
      </c>
      <c r="AC131" s="578"/>
      <c r="AD131" s="522">
        <v>0.04</v>
      </c>
      <c r="AE131" s="523">
        <f t="shared" si="50"/>
        <v>0.04</v>
      </c>
      <c r="AF131" s="524">
        <f t="shared" si="51"/>
        <v>1224.72</v>
      </c>
      <c r="AG131" s="524">
        <f t="shared" si="52"/>
        <v>1224.72</v>
      </c>
      <c r="AH131" s="524">
        <f t="shared" si="53"/>
        <v>3674.16</v>
      </c>
      <c r="AI131" s="524">
        <f t="shared" si="54"/>
        <v>4898.88</v>
      </c>
      <c r="AJ131" s="524">
        <f t="shared" si="58"/>
        <v>29393.279999999999</v>
      </c>
      <c r="AK131" s="524">
        <f t="shared" si="55"/>
        <v>60011.28</v>
      </c>
      <c r="AL131" s="524">
        <f t="shared" si="56"/>
        <v>88179.839999999997</v>
      </c>
      <c r="AM131" s="524">
        <f t="shared" si="57"/>
        <v>117573.12</v>
      </c>
      <c r="AN131" s="537">
        <f t="shared" si="43"/>
        <v>6569.520552</v>
      </c>
      <c r="AO131" s="537">
        <f t="shared" si="44"/>
        <v>13305.480551999999</v>
      </c>
      <c r="AP131" s="537">
        <f t="shared" si="45"/>
        <v>19708.561656000002</v>
      </c>
      <c r="AQ131" s="537">
        <f t="shared" si="46"/>
        <v>26278.082208</v>
      </c>
      <c r="AR131" s="523">
        <f t="shared" si="47"/>
        <v>306180</v>
      </c>
      <c r="AS131" s="523">
        <f t="shared" si="48"/>
        <v>25515</v>
      </c>
      <c r="AU131" s="539">
        <v>8.4099999999999994E-2</v>
      </c>
      <c r="AV131" s="540">
        <v>0.22</v>
      </c>
    </row>
    <row r="132" spans="1:48" ht="15.75" hidden="1">
      <c r="A132" s="313" t="s">
        <v>477</v>
      </c>
      <c r="B132" s="314" t="s">
        <v>784</v>
      </c>
      <c r="C132" s="314" t="s">
        <v>797</v>
      </c>
      <c r="D132" s="315" t="s">
        <v>814</v>
      </c>
      <c r="E132" s="312"/>
      <c r="F132" s="312"/>
      <c r="G132" s="558">
        <v>1</v>
      </c>
      <c r="H132" s="542"/>
      <c r="I132" s="562" t="s">
        <v>483</v>
      </c>
      <c r="J132" s="559">
        <f>P132</f>
        <v>13312</v>
      </c>
      <c r="K132" s="542"/>
      <c r="L132" s="542"/>
      <c r="M132" s="542"/>
      <c r="N132" s="542"/>
      <c r="O132" s="542"/>
      <c r="P132" s="560">
        <v>13312</v>
      </c>
      <c r="Q132" s="542"/>
      <c r="R132" s="542"/>
      <c r="S132" s="542">
        <f t="shared" si="59"/>
        <v>39936</v>
      </c>
      <c r="T132" s="542"/>
      <c r="U132" s="542">
        <f t="shared" si="60"/>
        <v>79872</v>
      </c>
      <c r="V132" s="542"/>
      <c r="W132" s="560">
        <v>13909</v>
      </c>
      <c r="X132" s="542">
        <f t="shared" si="61"/>
        <v>119808</v>
      </c>
      <c r="Y132" s="542"/>
      <c r="Z132" s="542"/>
      <c r="AA132" s="560">
        <v>14567</v>
      </c>
      <c r="AB132" s="542">
        <f t="shared" si="62"/>
        <v>159744</v>
      </c>
      <c r="AC132" s="578"/>
      <c r="AD132" s="522">
        <v>0.04</v>
      </c>
      <c r="AE132" s="523">
        <f t="shared" si="50"/>
        <v>0.04</v>
      </c>
      <c r="AF132" s="524">
        <f t="shared" si="51"/>
        <v>1597.44</v>
      </c>
      <c r="AG132" s="524">
        <f t="shared" si="52"/>
        <v>1597.44</v>
      </c>
      <c r="AH132" s="524">
        <f t="shared" si="53"/>
        <v>4792.32</v>
      </c>
      <c r="AI132" s="524">
        <f t="shared" si="54"/>
        <v>6389.76</v>
      </c>
      <c r="AJ132" s="524">
        <f t="shared" ref="AJ132:AJ163" si="63">S132-AF132</f>
        <v>38338.559999999998</v>
      </c>
      <c r="AK132" s="524">
        <f t="shared" si="55"/>
        <v>78274.559999999998</v>
      </c>
      <c r="AL132" s="524">
        <f t="shared" si="56"/>
        <v>115015.67999999999</v>
      </c>
      <c r="AM132" s="524">
        <f t="shared" si="57"/>
        <v>153354.23999999999</v>
      </c>
      <c r="AN132" s="537">
        <f t="shared" si="43"/>
        <v>8568.8279039999979</v>
      </c>
      <c r="AO132" s="537">
        <f t="shared" si="44"/>
        <v>17354.747904</v>
      </c>
      <c r="AP132" s="537">
        <f t="shared" si="45"/>
        <v>25706.483712000001</v>
      </c>
      <c r="AQ132" s="537">
        <f t="shared" si="46"/>
        <v>34275.311615999992</v>
      </c>
      <c r="AR132" s="523">
        <f t="shared" si="47"/>
        <v>399360</v>
      </c>
      <c r="AS132" s="523">
        <f t="shared" si="48"/>
        <v>33280</v>
      </c>
      <c r="AU132" s="539">
        <v>8.4099999999999994E-2</v>
      </c>
      <c r="AV132" s="540">
        <v>0.22</v>
      </c>
    </row>
    <row r="133" spans="1:48" ht="15.75" hidden="1">
      <c r="A133" s="313" t="s">
        <v>484</v>
      </c>
      <c r="B133" s="314" t="s">
        <v>784</v>
      </c>
      <c r="C133" s="314" t="s">
        <v>810</v>
      </c>
      <c r="D133" s="315" t="s">
        <v>803</v>
      </c>
      <c r="E133" s="312"/>
      <c r="F133" s="312"/>
      <c r="G133" s="558">
        <v>1</v>
      </c>
      <c r="H133" s="542"/>
      <c r="I133" s="562" t="s">
        <v>483</v>
      </c>
      <c r="J133" s="542">
        <v>20869</v>
      </c>
      <c r="K133" s="542"/>
      <c r="L133" s="542"/>
      <c r="M133" s="542"/>
      <c r="N133" s="542"/>
      <c r="O133" s="542"/>
      <c r="P133" s="560">
        <v>10206</v>
      </c>
      <c r="Q133" s="542"/>
      <c r="R133" s="542"/>
      <c r="S133" s="542">
        <f t="shared" si="59"/>
        <v>30618</v>
      </c>
      <c r="T133" s="542"/>
      <c r="U133" s="542">
        <f t="shared" si="60"/>
        <v>61236</v>
      </c>
      <c r="V133" s="542"/>
      <c r="W133" s="560">
        <v>10664</v>
      </c>
      <c r="X133" s="542">
        <f t="shared" si="61"/>
        <v>91854</v>
      </c>
      <c r="Y133" s="542"/>
      <c r="Z133" s="542"/>
      <c r="AA133" s="560">
        <v>11169</v>
      </c>
      <c r="AB133" s="542">
        <f t="shared" si="62"/>
        <v>122472</v>
      </c>
      <c r="AC133" s="578"/>
      <c r="AD133" s="522">
        <v>0.04</v>
      </c>
      <c r="AE133" s="523">
        <f t="shared" si="50"/>
        <v>0.04</v>
      </c>
      <c r="AF133" s="524">
        <f t="shared" si="51"/>
        <v>1224.72</v>
      </c>
      <c r="AG133" s="524">
        <f t="shared" si="52"/>
        <v>1224.72</v>
      </c>
      <c r="AH133" s="524">
        <f t="shared" si="53"/>
        <v>3674.16</v>
      </c>
      <c r="AI133" s="524">
        <f t="shared" si="54"/>
        <v>4898.88</v>
      </c>
      <c r="AJ133" s="524">
        <f t="shared" si="63"/>
        <v>29393.279999999999</v>
      </c>
      <c r="AK133" s="524">
        <f t="shared" si="55"/>
        <v>60011.28</v>
      </c>
      <c r="AL133" s="524">
        <f t="shared" si="56"/>
        <v>88179.839999999997</v>
      </c>
      <c r="AM133" s="524">
        <f t="shared" si="57"/>
        <v>117573.12</v>
      </c>
      <c r="AN133" s="537">
        <f t="shared" ref="AN133:AN171" si="64">AF133*AU133+AJ133*AV133</f>
        <v>6569.520552</v>
      </c>
      <c r="AO133" s="537">
        <f t="shared" ref="AO133:AO171" si="65">AG133*AU133+AK133*AV133</f>
        <v>13305.480551999999</v>
      </c>
      <c r="AP133" s="537">
        <f t="shared" ref="AP133:AP171" si="66">AH133*AU133++++AL133*AV133</f>
        <v>19708.561656000002</v>
      </c>
      <c r="AQ133" s="537">
        <f t="shared" ref="AQ133:AQ171" si="67">AI133*AU133+AM133*AV133</f>
        <v>26278.082208</v>
      </c>
      <c r="AR133" s="523">
        <f t="shared" ref="AR133:AR171" si="68">S133+U133+X133+AB133</f>
        <v>306180</v>
      </c>
      <c r="AS133" s="523">
        <f t="shared" ref="AS133:AS171" si="69">AR133/12/G133</f>
        <v>25515</v>
      </c>
      <c r="AU133" s="539">
        <v>8.4099999999999994E-2</v>
      </c>
      <c r="AV133" s="540">
        <v>0.22</v>
      </c>
    </row>
    <row r="134" spans="1:48" ht="15.75" hidden="1">
      <c r="A134" s="313" t="s">
        <v>515</v>
      </c>
      <c r="B134" s="314" t="s">
        <v>784</v>
      </c>
      <c r="C134" s="314" t="s">
        <v>802</v>
      </c>
      <c r="D134" s="315" t="s">
        <v>803</v>
      </c>
      <c r="E134" s="312"/>
      <c r="F134" s="312"/>
      <c r="G134" s="558">
        <v>2</v>
      </c>
      <c r="H134" s="542"/>
      <c r="I134" s="562" t="s">
        <v>483</v>
      </c>
      <c r="J134" s="542">
        <v>20869</v>
      </c>
      <c r="K134" s="542"/>
      <c r="L134" s="542"/>
      <c r="M134" s="542"/>
      <c r="N134" s="542"/>
      <c r="O134" s="542"/>
      <c r="P134" s="560">
        <v>18638</v>
      </c>
      <c r="Q134" s="542"/>
      <c r="R134" s="542"/>
      <c r="S134" s="542">
        <f t="shared" si="59"/>
        <v>55914</v>
      </c>
      <c r="T134" s="542"/>
      <c r="U134" s="542">
        <f t="shared" si="60"/>
        <v>111828</v>
      </c>
      <c r="V134" s="542"/>
      <c r="W134" s="560">
        <v>19474</v>
      </c>
      <c r="X134" s="542">
        <f t="shared" si="61"/>
        <v>167742</v>
      </c>
      <c r="Y134" s="542"/>
      <c r="Z134" s="542"/>
      <c r="AA134" s="560">
        <v>20396</v>
      </c>
      <c r="AB134" s="542">
        <f t="shared" si="62"/>
        <v>223656</v>
      </c>
      <c r="AC134" s="578"/>
      <c r="AD134" s="522">
        <v>0.04</v>
      </c>
      <c r="AE134" s="523">
        <f t="shared" si="50"/>
        <v>0.08</v>
      </c>
      <c r="AF134" s="524">
        <f t="shared" si="51"/>
        <v>2236.56</v>
      </c>
      <c r="AG134" s="524">
        <f t="shared" si="52"/>
        <v>2236.56</v>
      </c>
      <c r="AH134" s="524">
        <f t="shared" si="53"/>
        <v>6709.68</v>
      </c>
      <c r="AI134" s="524">
        <f t="shared" si="54"/>
        <v>8946.24</v>
      </c>
      <c r="AJ134" s="524">
        <f t="shared" si="63"/>
        <v>53677.440000000002</v>
      </c>
      <c r="AK134" s="524">
        <f t="shared" si="55"/>
        <v>109591.44</v>
      </c>
      <c r="AL134" s="524">
        <f t="shared" si="56"/>
        <v>161032.32000000001</v>
      </c>
      <c r="AM134" s="524">
        <f t="shared" si="57"/>
        <v>214709.76000000001</v>
      </c>
      <c r="AN134" s="537">
        <f t="shared" si="64"/>
        <v>11997.131496</v>
      </c>
      <c r="AO134" s="537">
        <f t="shared" si="65"/>
        <v>24298.211496</v>
      </c>
      <c r="AP134" s="537">
        <f t="shared" si="66"/>
        <v>35991.394488000005</v>
      </c>
      <c r="AQ134" s="537">
        <f t="shared" si="67"/>
        <v>47988.525984</v>
      </c>
      <c r="AR134" s="523">
        <f t="shared" si="68"/>
        <v>559140</v>
      </c>
      <c r="AS134" s="523">
        <f t="shared" si="69"/>
        <v>23297.5</v>
      </c>
      <c r="AU134" s="539">
        <v>8.4099999999999994E-2</v>
      </c>
      <c r="AV134" s="540">
        <v>0.22</v>
      </c>
    </row>
    <row r="135" spans="1:48" ht="15.75" hidden="1">
      <c r="A135" s="317" t="s">
        <v>815</v>
      </c>
      <c r="B135" s="314" t="s">
        <v>784</v>
      </c>
      <c r="C135" s="314" t="s">
        <v>802</v>
      </c>
      <c r="D135" s="315" t="s">
        <v>803</v>
      </c>
      <c r="E135" s="312"/>
      <c r="F135" s="312"/>
      <c r="G135" s="558">
        <v>1</v>
      </c>
      <c r="H135" s="542"/>
      <c r="I135" s="562" t="s">
        <v>483</v>
      </c>
      <c r="J135" s="542">
        <v>20869</v>
      </c>
      <c r="K135" s="542"/>
      <c r="L135" s="542"/>
      <c r="M135" s="542"/>
      <c r="N135" s="542"/>
      <c r="O135" s="542"/>
      <c r="P135" s="560">
        <v>9319</v>
      </c>
      <c r="Q135" s="542"/>
      <c r="R135" s="542"/>
      <c r="S135" s="542">
        <f t="shared" si="59"/>
        <v>27957</v>
      </c>
      <c r="T135" s="542"/>
      <c r="U135" s="542">
        <f t="shared" si="60"/>
        <v>55914</v>
      </c>
      <c r="V135" s="542"/>
      <c r="W135" s="560">
        <v>9737</v>
      </c>
      <c r="X135" s="542">
        <f t="shared" si="61"/>
        <v>83871</v>
      </c>
      <c r="Y135" s="542"/>
      <c r="Z135" s="542"/>
      <c r="AA135" s="560">
        <v>10198</v>
      </c>
      <c r="AB135" s="542">
        <f t="shared" si="62"/>
        <v>111828</v>
      </c>
      <c r="AC135" s="578"/>
      <c r="AD135" s="522">
        <v>0.04</v>
      </c>
      <c r="AE135" s="523">
        <f t="shared" si="50"/>
        <v>0.04</v>
      </c>
      <c r="AF135" s="524">
        <f t="shared" si="51"/>
        <v>1118.28</v>
      </c>
      <c r="AG135" s="524">
        <f t="shared" si="52"/>
        <v>1118.28</v>
      </c>
      <c r="AH135" s="524">
        <f t="shared" si="53"/>
        <v>3354.84</v>
      </c>
      <c r="AI135" s="524">
        <f t="shared" si="54"/>
        <v>4473.12</v>
      </c>
      <c r="AJ135" s="524">
        <f t="shared" si="63"/>
        <v>26838.720000000001</v>
      </c>
      <c r="AK135" s="524">
        <f t="shared" si="55"/>
        <v>54795.72</v>
      </c>
      <c r="AL135" s="524">
        <f t="shared" si="56"/>
        <v>80516.160000000003</v>
      </c>
      <c r="AM135" s="524">
        <f t="shared" si="57"/>
        <v>107354.88</v>
      </c>
      <c r="AN135" s="537">
        <f t="shared" si="64"/>
        <v>5998.565748</v>
      </c>
      <c r="AO135" s="537">
        <f t="shared" si="65"/>
        <v>12149.105748</v>
      </c>
      <c r="AP135" s="537">
        <f t="shared" si="66"/>
        <v>17995.697244000003</v>
      </c>
      <c r="AQ135" s="537">
        <f t="shared" si="67"/>
        <v>23994.262992</v>
      </c>
      <c r="AR135" s="523">
        <f t="shared" si="68"/>
        <v>279570</v>
      </c>
      <c r="AS135" s="523">
        <f t="shared" si="69"/>
        <v>23297.5</v>
      </c>
      <c r="AU135" s="539">
        <v>8.4099999999999994E-2</v>
      </c>
      <c r="AV135" s="540">
        <v>0.22</v>
      </c>
    </row>
    <row r="136" spans="1:48" ht="15.75">
      <c r="A136" s="313" t="s">
        <v>488</v>
      </c>
      <c r="B136" s="314" t="s">
        <v>783</v>
      </c>
      <c r="C136" s="314" t="s">
        <v>797</v>
      </c>
      <c r="D136" s="315">
        <v>1231</v>
      </c>
      <c r="E136" s="312"/>
      <c r="F136" s="312"/>
      <c r="G136" s="558">
        <v>1</v>
      </c>
      <c r="H136" s="542"/>
      <c r="I136" s="562" t="s">
        <v>487</v>
      </c>
      <c r="J136" s="559">
        <f>P136</f>
        <v>25958</v>
      </c>
      <c r="K136" s="542"/>
      <c r="L136" s="542"/>
      <c r="M136" s="542"/>
      <c r="N136" s="542"/>
      <c r="O136" s="542"/>
      <c r="P136" s="560">
        <v>25958</v>
      </c>
      <c r="Q136" s="542"/>
      <c r="R136" s="542"/>
      <c r="S136" s="542">
        <f t="shared" si="59"/>
        <v>77874</v>
      </c>
      <c r="T136" s="542"/>
      <c r="U136" s="542">
        <f t="shared" si="60"/>
        <v>155748</v>
      </c>
      <c r="V136" s="542"/>
      <c r="W136" s="560">
        <v>27120</v>
      </c>
      <c r="X136" s="542">
        <f t="shared" si="61"/>
        <v>233622</v>
      </c>
      <c r="Y136" s="542"/>
      <c r="Z136" s="542"/>
      <c r="AA136" s="560">
        <v>28404</v>
      </c>
      <c r="AB136" s="542">
        <f t="shared" si="62"/>
        <v>311496</v>
      </c>
      <c r="AC136" s="578"/>
      <c r="AD136" s="522">
        <v>0.04</v>
      </c>
      <c r="AE136" s="523">
        <f t="shared" si="50"/>
        <v>0.04</v>
      </c>
      <c r="AF136" s="524">
        <f t="shared" si="51"/>
        <v>3114.96</v>
      </c>
      <c r="AG136" s="524">
        <f t="shared" si="52"/>
        <v>3114.96</v>
      </c>
      <c r="AH136" s="524">
        <f t="shared" si="53"/>
        <v>9344.880000000001</v>
      </c>
      <c r="AI136" s="524">
        <f t="shared" si="54"/>
        <v>12459.84</v>
      </c>
      <c r="AJ136" s="524">
        <f t="shared" si="63"/>
        <v>74759.039999999994</v>
      </c>
      <c r="AK136" s="524">
        <f t="shared" si="55"/>
        <v>152633.04</v>
      </c>
      <c r="AL136" s="524">
        <f t="shared" si="56"/>
        <v>224277.12</v>
      </c>
      <c r="AM136" s="524">
        <f t="shared" si="57"/>
        <v>299036.15999999997</v>
      </c>
      <c r="AN136" s="537">
        <f t="shared" si="64"/>
        <v>16708.956935999999</v>
      </c>
      <c r="AO136" s="537">
        <f t="shared" si="65"/>
        <v>33841.236936000008</v>
      </c>
      <c r="AP136" s="537">
        <f t="shared" si="66"/>
        <v>50126.870808</v>
      </c>
      <c r="AQ136" s="537">
        <f t="shared" si="67"/>
        <v>66835.827743999995</v>
      </c>
      <c r="AR136" s="523">
        <f t="shared" si="68"/>
        <v>778740</v>
      </c>
      <c r="AS136" s="523">
        <f t="shared" si="69"/>
        <v>64895</v>
      </c>
      <c r="AU136" s="539">
        <v>8.4099999999999994E-2</v>
      </c>
      <c r="AV136" s="540">
        <v>0.22</v>
      </c>
    </row>
    <row r="137" spans="1:48" ht="15.75">
      <c r="A137" s="313" t="s">
        <v>489</v>
      </c>
      <c r="B137" s="314" t="s">
        <v>783</v>
      </c>
      <c r="C137" s="314" t="s">
        <v>810</v>
      </c>
      <c r="D137" s="315" t="s">
        <v>816</v>
      </c>
      <c r="E137" s="312"/>
      <c r="F137" s="312"/>
      <c r="G137" s="558">
        <v>1</v>
      </c>
      <c r="H137" s="542"/>
      <c r="I137" s="562" t="s">
        <v>487</v>
      </c>
      <c r="J137" s="559">
        <f>P137</f>
        <v>17982</v>
      </c>
      <c r="K137" s="542"/>
      <c r="L137" s="542"/>
      <c r="M137" s="542"/>
      <c r="N137" s="542"/>
      <c r="O137" s="542"/>
      <c r="P137" s="560">
        <v>17982</v>
      </c>
      <c r="Q137" s="542"/>
      <c r="R137" s="542"/>
      <c r="S137" s="542">
        <f t="shared" si="59"/>
        <v>53946</v>
      </c>
      <c r="T137" s="542"/>
      <c r="U137" s="542">
        <f t="shared" si="60"/>
        <v>107892</v>
      </c>
      <c r="V137" s="542"/>
      <c r="W137" s="560">
        <v>18777</v>
      </c>
      <c r="X137" s="542">
        <f t="shared" si="61"/>
        <v>161838</v>
      </c>
      <c r="Y137" s="542"/>
      <c r="Z137" s="542"/>
      <c r="AA137" s="560">
        <v>19666</v>
      </c>
      <c r="AB137" s="542">
        <f t="shared" si="62"/>
        <v>215784</v>
      </c>
      <c r="AC137" s="578"/>
      <c r="AD137" s="522">
        <v>0.04</v>
      </c>
      <c r="AE137" s="523">
        <f t="shared" si="50"/>
        <v>0.04</v>
      </c>
      <c r="AF137" s="524">
        <f t="shared" si="51"/>
        <v>2157.84</v>
      </c>
      <c r="AG137" s="524">
        <f t="shared" si="52"/>
        <v>2157.84</v>
      </c>
      <c r="AH137" s="524">
        <f t="shared" si="53"/>
        <v>6473.52</v>
      </c>
      <c r="AI137" s="524">
        <f t="shared" si="54"/>
        <v>8631.36</v>
      </c>
      <c r="AJ137" s="524">
        <f t="shared" si="63"/>
        <v>51788.160000000003</v>
      </c>
      <c r="AK137" s="524">
        <f t="shared" si="55"/>
        <v>105734.16</v>
      </c>
      <c r="AL137" s="524">
        <f t="shared" si="56"/>
        <v>155364.48000000001</v>
      </c>
      <c r="AM137" s="524">
        <f t="shared" si="57"/>
        <v>207152.64000000001</v>
      </c>
      <c r="AN137" s="537">
        <f t="shared" si="64"/>
        <v>11574.869544000001</v>
      </c>
      <c r="AO137" s="537">
        <f t="shared" si="65"/>
        <v>23442.989544</v>
      </c>
      <c r="AP137" s="537">
        <f t="shared" si="66"/>
        <v>34724.608632000003</v>
      </c>
      <c r="AQ137" s="537">
        <f t="shared" si="67"/>
        <v>46299.478176000004</v>
      </c>
      <c r="AR137" s="523">
        <f t="shared" si="68"/>
        <v>539460</v>
      </c>
      <c r="AS137" s="523">
        <f t="shared" si="69"/>
        <v>44955</v>
      </c>
      <c r="AU137" s="539">
        <v>8.4099999999999994E-2</v>
      </c>
      <c r="AV137" s="540">
        <v>0.22</v>
      </c>
    </row>
    <row r="138" spans="1:48" ht="15.75">
      <c r="A138" s="313" t="s">
        <v>490</v>
      </c>
      <c r="B138" s="314" t="s">
        <v>783</v>
      </c>
      <c r="C138" s="314" t="s">
        <v>810</v>
      </c>
      <c r="D138" s="315" t="s">
        <v>816</v>
      </c>
      <c r="E138" s="312"/>
      <c r="F138" s="312"/>
      <c r="G138" s="558">
        <v>4</v>
      </c>
      <c r="H138" s="542"/>
      <c r="I138" s="562" t="s">
        <v>487</v>
      </c>
      <c r="J138" s="559">
        <f>P138</f>
        <v>41740</v>
      </c>
      <c r="K138" s="542"/>
      <c r="L138" s="542"/>
      <c r="M138" s="542"/>
      <c r="N138" s="542"/>
      <c r="O138" s="542"/>
      <c r="P138" s="560">
        <v>41740</v>
      </c>
      <c r="Q138" s="542"/>
      <c r="R138" s="542"/>
      <c r="S138" s="542">
        <f t="shared" si="59"/>
        <v>125220</v>
      </c>
      <c r="T138" s="542"/>
      <c r="U138" s="542">
        <f t="shared" si="60"/>
        <v>250440</v>
      </c>
      <c r="V138" s="542"/>
      <c r="W138" s="560">
        <v>43608</v>
      </c>
      <c r="X138" s="542">
        <f t="shared" si="61"/>
        <v>375660</v>
      </c>
      <c r="Y138" s="542"/>
      <c r="Z138" s="542"/>
      <c r="AA138" s="560">
        <v>45672</v>
      </c>
      <c r="AB138" s="542">
        <f t="shared" si="62"/>
        <v>500880</v>
      </c>
      <c r="AC138" s="578"/>
      <c r="AD138" s="522">
        <v>0.04</v>
      </c>
      <c r="AE138" s="523">
        <f t="shared" si="50"/>
        <v>0.16</v>
      </c>
      <c r="AF138" s="524">
        <f t="shared" si="51"/>
        <v>5008.8</v>
      </c>
      <c r="AG138" s="524">
        <f t="shared" si="52"/>
        <v>5008.8</v>
      </c>
      <c r="AH138" s="524">
        <f t="shared" si="53"/>
        <v>15026.4</v>
      </c>
      <c r="AI138" s="524">
        <f t="shared" si="54"/>
        <v>20035.2</v>
      </c>
      <c r="AJ138" s="524">
        <f t="shared" si="63"/>
        <v>120211.2</v>
      </c>
      <c r="AK138" s="524">
        <f t="shared" si="55"/>
        <v>245431.2</v>
      </c>
      <c r="AL138" s="524">
        <f t="shared" si="56"/>
        <v>360633.59999999998</v>
      </c>
      <c r="AM138" s="524">
        <f t="shared" si="57"/>
        <v>480844.79999999999</v>
      </c>
      <c r="AN138" s="537">
        <f t="shared" si="64"/>
        <v>26867.70408</v>
      </c>
      <c r="AO138" s="537">
        <f t="shared" si="65"/>
        <v>54416.104080000005</v>
      </c>
      <c r="AP138" s="537">
        <f t="shared" si="66"/>
        <v>80603.112239999988</v>
      </c>
      <c r="AQ138" s="537">
        <f t="shared" si="67"/>
        <v>107470.81632</v>
      </c>
      <c r="AR138" s="523">
        <f t="shared" si="68"/>
        <v>1252200</v>
      </c>
      <c r="AS138" s="523">
        <f t="shared" si="69"/>
        <v>26087.5</v>
      </c>
      <c r="AU138" s="539">
        <v>8.4099999999999994E-2</v>
      </c>
      <c r="AV138" s="540">
        <v>0.22</v>
      </c>
    </row>
    <row r="139" spans="1:48" ht="15.75">
      <c r="A139" s="313" t="s">
        <v>477</v>
      </c>
      <c r="B139" s="314" t="s">
        <v>783</v>
      </c>
      <c r="C139" s="314" t="s">
        <v>797</v>
      </c>
      <c r="D139" s="315">
        <v>1232</v>
      </c>
      <c r="E139" s="312"/>
      <c r="F139" s="312"/>
      <c r="G139" s="558">
        <v>1</v>
      </c>
      <c r="H139" s="542"/>
      <c r="I139" s="562" t="s">
        <v>491</v>
      </c>
      <c r="J139" s="559">
        <f>P139</f>
        <v>13312</v>
      </c>
      <c r="K139" s="542"/>
      <c r="L139" s="542"/>
      <c r="M139" s="542"/>
      <c r="N139" s="542"/>
      <c r="O139" s="542"/>
      <c r="P139" s="560">
        <v>13312</v>
      </c>
      <c r="Q139" s="542"/>
      <c r="R139" s="542"/>
      <c r="S139" s="542">
        <f t="shared" si="59"/>
        <v>39936</v>
      </c>
      <c r="T139" s="542"/>
      <c r="U139" s="542">
        <f t="shared" si="60"/>
        <v>79872</v>
      </c>
      <c r="V139" s="542"/>
      <c r="W139" s="560">
        <v>13909</v>
      </c>
      <c r="X139" s="542">
        <f t="shared" si="61"/>
        <v>119808</v>
      </c>
      <c r="Y139" s="542"/>
      <c r="Z139" s="542"/>
      <c r="AA139" s="560">
        <v>14567</v>
      </c>
      <c r="AB139" s="542">
        <f t="shared" si="62"/>
        <v>159744</v>
      </c>
      <c r="AC139" s="578"/>
      <c r="AD139" s="522">
        <v>0.04</v>
      </c>
      <c r="AE139" s="523">
        <f t="shared" si="50"/>
        <v>0.04</v>
      </c>
      <c r="AF139" s="524">
        <f t="shared" si="51"/>
        <v>1597.44</v>
      </c>
      <c r="AG139" s="524">
        <f t="shared" si="52"/>
        <v>1597.44</v>
      </c>
      <c r="AH139" s="524">
        <f t="shared" si="53"/>
        <v>4792.32</v>
      </c>
      <c r="AI139" s="524">
        <f t="shared" si="54"/>
        <v>6389.76</v>
      </c>
      <c r="AJ139" s="524">
        <f t="shared" si="63"/>
        <v>38338.559999999998</v>
      </c>
      <c r="AK139" s="524">
        <f t="shared" si="55"/>
        <v>78274.559999999998</v>
      </c>
      <c r="AL139" s="524">
        <f t="shared" si="56"/>
        <v>115015.67999999999</v>
      </c>
      <c r="AM139" s="524">
        <f t="shared" si="57"/>
        <v>153354.23999999999</v>
      </c>
      <c r="AN139" s="537">
        <f t="shared" si="64"/>
        <v>8568.8279039999979</v>
      </c>
      <c r="AO139" s="537">
        <f t="shared" si="65"/>
        <v>17354.747904</v>
      </c>
      <c r="AP139" s="537">
        <f t="shared" si="66"/>
        <v>25706.483712000001</v>
      </c>
      <c r="AQ139" s="537">
        <f t="shared" si="67"/>
        <v>34275.311615999992</v>
      </c>
      <c r="AR139" s="523">
        <f t="shared" si="68"/>
        <v>399360</v>
      </c>
      <c r="AS139" s="523">
        <f t="shared" si="69"/>
        <v>33280</v>
      </c>
      <c r="AU139" s="539">
        <v>8.4099999999999994E-2</v>
      </c>
      <c r="AV139" s="540">
        <v>0.22</v>
      </c>
    </row>
    <row r="140" spans="1:48" ht="15.75">
      <c r="A140" s="313" t="s">
        <v>817</v>
      </c>
      <c r="B140" s="314" t="s">
        <v>783</v>
      </c>
      <c r="C140" s="314" t="s">
        <v>802</v>
      </c>
      <c r="D140" s="315">
        <v>3152</v>
      </c>
      <c r="E140" s="312"/>
      <c r="F140" s="312"/>
      <c r="G140" s="558">
        <v>1</v>
      </c>
      <c r="H140" s="542"/>
      <c r="I140" s="562" t="s">
        <v>491</v>
      </c>
      <c r="J140" s="559">
        <f>P140</f>
        <v>8875</v>
      </c>
      <c r="K140" s="542"/>
      <c r="L140" s="542"/>
      <c r="M140" s="542"/>
      <c r="N140" s="542"/>
      <c r="O140" s="542"/>
      <c r="P140" s="560">
        <v>8875</v>
      </c>
      <c r="Q140" s="542"/>
      <c r="R140" s="542"/>
      <c r="S140" s="542">
        <f t="shared" si="59"/>
        <v>26625</v>
      </c>
      <c r="T140" s="542"/>
      <c r="U140" s="542">
        <f t="shared" si="60"/>
        <v>53250</v>
      </c>
      <c r="V140" s="542"/>
      <c r="W140" s="560">
        <v>9272</v>
      </c>
      <c r="X140" s="542">
        <f t="shared" si="61"/>
        <v>79875</v>
      </c>
      <c r="Y140" s="542"/>
      <c r="Z140" s="542"/>
      <c r="AA140" s="560">
        <v>9711</v>
      </c>
      <c r="AB140" s="542">
        <f t="shared" si="62"/>
        <v>106500</v>
      </c>
      <c r="AC140" s="578"/>
      <c r="AD140" s="522">
        <v>0.04</v>
      </c>
      <c r="AE140" s="523">
        <f t="shared" si="50"/>
        <v>0.04</v>
      </c>
      <c r="AF140" s="524">
        <f t="shared" si="51"/>
        <v>1065</v>
      </c>
      <c r="AG140" s="524">
        <f t="shared" si="52"/>
        <v>1065</v>
      </c>
      <c r="AH140" s="524">
        <f t="shared" si="53"/>
        <v>3195</v>
      </c>
      <c r="AI140" s="524">
        <f t="shared" si="54"/>
        <v>4260</v>
      </c>
      <c r="AJ140" s="524">
        <f t="shared" si="63"/>
        <v>25560</v>
      </c>
      <c r="AK140" s="524">
        <f t="shared" si="55"/>
        <v>52185</v>
      </c>
      <c r="AL140" s="524">
        <f t="shared" si="56"/>
        <v>76680</v>
      </c>
      <c r="AM140" s="524">
        <f t="shared" si="57"/>
        <v>102240</v>
      </c>
      <c r="AN140" s="537">
        <f t="shared" si="64"/>
        <v>5712.7664999999997</v>
      </c>
      <c r="AO140" s="537">
        <f t="shared" si="65"/>
        <v>11570.266500000002</v>
      </c>
      <c r="AP140" s="537">
        <f t="shared" si="66"/>
        <v>17138.299499999997</v>
      </c>
      <c r="AQ140" s="537">
        <f t="shared" si="67"/>
        <v>22851.065999999999</v>
      </c>
      <c r="AR140" s="523">
        <f t="shared" si="68"/>
        <v>266250</v>
      </c>
      <c r="AS140" s="523">
        <f t="shared" si="69"/>
        <v>22187.5</v>
      </c>
      <c r="AU140" s="539">
        <v>8.4099999999999994E-2</v>
      </c>
      <c r="AV140" s="540">
        <v>0.22</v>
      </c>
    </row>
    <row r="141" spans="1:48" ht="15.75">
      <c r="A141" s="313" t="s">
        <v>818</v>
      </c>
      <c r="B141" s="314" t="s">
        <v>783</v>
      </c>
      <c r="C141" s="314" t="s">
        <v>802</v>
      </c>
      <c r="D141" s="315">
        <v>3221</v>
      </c>
      <c r="E141" s="312"/>
      <c r="F141" s="312"/>
      <c r="G141" s="558">
        <v>2</v>
      </c>
      <c r="H141" s="542"/>
      <c r="I141" s="562" t="s">
        <v>491</v>
      </c>
      <c r="J141" s="559">
        <f t="shared" ref="J141:J146" si="70">P141</f>
        <v>12603</v>
      </c>
      <c r="K141" s="542"/>
      <c r="L141" s="542"/>
      <c r="M141" s="542"/>
      <c r="N141" s="542"/>
      <c r="O141" s="542"/>
      <c r="P141" s="560">
        <v>12603</v>
      </c>
      <c r="Q141" s="542"/>
      <c r="R141" s="542"/>
      <c r="S141" s="542">
        <f t="shared" si="59"/>
        <v>37809</v>
      </c>
      <c r="T141" s="542"/>
      <c r="U141" s="542">
        <f t="shared" si="60"/>
        <v>75618</v>
      </c>
      <c r="V141" s="542"/>
      <c r="W141" s="560">
        <v>13168</v>
      </c>
      <c r="X141" s="542">
        <f t="shared" si="61"/>
        <v>113427</v>
      </c>
      <c r="Y141" s="542"/>
      <c r="Z141" s="542"/>
      <c r="AA141" s="560">
        <v>13792</v>
      </c>
      <c r="AB141" s="542">
        <f t="shared" si="62"/>
        <v>151236</v>
      </c>
      <c r="AC141" s="578"/>
      <c r="AD141" s="522">
        <v>0.04</v>
      </c>
      <c r="AE141" s="523">
        <f t="shared" si="50"/>
        <v>0.08</v>
      </c>
      <c r="AF141" s="524">
        <f t="shared" si="51"/>
        <v>1512.3600000000001</v>
      </c>
      <c r="AG141" s="524">
        <f t="shared" si="52"/>
        <v>1512.3600000000001</v>
      </c>
      <c r="AH141" s="524">
        <f t="shared" si="53"/>
        <v>4537.08</v>
      </c>
      <c r="AI141" s="524">
        <f t="shared" si="54"/>
        <v>6049.4400000000005</v>
      </c>
      <c r="AJ141" s="524">
        <f t="shared" si="63"/>
        <v>36296.639999999999</v>
      </c>
      <c r="AK141" s="524">
        <f t="shared" si="55"/>
        <v>74105.64</v>
      </c>
      <c r="AL141" s="524">
        <f t="shared" si="56"/>
        <v>108889.92</v>
      </c>
      <c r="AM141" s="524">
        <f t="shared" si="57"/>
        <v>145186.56</v>
      </c>
      <c r="AN141" s="537">
        <f t="shared" si="64"/>
        <v>8112.4502759999996</v>
      </c>
      <c r="AO141" s="537">
        <f t="shared" si="65"/>
        <v>16430.430275999999</v>
      </c>
      <c r="AP141" s="537">
        <f t="shared" si="66"/>
        <v>24337.350827999999</v>
      </c>
      <c r="AQ141" s="537">
        <f t="shared" si="67"/>
        <v>32449.801103999998</v>
      </c>
      <c r="AR141" s="523">
        <f t="shared" si="68"/>
        <v>378090</v>
      </c>
      <c r="AS141" s="523">
        <f t="shared" si="69"/>
        <v>15753.75</v>
      </c>
      <c r="AU141" s="539">
        <v>8.4099999999999994E-2</v>
      </c>
      <c r="AV141" s="540">
        <v>0.22</v>
      </c>
    </row>
    <row r="142" spans="1:48" ht="15.75" hidden="1">
      <c r="A142" s="313" t="s">
        <v>495</v>
      </c>
      <c r="B142" s="314" t="s">
        <v>784</v>
      </c>
      <c r="C142" s="314" t="s">
        <v>810</v>
      </c>
      <c r="D142" s="315" t="s">
        <v>819</v>
      </c>
      <c r="E142" s="312"/>
      <c r="F142" s="312"/>
      <c r="G142" s="558">
        <v>1</v>
      </c>
      <c r="H142" s="542"/>
      <c r="I142" s="562" t="s">
        <v>494</v>
      </c>
      <c r="J142" s="559">
        <f t="shared" si="70"/>
        <v>10428</v>
      </c>
      <c r="K142" s="542"/>
      <c r="L142" s="542"/>
      <c r="M142" s="542"/>
      <c r="N142" s="542"/>
      <c r="O142" s="542"/>
      <c r="P142" s="560">
        <v>10428</v>
      </c>
      <c r="Q142" s="542"/>
      <c r="R142" s="542"/>
      <c r="S142" s="542">
        <f t="shared" si="59"/>
        <v>31284</v>
      </c>
      <c r="T142" s="542"/>
      <c r="U142" s="542">
        <f t="shared" si="60"/>
        <v>62568</v>
      </c>
      <c r="V142" s="542"/>
      <c r="W142" s="560">
        <v>10896</v>
      </c>
      <c r="X142" s="542">
        <f t="shared" si="61"/>
        <v>93852</v>
      </c>
      <c r="Y142" s="542"/>
      <c r="Z142" s="542"/>
      <c r="AA142" s="560">
        <v>11412</v>
      </c>
      <c r="AB142" s="542">
        <f t="shared" si="62"/>
        <v>125136</v>
      </c>
      <c r="AC142" s="578"/>
      <c r="AD142" s="522">
        <v>0.04</v>
      </c>
      <c r="AE142" s="523">
        <f t="shared" si="50"/>
        <v>0.04</v>
      </c>
      <c r="AF142" s="524">
        <f t="shared" si="51"/>
        <v>1251.3600000000001</v>
      </c>
      <c r="AG142" s="524">
        <f t="shared" si="52"/>
        <v>1251.3600000000001</v>
      </c>
      <c r="AH142" s="524">
        <f t="shared" si="53"/>
        <v>3754.08</v>
      </c>
      <c r="AI142" s="524">
        <f t="shared" si="54"/>
        <v>5005.4400000000005</v>
      </c>
      <c r="AJ142" s="524">
        <f t="shared" si="63"/>
        <v>30032.639999999999</v>
      </c>
      <c r="AK142" s="524">
        <f t="shared" si="55"/>
        <v>61316.639999999999</v>
      </c>
      <c r="AL142" s="524">
        <f t="shared" si="56"/>
        <v>90097.919999999998</v>
      </c>
      <c r="AM142" s="524">
        <f t="shared" si="57"/>
        <v>120130.56</v>
      </c>
      <c r="AN142" s="537">
        <f t="shared" si="64"/>
        <v>6712.4201760000005</v>
      </c>
      <c r="AO142" s="537">
        <f t="shared" si="65"/>
        <v>13594.900175999999</v>
      </c>
      <c r="AP142" s="537">
        <f t="shared" si="66"/>
        <v>20137.260527999999</v>
      </c>
      <c r="AQ142" s="537">
        <f t="shared" si="67"/>
        <v>26849.680704000002</v>
      </c>
      <c r="AR142" s="523">
        <f t="shared" si="68"/>
        <v>312840</v>
      </c>
      <c r="AS142" s="523">
        <f t="shared" si="69"/>
        <v>26070</v>
      </c>
      <c r="AU142" s="539">
        <v>8.4099999999999994E-2</v>
      </c>
      <c r="AV142" s="540">
        <v>0.22</v>
      </c>
    </row>
    <row r="143" spans="1:48" ht="15.75" hidden="1">
      <c r="A143" s="313" t="s">
        <v>820</v>
      </c>
      <c r="B143" s="314" t="s">
        <v>784</v>
      </c>
      <c r="C143" s="314" t="s">
        <v>810</v>
      </c>
      <c r="D143" s="315" t="s">
        <v>819</v>
      </c>
      <c r="E143" s="312"/>
      <c r="F143" s="312"/>
      <c r="G143" s="558">
        <v>1</v>
      </c>
      <c r="H143" s="542"/>
      <c r="I143" s="562" t="s">
        <v>494</v>
      </c>
      <c r="J143" s="559">
        <f t="shared" si="70"/>
        <v>9319</v>
      </c>
      <c r="K143" s="542"/>
      <c r="L143" s="542"/>
      <c r="M143" s="542"/>
      <c r="N143" s="542"/>
      <c r="O143" s="542"/>
      <c r="P143" s="560">
        <v>9319</v>
      </c>
      <c r="Q143" s="542"/>
      <c r="R143" s="542"/>
      <c r="S143" s="542">
        <f t="shared" si="59"/>
        <v>27957</v>
      </c>
      <c r="T143" s="542"/>
      <c r="U143" s="542">
        <f t="shared" si="60"/>
        <v>55914</v>
      </c>
      <c r="V143" s="542"/>
      <c r="W143" s="560">
        <v>9737</v>
      </c>
      <c r="X143" s="542">
        <f t="shared" si="61"/>
        <v>83871</v>
      </c>
      <c r="Y143" s="542"/>
      <c r="Z143" s="542"/>
      <c r="AA143" s="560">
        <v>10198</v>
      </c>
      <c r="AB143" s="542">
        <f t="shared" si="62"/>
        <v>111828</v>
      </c>
      <c r="AC143" s="578"/>
      <c r="AD143" s="522">
        <v>0.04</v>
      </c>
      <c r="AE143" s="523">
        <f t="shared" si="50"/>
        <v>0.04</v>
      </c>
      <c r="AF143" s="524">
        <f t="shared" si="51"/>
        <v>1118.28</v>
      </c>
      <c r="AG143" s="524">
        <f t="shared" si="52"/>
        <v>1118.28</v>
      </c>
      <c r="AH143" s="524">
        <f t="shared" si="53"/>
        <v>3354.84</v>
      </c>
      <c r="AI143" s="524">
        <f t="shared" si="54"/>
        <v>4473.12</v>
      </c>
      <c r="AJ143" s="524">
        <f t="shared" si="63"/>
        <v>26838.720000000001</v>
      </c>
      <c r="AK143" s="524">
        <f t="shared" si="55"/>
        <v>54795.72</v>
      </c>
      <c r="AL143" s="524">
        <f t="shared" si="56"/>
        <v>80516.160000000003</v>
      </c>
      <c r="AM143" s="524">
        <f t="shared" si="57"/>
        <v>107354.88</v>
      </c>
      <c r="AN143" s="537">
        <f t="shared" si="64"/>
        <v>5998.565748</v>
      </c>
      <c r="AO143" s="537">
        <f t="shared" si="65"/>
        <v>12149.105748</v>
      </c>
      <c r="AP143" s="537">
        <f t="shared" si="66"/>
        <v>17995.697244000003</v>
      </c>
      <c r="AQ143" s="537">
        <f t="shared" si="67"/>
        <v>23994.262992</v>
      </c>
      <c r="AR143" s="523">
        <f t="shared" si="68"/>
        <v>279570</v>
      </c>
      <c r="AS143" s="523">
        <f t="shared" si="69"/>
        <v>23297.5</v>
      </c>
      <c r="AU143" s="539">
        <v>8.4099999999999994E-2</v>
      </c>
      <c r="AV143" s="540">
        <v>0.22</v>
      </c>
    </row>
    <row r="144" spans="1:48" ht="15.75" hidden="1">
      <c r="A144" s="313" t="s">
        <v>495</v>
      </c>
      <c r="B144" s="314" t="s">
        <v>784</v>
      </c>
      <c r="C144" s="314" t="s">
        <v>810</v>
      </c>
      <c r="D144" s="315" t="s">
        <v>819</v>
      </c>
      <c r="E144" s="312"/>
      <c r="F144" s="312"/>
      <c r="G144" s="558">
        <v>1</v>
      </c>
      <c r="H144" s="542"/>
      <c r="I144" s="562" t="s">
        <v>821</v>
      </c>
      <c r="J144" s="559">
        <f t="shared" si="70"/>
        <v>10428</v>
      </c>
      <c r="K144" s="542"/>
      <c r="L144" s="542"/>
      <c r="M144" s="542"/>
      <c r="N144" s="542"/>
      <c r="O144" s="542"/>
      <c r="P144" s="560">
        <v>10428</v>
      </c>
      <c r="Q144" s="542"/>
      <c r="R144" s="542"/>
      <c r="S144" s="542">
        <f t="shared" si="59"/>
        <v>31284</v>
      </c>
      <c r="T144" s="542"/>
      <c r="U144" s="542">
        <f t="shared" si="60"/>
        <v>62568</v>
      </c>
      <c r="V144" s="542"/>
      <c r="W144" s="560">
        <v>10896</v>
      </c>
      <c r="X144" s="542">
        <f t="shared" si="61"/>
        <v>93852</v>
      </c>
      <c r="Y144" s="542"/>
      <c r="Z144" s="542"/>
      <c r="AA144" s="560">
        <v>11412</v>
      </c>
      <c r="AB144" s="542">
        <f t="shared" si="62"/>
        <v>125136</v>
      </c>
      <c r="AC144" s="578"/>
      <c r="AD144" s="522">
        <v>0.04</v>
      </c>
      <c r="AE144" s="523">
        <f t="shared" ref="AE144:AE172" si="71">G144*AD144</f>
        <v>0.04</v>
      </c>
      <c r="AF144" s="524">
        <f t="shared" ref="AF144:AF171" si="72">S144/G144*AE144</f>
        <v>1251.3600000000001</v>
      </c>
      <c r="AG144" s="524">
        <f t="shared" ref="AG144:AG171" si="73">AF144</f>
        <v>1251.3600000000001</v>
      </c>
      <c r="AH144" s="524">
        <f t="shared" ref="AH144:AH171" si="74">X144/G144*AE144</f>
        <v>3754.08</v>
      </c>
      <c r="AI144" s="524">
        <f t="shared" ref="AI144:AI171" si="75">AB144/G144*AE144</f>
        <v>5005.4400000000005</v>
      </c>
      <c r="AJ144" s="524">
        <f t="shared" si="63"/>
        <v>30032.639999999999</v>
      </c>
      <c r="AK144" s="524">
        <f t="shared" ref="AK144:AK171" si="76">U144-AG144</f>
        <v>61316.639999999999</v>
      </c>
      <c r="AL144" s="524">
        <f t="shared" ref="AL144:AL171" si="77">X144-AH144</f>
        <v>90097.919999999998</v>
      </c>
      <c r="AM144" s="524">
        <f t="shared" ref="AM144:AM171" si="78">AB144-AI144</f>
        <v>120130.56</v>
      </c>
      <c r="AN144" s="537">
        <f t="shared" si="64"/>
        <v>6712.4201760000005</v>
      </c>
      <c r="AO144" s="537">
        <f t="shared" si="65"/>
        <v>13594.900175999999</v>
      </c>
      <c r="AP144" s="537">
        <f t="shared" si="66"/>
        <v>20137.260527999999</v>
      </c>
      <c r="AQ144" s="537">
        <f t="shared" si="67"/>
        <v>26849.680704000002</v>
      </c>
      <c r="AR144" s="523">
        <f t="shared" si="68"/>
        <v>312840</v>
      </c>
      <c r="AS144" s="523">
        <f t="shared" si="69"/>
        <v>26070</v>
      </c>
      <c r="AU144" s="539">
        <v>8.4099999999999994E-2</v>
      </c>
      <c r="AV144" s="540">
        <v>0.22</v>
      </c>
    </row>
    <row r="145" spans="1:48" ht="15.75" hidden="1">
      <c r="A145" s="313" t="s">
        <v>822</v>
      </c>
      <c r="B145" s="314" t="s">
        <v>784</v>
      </c>
      <c r="C145" s="314" t="s">
        <v>810</v>
      </c>
      <c r="D145" s="315" t="s">
        <v>819</v>
      </c>
      <c r="E145" s="312"/>
      <c r="F145" s="312"/>
      <c r="G145" s="558">
        <v>1</v>
      </c>
      <c r="H145" s="542"/>
      <c r="I145" s="562" t="s">
        <v>821</v>
      </c>
      <c r="J145" s="559">
        <f t="shared" si="70"/>
        <v>10206</v>
      </c>
      <c r="K145" s="542"/>
      <c r="L145" s="542"/>
      <c r="M145" s="542"/>
      <c r="N145" s="542"/>
      <c r="O145" s="542"/>
      <c r="P145" s="560">
        <v>10206</v>
      </c>
      <c r="Q145" s="542"/>
      <c r="R145" s="542"/>
      <c r="S145" s="542">
        <f t="shared" si="59"/>
        <v>30618</v>
      </c>
      <c r="T145" s="542"/>
      <c r="U145" s="542">
        <f t="shared" si="60"/>
        <v>61236</v>
      </c>
      <c r="V145" s="542"/>
      <c r="W145" s="560">
        <v>10664</v>
      </c>
      <c r="X145" s="542">
        <f t="shared" si="61"/>
        <v>91854</v>
      </c>
      <c r="Y145" s="542"/>
      <c r="Z145" s="542"/>
      <c r="AA145" s="560">
        <v>11169</v>
      </c>
      <c r="AB145" s="542">
        <f t="shared" si="62"/>
        <v>122472</v>
      </c>
      <c r="AC145" s="578"/>
      <c r="AD145" s="522">
        <v>0.04</v>
      </c>
      <c r="AE145" s="523">
        <f t="shared" si="71"/>
        <v>0.04</v>
      </c>
      <c r="AF145" s="524">
        <f t="shared" si="72"/>
        <v>1224.72</v>
      </c>
      <c r="AG145" s="524">
        <f t="shared" si="73"/>
        <v>1224.72</v>
      </c>
      <c r="AH145" s="524">
        <f t="shared" si="74"/>
        <v>3674.16</v>
      </c>
      <c r="AI145" s="524">
        <f t="shared" si="75"/>
        <v>4898.88</v>
      </c>
      <c r="AJ145" s="524">
        <f t="shared" si="63"/>
        <v>29393.279999999999</v>
      </c>
      <c r="AK145" s="524">
        <f t="shared" si="76"/>
        <v>60011.28</v>
      </c>
      <c r="AL145" s="524">
        <f t="shared" si="77"/>
        <v>88179.839999999997</v>
      </c>
      <c r="AM145" s="524">
        <f t="shared" si="78"/>
        <v>117573.12</v>
      </c>
      <c r="AN145" s="537">
        <f t="shared" si="64"/>
        <v>6569.520552</v>
      </c>
      <c r="AO145" s="537">
        <f t="shared" si="65"/>
        <v>13305.480551999999</v>
      </c>
      <c r="AP145" s="537">
        <f t="shared" si="66"/>
        <v>19708.561656000002</v>
      </c>
      <c r="AQ145" s="537">
        <f t="shared" si="67"/>
        <v>26278.082208</v>
      </c>
      <c r="AR145" s="523">
        <f t="shared" si="68"/>
        <v>306180</v>
      </c>
      <c r="AS145" s="523">
        <f t="shared" si="69"/>
        <v>25515</v>
      </c>
      <c r="AU145" s="539">
        <v>8.4099999999999994E-2</v>
      </c>
      <c r="AV145" s="540">
        <v>0.22</v>
      </c>
    </row>
    <row r="146" spans="1:48" ht="15.75" hidden="1">
      <c r="A146" s="313" t="s">
        <v>823</v>
      </c>
      <c r="B146" s="314" t="s">
        <v>784</v>
      </c>
      <c r="C146" s="314" t="s">
        <v>810</v>
      </c>
      <c r="D146" s="315" t="s">
        <v>824</v>
      </c>
      <c r="E146" s="312"/>
      <c r="F146" s="312"/>
      <c r="G146" s="558">
        <v>3</v>
      </c>
      <c r="H146" s="542"/>
      <c r="I146" s="562" t="s">
        <v>821</v>
      </c>
      <c r="J146" s="559">
        <f t="shared" si="70"/>
        <v>27957</v>
      </c>
      <c r="K146" s="542"/>
      <c r="L146" s="542"/>
      <c r="M146" s="542"/>
      <c r="N146" s="542"/>
      <c r="O146" s="542"/>
      <c r="P146" s="560">
        <v>27957</v>
      </c>
      <c r="Q146" s="542"/>
      <c r="R146" s="542"/>
      <c r="S146" s="542">
        <f t="shared" si="59"/>
        <v>83871</v>
      </c>
      <c r="T146" s="542"/>
      <c r="U146" s="542">
        <f t="shared" si="60"/>
        <v>167742</v>
      </c>
      <c r="V146" s="542"/>
      <c r="W146" s="560">
        <v>29211</v>
      </c>
      <c r="X146" s="542">
        <f t="shared" si="61"/>
        <v>251613</v>
      </c>
      <c r="Y146" s="542"/>
      <c r="Z146" s="542"/>
      <c r="AA146" s="560">
        <v>30594</v>
      </c>
      <c r="AB146" s="542">
        <f t="shared" si="62"/>
        <v>335484</v>
      </c>
      <c r="AC146" s="578"/>
      <c r="AD146" s="522">
        <v>0.04</v>
      </c>
      <c r="AE146" s="523">
        <f t="shared" si="71"/>
        <v>0.12</v>
      </c>
      <c r="AF146" s="524">
        <f t="shared" si="72"/>
        <v>3354.8399999999997</v>
      </c>
      <c r="AG146" s="524">
        <f t="shared" si="73"/>
        <v>3354.8399999999997</v>
      </c>
      <c r="AH146" s="524">
        <f t="shared" si="74"/>
        <v>10064.52</v>
      </c>
      <c r="AI146" s="524">
        <f t="shared" si="75"/>
        <v>13419.359999999999</v>
      </c>
      <c r="AJ146" s="524">
        <f t="shared" si="63"/>
        <v>80516.160000000003</v>
      </c>
      <c r="AK146" s="524">
        <f t="shared" si="76"/>
        <v>164387.16</v>
      </c>
      <c r="AL146" s="524">
        <f t="shared" si="77"/>
        <v>241548.48</v>
      </c>
      <c r="AM146" s="524">
        <f t="shared" si="78"/>
        <v>322064.64000000001</v>
      </c>
      <c r="AN146" s="537">
        <f t="shared" si="64"/>
        <v>17995.697244000003</v>
      </c>
      <c r="AO146" s="537">
        <f t="shared" si="65"/>
        <v>36447.317243999998</v>
      </c>
      <c r="AP146" s="537">
        <f t="shared" si="66"/>
        <v>53987.091732000001</v>
      </c>
      <c r="AQ146" s="537">
        <f t="shared" si="67"/>
        <v>71982.788976000011</v>
      </c>
      <c r="AR146" s="523">
        <f t="shared" si="68"/>
        <v>838710</v>
      </c>
      <c r="AS146" s="523">
        <f t="shared" si="69"/>
        <v>23297.5</v>
      </c>
      <c r="AU146" s="539">
        <v>8.4099999999999994E-2</v>
      </c>
      <c r="AV146" s="540">
        <v>0.22</v>
      </c>
    </row>
    <row r="147" spans="1:48" ht="15.75" hidden="1">
      <c r="A147" s="313" t="s">
        <v>498</v>
      </c>
      <c r="B147" s="314" t="s">
        <v>784</v>
      </c>
      <c r="C147" s="314" t="s">
        <v>797</v>
      </c>
      <c r="D147" s="315" t="s">
        <v>824</v>
      </c>
      <c r="E147" s="312"/>
      <c r="F147" s="312"/>
      <c r="G147" s="558">
        <v>1</v>
      </c>
      <c r="H147" s="542"/>
      <c r="I147" s="562" t="s">
        <v>497</v>
      </c>
      <c r="J147" s="559">
        <f>P147</f>
        <v>20869</v>
      </c>
      <c r="K147" s="542"/>
      <c r="L147" s="542"/>
      <c r="M147" s="542"/>
      <c r="N147" s="542"/>
      <c r="O147" s="542"/>
      <c r="P147" s="560">
        <v>20869</v>
      </c>
      <c r="Q147" s="542"/>
      <c r="R147" s="542"/>
      <c r="S147" s="542">
        <f t="shared" si="59"/>
        <v>62607</v>
      </c>
      <c r="T147" s="542"/>
      <c r="U147" s="542">
        <f t="shared" si="60"/>
        <v>125214</v>
      </c>
      <c r="V147" s="542"/>
      <c r="W147" s="560">
        <v>21803</v>
      </c>
      <c r="X147" s="542">
        <f t="shared" si="61"/>
        <v>187821</v>
      </c>
      <c r="Y147" s="542"/>
      <c r="Z147" s="542"/>
      <c r="AA147" s="560">
        <v>22835</v>
      </c>
      <c r="AB147" s="542">
        <f t="shared" si="62"/>
        <v>250428</v>
      </c>
      <c r="AC147" s="578"/>
      <c r="AD147" s="522">
        <v>0.04</v>
      </c>
      <c r="AE147" s="523">
        <f t="shared" si="71"/>
        <v>0.04</v>
      </c>
      <c r="AF147" s="524">
        <f t="shared" si="72"/>
        <v>2504.2800000000002</v>
      </c>
      <c r="AG147" s="524">
        <f t="shared" si="73"/>
        <v>2504.2800000000002</v>
      </c>
      <c r="AH147" s="524">
        <f t="shared" si="74"/>
        <v>7512.84</v>
      </c>
      <c r="AI147" s="524">
        <f t="shared" si="75"/>
        <v>10017.120000000001</v>
      </c>
      <c r="AJ147" s="524">
        <f t="shared" si="63"/>
        <v>60102.720000000001</v>
      </c>
      <c r="AK147" s="524">
        <f t="shared" si="76"/>
        <v>122709.72</v>
      </c>
      <c r="AL147" s="524">
        <f t="shared" si="77"/>
        <v>180308.16</v>
      </c>
      <c r="AM147" s="524">
        <f t="shared" si="78"/>
        <v>240410.88</v>
      </c>
      <c r="AN147" s="537">
        <f t="shared" si="64"/>
        <v>13433.208348</v>
      </c>
      <c r="AO147" s="537">
        <f t="shared" si="65"/>
        <v>27206.748348000001</v>
      </c>
      <c r="AP147" s="537">
        <f t="shared" si="66"/>
        <v>40299.625044</v>
      </c>
      <c r="AQ147" s="537">
        <f t="shared" si="67"/>
        <v>53732.833392</v>
      </c>
      <c r="AR147" s="523">
        <f t="shared" si="68"/>
        <v>626070</v>
      </c>
      <c r="AS147" s="523">
        <f t="shared" si="69"/>
        <v>52172.5</v>
      </c>
      <c r="AU147" s="539">
        <v>8.4099999999999994E-2</v>
      </c>
      <c r="AV147" s="540">
        <v>0.22</v>
      </c>
    </row>
    <row r="148" spans="1:48" ht="15.75" hidden="1">
      <c r="A148" s="317" t="s">
        <v>825</v>
      </c>
      <c r="B148" s="314" t="s">
        <v>784</v>
      </c>
      <c r="C148" s="314" t="s">
        <v>797</v>
      </c>
      <c r="D148" s="315" t="s">
        <v>824</v>
      </c>
      <c r="E148" s="312"/>
      <c r="F148" s="312"/>
      <c r="G148" s="558">
        <v>1</v>
      </c>
      <c r="H148" s="542"/>
      <c r="I148" s="562" t="s">
        <v>497</v>
      </c>
      <c r="J148" s="559">
        <f>P148</f>
        <v>15646</v>
      </c>
      <c r="K148" s="542"/>
      <c r="L148" s="542"/>
      <c r="M148" s="542"/>
      <c r="N148" s="542"/>
      <c r="O148" s="542"/>
      <c r="P148" s="560">
        <v>15646</v>
      </c>
      <c r="Q148" s="542"/>
      <c r="R148" s="542"/>
      <c r="S148" s="542">
        <f t="shared" si="59"/>
        <v>46938</v>
      </c>
      <c r="T148" s="542"/>
      <c r="U148" s="542">
        <f t="shared" si="60"/>
        <v>93876</v>
      </c>
      <c r="V148" s="542"/>
      <c r="W148" s="560">
        <v>16346</v>
      </c>
      <c r="X148" s="542">
        <f t="shared" si="61"/>
        <v>140814</v>
      </c>
      <c r="Y148" s="542"/>
      <c r="Z148" s="542"/>
      <c r="AA148" s="560">
        <v>17120</v>
      </c>
      <c r="AB148" s="542">
        <f t="shared" si="62"/>
        <v>187752</v>
      </c>
      <c r="AC148" s="578"/>
      <c r="AD148" s="522">
        <v>0.04</v>
      </c>
      <c r="AE148" s="523">
        <f t="shared" si="71"/>
        <v>0.04</v>
      </c>
      <c r="AF148" s="524">
        <f t="shared" si="72"/>
        <v>1877.52</v>
      </c>
      <c r="AG148" s="524">
        <f t="shared" si="73"/>
        <v>1877.52</v>
      </c>
      <c r="AH148" s="524">
        <f t="shared" si="74"/>
        <v>5632.56</v>
      </c>
      <c r="AI148" s="524">
        <f t="shared" si="75"/>
        <v>7510.08</v>
      </c>
      <c r="AJ148" s="524">
        <f t="shared" si="63"/>
        <v>45060.480000000003</v>
      </c>
      <c r="AK148" s="524">
        <f t="shared" si="76"/>
        <v>91998.48</v>
      </c>
      <c r="AL148" s="524">
        <f t="shared" si="77"/>
        <v>135181.44</v>
      </c>
      <c r="AM148" s="524">
        <f t="shared" si="78"/>
        <v>180241.92000000001</v>
      </c>
      <c r="AN148" s="537">
        <f t="shared" si="64"/>
        <v>10071.205032000002</v>
      </c>
      <c r="AO148" s="537">
        <f t="shared" si="65"/>
        <v>20397.565031999999</v>
      </c>
      <c r="AP148" s="537">
        <f t="shared" si="66"/>
        <v>30213.615095999998</v>
      </c>
      <c r="AQ148" s="537">
        <f t="shared" si="67"/>
        <v>40284.820128000007</v>
      </c>
      <c r="AR148" s="523">
        <f t="shared" si="68"/>
        <v>469380</v>
      </c>
      <c r="AS148" s="523">
        <f t="shared" si="69"/>
        <v>39115</v>
      </c>
      <c r="AU148" s="539">
        <v>8.4099999999999994E-2</v>
      </c>
      <c r="AV148" s="540">
        <v>0.22</v>
      </c>
    </row>
    <row r="149" spans="1:48" ht="15.75" hidden="1">
      <c r="A149" s="313" t="s">
        <v>826</v>
      </c>
      <c r="B149" s="314" t="s">
        <v>784</v>
      </c>
      <c r="C149" s="314" t="s">
        <v>797</v>
      </c>
      <c r="D149" s="315" t="s">
        <v>824</v>
      </c>
      <c r="E149" s="312"/>
      <c r="F149" s="312"/>
      <c r="G149" s="558">
        <v>1</v>
      </c>
      <c r="H149" s="542"/>
      <c r="I149" s="562" t="s">
        <v>497</v>
      </c>
      <c r="J149" s="559">
        <f>P149</f>
        <v>15646</v>
      </c>
      <c r="K149" s="542"/>
      <c r="L149" s="542"/>
      <c r="M149" s="542"/>
      <c r="N149" s="542"/>
      <c r="O149" s="542"/>
      <c r="P149" s="560">
        <v>15646</v>
      </c>
      <c r="Q149" s="542"/>
      <c r="R149" s="542"/>
      <c r="S149" s="542">
        <f t="shared" si="59"/>
        <v>46938</v>
      </c>
      <c r="T149" s="542"/>
      <c r="U149" s="542">
        <f t="shared" si="60"/>
        <v>93876</v>
      </c>
      <c r="V149" s="542"/>
      <c r="W149" s="560">
        <v>16346</v>
      </c>
      <c r="X149" s="542">
        <f t="shared" si="61"/>
        <v>140814</v>
      </c>
      <c r="Y149" s="542"/>
      <c r="Z149" s="542"/>
      <c r="AA149" s="560">
        <v>17120</v>
      </c>
      <c r="AB149" s="542">
        <f t="shared" si="62"/>
        <v>187752</v>
      </c>
      <c r="AC149" s="578"/>
      <c r="AD149" s="522">
        <v>0.04</v>
      </c>
      <c r="AE149" s="523">
        <f t="shared" si="71"/>
        <v>0.04</v>
      </c>
      <c r="AF149" s="524">
        <f t="shared" si="72"/>
        <v>1877.52</v>
      </c>
      <c r="AG149" s="524">
        <f t="shared" si="73"/>
        <v>1877.52</v>
      </c>
      <c r="AH149" s="524">
        <f t="shared" si="74"/>
        <v>5632.56</v>
      </c>
      <c r="AI149" s="524">
        <f t="shared" si="75"/>
        <v>7510.08</v>
      </c>
      <c r="AJ149" s="524">
        <f t="shared" si="63"/>
        <v>45060.480000000003</v>
      </c>
      <c r="AK149" s="524">
        <f t="shared" si="76"/>
        <v>91998.48</v>
      </c>
      <c r="AL149" s="524">
        <f t="shared" si="77"/>
        <v>135181.44</v>
      </c>
      <c r="AM149" s="524">
        <f t="shared" si="78"/>
        <v>180241.92000000001</v>
      </c>
      <c r="AN149" s="537">
        <f t="shared" si="64"/>
        <v>10071.205032000002</v>
      </c>
      <c r="AO149" s="537">
        <f t="shared" si="65"/>
        <v>20397.565031999999</v>
      </c>
      <c r="AP149" s="537">
        <f t="shared" si="66"/>
        <v>30213.615095999998</v>
      </c>
      <c r="AQ149" s="537">
        <f t="shared" si="67"/>
        <v>40284.820128000007</v>
      </c>
      <c r="AR149" s="523">
        <f t="shared" si="68"/>
        <v>469380</v>
      </c>
      <c r="AS149" s="523">
        <f t="shared" si="69"/>
        <v>39115</v>
      </c>
      <c r="AU149" s="539">
        <v>8.4099999999999994E-2</v>
      </c>
      <c r="AV149" s="540">
        <v>0.22</v>
      </c>
    </row>
    <row r="150" spans="1:48" ht="15.75" hidden="1">
      <c r="A150" s="313" t="s">
        <v>827</v>
      </c>
      <c r="B150" s="314" t="s">
        <v>784</v>
      </c>
      <c r="C150" s="314" t="s">
        <v>810</v>
      </c>
      <c r="D150" s="315" t="s">
        <v>803</v>
      </c>
      <c r="E150" s="312"/>
      <c r="F150" s="312"/>
      <c r="G150" s="558">
        <v>1</v>
      </c>
      <c r="H150" s="542"/>
      <c r="I150" s="562" t="s">
        <v>497</v>
      </c>
      <c r="J150" s="559">
        <f>P150</f>
        <v>12604.800000000001</v>
      </c>
      <c r="K150" s="542"/>
      <c r="L150" s="542"/>
      <c r="M150" s="542"/>
      <c r="N150" s="542"/>
      <c r="O150" s="542"/>
      <c r="P150" s="560">
        <f>12120*1.04</f>
        <v>12604.800000000001</v>
      </c>
      <c r="Q150" s="542"/>
      <c r="R150" s="542"/>
      <c r="S150" s="542">
        <f t="shared" si="59"/>
        <v>37814.400000000001</v>
      </c>
      <c r="T150" s="542"/>
      <c r="U150" s="542">
        <f t="shared" si="60"/>
        <v>75628.800000000003</v>
      </c>
      <c r="V150" s="542"/>
      <c r="W150" s="560">
        <v>10664</v>
      </c>
      <c r="X150" s="542">
        <f t="shared" si="61"/>
        <v>113443.20000000001</v>
      </c>
      <c r="Y150" s="542"/>
      <c r="Z150" s="542"/>
      <c r="AA150" s="560">
        <v>11169</v>
      </c>
      <c r="AB150" s="542">
        <f t="shared" si="62"/>
        <v>151257.60000000001</v>
      </c>
      <c r="AC150" s="578"/>
      <c r="AD150" s="522">
        <v>0.04</v>
      </c>
      <c r="AE150" s="523">
        <f t="shared" si="71"/>
        <v>0.04</v>
      </c>
      <c r="AF150" s="524">
        <f t="shared" si="72"/>
        <v>1512.576</v>
      </c>
      <c r="AG150" s="524">
        <f t="shared" si="73"/>
        <v>1512.576</v>
      </c>
      <c r="AH150" s="524">
        <f t="shared" si="74"/>
        <v>4537.728000000001</v>
      </c>
      <c r="AI150" s="524">
        <f t="shared" si="75"/>
        <v>6050.3040000000001</v>
      </c>
      <c r="AJ150" s="524">
        <f t="shared" si="63"/>
        <v>36301.824000000001</v>
      </c>
      <c r="AK150" s="524">
        <f t="shared" si="76"/>
        <v>74116.224000000002</v>
      </c>
      <c r="AL150" s="524">
        <f t="shared" si="77"/>
        <v>108905.47200000001</v>
      </c>
      <c r="AM150" s="524">
        <f t="shared" si="78"/>
        <v>145207.296</v>
      </c>
      <c r="AN150" s="537">
        <f t="shared" si="64"/>
        <v>8113.6089216</v>
      </c>
      <c r="AO150" s="537">
        <f t="shared" si="65"/>
        <v>16432.776921600002</v>
      </c>
      <c r="AP150" s="537">
        <f t="shared" si="66"/>
        <v>24340.826764800004</v>
      </c>
      <c r="AQ150" s="537">
        <f t="shared" si="67"/>
        <v>32454.4356864</v>
      </c>
      <c r="AR150" s="523">
        <f t="shared" si="68"/>
        <v>378144</v>
      </c>
      <c r="AS150" s="523">
        <f t="shared" si="69"/>
        <v>31512</v>
      </c>
      <c r="AU150" s="539">
        <v>8.4099999999999994E-2</v>
      </c>
      <c r="AV150" s="540">
        <v>0.22</v>
      </c>
    </row>
    <row r="151" spans="1:48" ht="15.75" hidden="1">
      <c r="A151" s="317" t="s">
        <v>828</v>
      </c>
      <c r="B151" s="314" t="s">
        <v>784</v>
      </c>
      <c r="C151" s="314" t="s">
        <v>810</v>
      </c>
      <c r="D151" s="315" t="s">
        <v>824</v>
      </c>
      <c r="E151" s="312"/>
      <c r="F151" s="312"/>
      <c r="G151" s="558">
        <v>1</v>
      </c>
      <c r="H151" s="542"/>
      <c r="I151" s="562" t="s">
        <v>497</v>
      </c>
      <c r="J151" s="559">
        <f t="shared" ref="J151:J157" si="79">P151</f>
        <v>10435</v>
      </c>
      <c r="K151" s="542"/>
      <c r="L151" s="542"/>
      <c r="M151" s="542"/>
      <c r="N151" s="542"/>
      <c r="O151" s="542"/>
      <c r="P151" s="560">
        <v>10435</v>
      </c>
      <c r="Q151" s="542"/>
      <c r="R151" s="542"/>
      <c r="S151" s="542">
        <f t="shared" si="59"/>
        <v>31305</v>
      </c>
      <c r="T151" s="542"/>
      <c r="U151" s="542">
        <f t="shared" si="60"/>
        <v>62610</v>
      </c>
      <c r="V151" s="542"/>
      <c r="W151" s="560">
        <v>10902</v>
      </c>
      <c r="X151" s="542">
        <f t="shared" si="61"/>
        <v>93915</v>
      </c>
      <c r="Y151" s="542"/>
      <c r="Z151" s="542"/>
      <c r="AA151" s="560">
        <v>11418</v>
      </c>
      <c r="AB151" s="542">
        <f t="shared" si="62"/>
        <v>125220</v>
      </c>
      <c r="AC151" s="578"/>
      <c r="AD151" s="522">
        <v>0.04</v>
      </c>
      <c r="AE151" s="523">
        <f t="shared" si="71"/>
        <v>0.04</v>
      </c>
      <c r="AF151" s="524">
        <f t="shared" si="72"/>
        <v>1252.2</v>
      </c>
      <c r="AG151" s="524">
        <f t="shared" si="73"/>
        <v>1252.2</v>
      </c>
      <c r="AH151" s="524">
        <f t="shared" si="74"/>
        <v>3756.6</v>
      </c>
      <c r="AI151" s="524">
        <f t="shared" si="75"/>
        <v>5008.8</v>
      </c>
      <c r="AJ151" s="524">
        <f t="shared" si="63"/>
        <v>30052.799999999999</v>
      </c>
      <c r="AK151" s="524">
        <f t="shared" si="76"/>
        <v>61357.8</v>
      </c>
      <c r="AL151" s="524">
        <f t="shared" si="77"/>
        <v>90158.399999999994</v>
      </c>
      <c r="AM151" s="524">
        <f t="shared" si="78"/>
        <v>120211.2</v>
      </c>
      <c r="AN151" s="537">
        <f t="shared" si="64"/>
        <v>6716.9260199999999</v>
      </c>
      <c r="AO151" s="537">
        <f t="shared" si="65"/>
        <v>13604.026020000001</v>
      </c>
      <c r="AP151" s="537">
        <f t="shared" si="66"/>
        <v>20150.778059999997</v>
      </c>
      <c r="AQ151" s="537">
        <f t="shared" si="67"/>
        <v>26867.70408</v>
      </c>
      <c r="AR151" s="523">
        <f t="shared" si="68"/>
        <v>313050</v>
      </c>
      <c r="AS151" s="523">
        <f t="shared" si="69"/>
        <v>26087.5</v>
      </c>
      <c r="AU151" s="539">
        <v>8.4099999999999994E-2</v>
      </c>
      <c r="AV151" s="540">
        <v>0.22</v>
      </c>
    </row>
    <row r="152" spans="1:48" ht="15.75" hidden="1">
      <c r="A152" s="313" t="s">
        <v>829</v>
      </c>
      <c r="B152" s="314" t="s">
        <v>784</v>
      </c>
      <c r="C152" s="314" t="s">
        <v>755</v>
      </c>
      <c r="D152" s="315">
        <v>3115</v>
      </c>
      <c r="E152" s="312"/>
      <c r="F152" s="312"/>
      <c r="G152" s="558">
        <v>1</v>
      </c>
      <c r="H152" s="542"/>
      <c r="I152" s="562" t="s">
        <v>497</v>
      </c>
      <c r="J152" s="559">
        <f t="shared" si="79"/>
        <v>11094</v>
      </c>
      <c r="K152" s="542"/>
      <c r="L152" s="542"/>
      <c r="M152" s="542"/>
      <c r="N152" s="542"/>
      <c r="O152" s="542"/>
      <c r="P152" s="560">
        <v>11094</v>
      </c>
      <c r="Q152" s="542"/>
      <c r="R152" s="542"/>
      <c r="S152" s="542">
        <f t="shared" si="59"/>
        <v>33282</v>
      </c>
      <c r="T152" s="542"/>
      <c r="U152" s="542">
        <f t="shared" si="60"/>
        <v>66564</v>
      </c>
      <c r="V152" s="542"/>
      <c r="W152" s="560">
        <v>11094</v>
      </c>
      <c r="X152" s="542">
        <f t="shared" si="61"/>
        <v>99846</v>
      </c>
      <c r="Y152" s="542"/>
      <c r="Z152" s="542"/>
      <c r="AA152" s="560">
        <v>11619</v>
      </c>
      <c r="AB152" s="542">
        <f t="shared" si="62"/>
        <v>133128</v>
      </c>
      <c r="AC152" s="578"/>
      <c r="AD152" s="522">
        <v>0.04</v>
      </c>
      <c r="AE152" s="523">
        <f t="shared" si="71"/>
        <v>0.04</v>
      </c>
      <c r="AF152" s="524">
        <f t="shared" si="72"/>
        <v>1331.28</v>
      </c>
      <c r="AG152" s="524">
        <f t="shared" si="73"/>
        <v>1331.28</v>
      </c>
      <c r="AH152" s="524">
        <f t="shared" si="74"/>
        <v>3993.84</v>
      </c>
      <c r="AI152" s="524">
        <f t="shared" si="75"/>
        <v>5325.12</v>
      </c>
      <c r="AJ152" s="524">
        <f t="shared" si="63"/>
        <v>31950.720000000001</v>
      </c>
      <c r="AK152" s="524">
        <f t="shared" si="76"/>
        <v>65232.72</v>
      </c>
      <c r="AL152" s="524">
        <f t="shared" si="77"/>
        <v>95852.160000000003</v>
      </c>
      <c r="AM152" s="524">
        <f t="shared" si="78"/>
        <v>127802.88</v>
      </c>
      <c r="AN152" s="537">
        <f t="shared" si="64"/>
        <v>7141.1190480000005</v>
      </c>
      <c r="AO152" s="537">
        <f t="shared" si="65"/>
        <v>14463.159048000001</v>
      </c>
      <c r="AP152" s="537">
        <f t="shared" si="66"/>
        <v>21423.357144000001</v>
      </c>
      <c r="AQ152" s="537">
        <f t="shared" si="67"/>
        <v>28564.476192000002</v>
      </c>
      <c r="AR152" s="523">
        <f t="shared" si="68"/>
        <v>332820</v>
      </c>
      <c r="AS152" s="523">
        <f t="shared" si="69"/>
        <v>27735</v>
      </c>
      <c r="AU152" s="539">
        <v>8.4099999999999994E-2</v>
      </c>
      <c r="AV152" s="540">
        <v>0.22</v>
      </c>
    </row>
    <row r="153" spans="1:48" ht="15.75" hidden="1">
      <c r="A153" s="313" t="s">
        <v>830</v>
      </c>
      <c r="B153" s="314" t="s">
        <v>784</v>
      </c>
      <c r="C153" s="314" t="s">
        <v>755</v>
      </c>
      <c r="D153" s="315">
        <v>3119</v>
      </c>
      <c r="E153" s="312"/>
      <c r="F153" s="312"/>
      <c r="G153" s="558">
        <v>1</v>
      </c>
      <c r="H153" s="542"/>
      <c r="I153" s="562" t="s">
        <v>497</v>
      </c>
      <c r="J153" s="559">
        <f t="shared" si="79"/>
        <v>9763</v>
      </c>
      <c r="K153" s="542"/>
      <c r="L153" s="542"/>
      <c r="M153" s="542"/>
      <c r="N153" s="542"/>
      <c r="O153" s="542"/>
      <c r="P153" s="560">
        <v>9763</v>
      </c>
      <c r="Q153" s="542"/>
      <c r="R153" s="542"/>
      <c r="S153" s="542">
        <f>P153*3</f>
        <v>29289</v>
      </c>
      <c r="T153" s="542"/>
      <c r="U153" s="542">
        <f t="shared" si="60"/>
        <v>58578</v>
      </c>
      <c r="V153" s="542"/>
      <c r="W153" s="560">
        <v>10200</v>
      </c>
      <c r="X153" s="542">
        <f t="shared" si="61"/>
        <v>87867</v>
      </c>
      <c r="Y153" s="542"/>
      <c r="Z153" s="542"/>
      <c r="AA153" s="560">
        <v>10683</v>
      </c>
      <c r="AB153" s="542">
        <f t="shared" si="62"/>
        <v>117156</v>
      </c>
      <c r="AC153" s="578"/>
      <c r="AD153" s="522">
        <v>0.04</v>
      </c>
      <c r="AE153" s="523">
        <f t="shared" si="71"/>
        <v>0.04</v>
      </c>
      <c r="AF153" s="524">
        <f t="shared" si="72"/>
        <v>1171.56</v>
      </c>
      <c r="AG153" s="524">
        <f t="shared" si="73"/>
        <v>1171.56</v>
      </c>
      <c r="AH153" s="524">
        <f t="shared" si="74"/>
        <v>3514.6800000000003</v>
      </c>
      <c r="AI153" s="524">
        <f t="shared" si="75"/>
        <v>4686.24</v>
      </c>
      <c r="AJ153" s="524">
        <f t="shared" si="63"/>
        <v>28117.439999999999</v>
      </c>
      <c r="AK153" s="524">
        <f t="shared" si="76"/>
        <v>57406.44</v>
      </c>
      <c r="AL153" s="524">
        <f t="shared" si="77"/>
        <v>84352.320000000007</v>
      </c>
      <c r="AM153" s="524">
        <f t="shared" si="78"/>
        <v>112469.75999999999</v>
      </c>
      <c r="AN153" s="537">
        <f t="shared" si="64"/>
        <v>6284.3649960000002</v>
      </c>
      <c r="AO153" s="537">
        <f t="shared" si="65"/>
        <v>12727.944996</v>
      </c>
      <c r="AP153" s="537">
        <f t="shared" si="66"/>
        <v>18853.094988000004</v>
      </c>
      <c r="AQ153" s="537">
        <f t="shared" si="67"/>
        <v>25137.459984000001</v>
      </c>
      <c r="AR153" s="523">
        <f t="shared" si="68"/>
        <v>292890</v>
      </c>
      <c r="AS153" s="523">
        <f t="shared" si="69"/>
        <v>24407.5</v>
      </c>
      <c r="AU153" s="539">
        <v>8.4099999999999994E-2</v>
      </c>
      <c r="AV153" s="540">
        <v>0.22</v>
      </c>
    </row>
    <row r="154" spans="1:48" ht="15.75" hidden="1">
      <c r="A154" s="313" t="s">
        <v>831</v>
      </c>
      <c r="B154" s="314" t="s">
        <v>784</v>
      </c>
      <c r="C154" s="314" t="s">
        <v>755</v>
      </c>
      <c r="D154" s="315">
        <v>3119</v>
      </c>
      <c r="E154" s="312"/>
      <c r="F154" s="312"/>
      <c r="G154" s="558">
        <v>1</v>
      </c>
      <c r="H154" s="542"/>
      <c r="I154" s="562" t="s">
        <v>497</v>
      </c>
      <c r="J154" s="559">
        <f t="shared" si="79"/>
        <v>8432</v>
      </c>
      <c r="K154" s="542"/>
      <c r="L154" s="542"/>
      <c r="M154" s="542"/>
      <c r="N154" s="542"/>
      <c r="O154" s="542"/>
      <c r="P154" s="560">
        <v>8432</v>
      </c>
      <c r="Q154" s="542"/>
      <c r="R154" s="542"/>
      <c r="S154" s="542">
        <f t="shared" si="59"/>
        <v>25296</v>
      </c>
      <c r="T154" s="542"/>
      <c r="U154" s="542">
        <f t="shared" si="60"/>
        <v>50592</v>
      </c>
      <c r="V154" s="542"/>
      <c r="W154" s="560">
        <v>8810</v>
      </c>
      <c r="X154" s="542">
        <f t="shared" si="61"/>
        <v>75888</v>
      </c>
      <c r="Y154" s="542"/>
      <c r="Z154" s="542"/>
      <c r="AA154" s="560">
        <v>9227</v>
      </c>
      <c r="AB154" s="542">
        <f t="shared" si="62"/>
        <v>101184</v>
      </c>
      <c r="AC154" s="578"/>
      <c r="AD154" s="522">
        <v>0.04</v>
      </c>
      <c r="AE154" s="523">
        <f t="shared" si="71"/>
        <v>0.04</v>
      </c>
      <c r="AF154" s="524">
        <f t="shared" si="72"/>
        <v>1011.84</v>
      </c>
      <c r="AG154" s="524">
        <f t="shared" si="73"/>
        <v>1011.84</v>
      </c>
      <c r="AH154" s="524">
        <f t="shared" si="74"/>
        <v>3035.52</v>
      </c>
      <c r="AI154" s="524">
        <f t="shared" si="75"/>
        <v>4047.36</v>
      </c>
      <c r="AJ154" s="524">
        <f t="shared" si="63"/>
        <v>24284.16</v>
      </c>
      <c r="AK154" s="524">
        <f t="shared" si="76"/>
        <v>49580.160000000003</v>
      </c>
      <c r="AL154" s="524">
        <f t="shared" si="77"/>
        <v>72852.479999999996</v>
      </c>
      <c r="AM154" s="524">
        <f t="shared" si="78"/>
        <v>97136.639999999999</v>
      </c>
      <c r="AN154" s="537">
        <f t="shared" si="64"/>
        <v>5427.610944</v>
      </c>
      <c r="AO154" s="537">
        <f t="shared" si="65"/>
        <v>10992.730944000001</v>
      </c>
      <c r="AP154" s="537">
        <f t="shared" si="66"/>
        <v>16282.832832</v>
      </c>
      <c r="AQ154" s="537">
        <f t="shared" si="67"/>
        <v>21710.443776</v>
      </c>
      <c r="AR154" s="523">
        <f t="shared" si="68"/>
        <v>252960</v>
      </c>
      <c r="AS154" s="523">
        <f t="shared" si="69"/>
        <v>21080</v>
      </c>
      <c r="AU154" s="539">
        <v>8.4099999999999994E-2</v>
      </c>
      <c r="AV154" s="540">
        <v>0.22</v>
      </c>
    </row>
    <row r="155" spans="1:48" ht="15.75" hidden="1">
      <c r="A155" s="313" t="s">
        <v>832</v>
      </c>
      <c r="B155" s="314" t="s">
        <v>784</v>
      </c>
      <c r="C155" s="314" t="s">
        <v>755</v>
      </c>
      <c r="D155" s="315">
        <v>3119</v>
      </c>
      <c r="E155" s="312"/>
      <c r="F155" s="312"/>
      <c r="G155" s="558">
        <v>3</v>
      </c>
      <c r="H155" s="542"/>
      <c r="I155" s="562" t="s">
        <v>497</v>
      </c>
      <c r="J155" s="559">
        <f t="shared" si="79"/>
        <v>24229</v>
      </c>
      <c r="K155" s="542"/>
      <c r="L155" s="542"/>
      <c r="M155" s="542"/>
      <c r="N155" s="542"/>
      <c r="O155" s="542"/>
      <c r="P155" s="560">
        <v>24229</v>
      </c>
      <c r="Q155" s="542"/>
      <c r="R155" s="542"/>
      <c r="S155" s="542">
        <f t="shared" si="59"/>
        <v>72687</v>
      </c>
      <c r="T155" s="542"/>
      <c r="U155" s="542">
        <f t="shared" si="60"/>
        <v>145374</v>
      </c>
      <c r="V155" s="542"/>
      <c r="W155" s="560">
        <v>25315</v>
      </c>
      <c r="X155" s="542">
        <f t="shared" si="61"/>
        <v>218061</v>
      </c>
      <c r="Y155" s="542"/>
      <c r="Z155" s="542"/>
      <c r="AA155" s="560">
        <v>26513</v>
      </c>
      <c r="AB155" s="542">
        <f t="shared" si="62"/>
        <v>290748</v>
      </c>
      <c r="AC155" s="578"/>
      <c r="AD155" s="522">
        <v>0.04</v>
      </c>
      <c r="AE155" s="523">
        <f t="shared" si="71"/>
        <v>0.12</v>
      </c>
      <c r="AF155" s="524">
        <f t="shared" si="72"/>
        <v>2907.48</v>
      </c>
      <c r="AG155" s="524">
        <f t="shared" si="73"/>
        <v>2907.48</v>
      </c>
      <c r="AH155" s="524">
        <f t="shared" si="74"/>
        <v>8722.44</v>
      </c>
      <c r="AI155" s="524">
        <f t="shared" si="75"/>
        <v>11629.92</v>
      </c>
      <c r="AJ155" s="524">
        <f t="shared" si="63"/>
        <v>69779.520000000004</v>
      </c>
      <c r="AK155" s="524">
        <f t="shared" si="76"/>
        <v>142466.51999999999</v>
      </c>
      <c r="AL155" s="524">
        <f t="shared" si="77"/>
        <v>209338.56</v>
      </c>
      <c r="AM155" s="524">
        <f t="shared" si="78"/>
        <v>279118.08000000002</v>
      </c>
      <c r="AN155" s="537">
        <f t="shared" si="64"/>
        <v>15596.013468000001</v>
      </c>
      <c r="AO155" s="537">
        <f t="shared" si="65"/>
        <v>31587.153468</v>
      </c>
      <c r="AP155" s="537">
        <f t="shared" si="66"/>
        <v>46788.040403999999</v>
      </c>
      <c r="AQ155" s="537">
        <f t="shared" si="67"/>
        <v>62384.053872000004</v>
      </c>
      <c r="AR155" s="523">
        <f t="shared" si="68"/>
        <v>726870</v>
      </c>
      <c r="AS155" s="523">
        <f t="shared" si="69"/>
        <v>20190.833333333332</v>
      </c>
      <c r="AU155" s="539">
        <v>8.4099999999999994E-2</v>
      </c>
      <c r="AV155" s="540">
        <v>0.22</v>
      </c>
    </row>
    <row r="156" spans="1:48" ht="15.75" hidden="1">
      <c r="A156" s="313" t="s">
        <v>833</v>
      </c>
      <c r="B156" s="314" t="s">
        <v>784</v>
      </c>
      <c r="C156" s="314" t="s">
        <v>755</v>
      </c>
      <c r="D156" s="315">
        <v>3115</v>
      </c>
      <c r="E156" s="312"/>
      <c r="F156" s="312"/>
      <c r="G156" s="558">
        <v>3</v>
      </c>
      <c r="H156" s="542"/>
      <c r="I156" s="562" t="s">
        <v>497</v>
      </c>
      <c r="J156" s="559">
        <f t="shared" si="79"/>
        <v>24229</v>
      </c>
      <c r="K156" s="542"/>
      <c r="L156" s="542"/>
      <c r="M156" s="542"/>
      <c r="N156" s="542"/>
      <c r="O156" s="542"/>
      <c r="P156" s="560">
        <v>24229</v>
      </c>
      <c r="Q156" s="542"/>
      <c r="R156" s="542"/>
      <c r="S156" s="542">
        <f t="shared" si="59"/>
        <v>72687</v>
      </c>
      <c r="T156" s="542"/>
      <c r="U156" s="542">
        <f t="shared" si="60"/>
        <v>145374</v>
      </c>
      <c r="V156" s="542"/>
      <c r="W156" s="560">
        <v>25315</v>
      </c>
      <c r="X156" s="542">
        <f t="shared" si="61"/>
        <v>218061</v>
      </c>
      <c r="Y156" s="542"/>
      <c r="Z156" s="542"/>
      <c r="AA156" s="560">
        <v>26513</v>
      </c>
      <c r="AB156" s="542">
        <f t="shared" si="62"/>
        <v>290748</v>
      </c>
      <c r="AC156" s="578"/>
      <c r="AD156" s="522">
        <v>0.04</v>
      </c>
      <c r="AE156" s="523">
        <f t="shared" si="71"/>
        <v>0.12</v>
      </c>
      <c r="AF156" s="524">
        <f t="shared" si="72"/>
        <v>2907.48</v>
      </c>
      <c r="AG156" s="524">
        <f t="shared" si="73"/>
        <v>2907.48</v>
      </c>
      <c r="AH156" s="524">
        <f t="shared" si="74"/>
        <v>8722.44</v>
      </c>
      <c r="AI156" s="524">
        <f t="shared" si="75"/>
        <v>11629.92</v>
      </c>
      <c r="AJ156" s="524">
        <f t="shared" si="63"/>
        <v>69779.520000000004</v>
      </c>
      <c r="AK156" s="524">
        <f t="shared" si="76"/>
        <v>142466.51999999999</v>
      </c>
      <c r="AL156" s="524">
        <f t="shared" si="77"/>
        <v>209338.56</v>
      </c>
      <c r="AM156" s="524">
        <f t="shared" si="78"/>
        <v>279118.08000000002</v>
      </c>
      <c r="AN156" s="537">
        <f t="shared" si="64"/>
        <v>15596.013468000001</v>
      </c>
      <c r="AO156" s="537">
        <f t="shared" si="65"/>
        <v>31587.153468</v>
      </c>
      <c r="AP156" s="537">
        <f t="shared" si="66"/>
        <v>46788.040403999999</v>
      </c>
      <c r="AQ156" s="537">
        <f t="shared" si="67"/>
        <v>62384.053872000004</v>
      </c>
      <c r="AR156" s="523">
        <f t="shared" si="68"/>
        <v>726870</v>
      </c>
      <c r="AS156" s="523">
        <f t="shared" si="69"/>
        <v>20190.833333333332</v>
      </c>
      <c r="AU156" s="539">
        <v>8.4099999999999994E-2</v>
      </c>
      <c r="AV156" s="540">
        <v>0.22</v>
      </c>
    </row>
    <row r="157" spans="1:48" ht="15.75" hidden="1">
      <c r="A157" s="313" t="s">
        <v>834</v>
      </c>
      <c r="B157" s="314" t="s">
        <v>784</v>
      </c>
      <c r="C157" s="314" t="s">
        <v>809</v>
      </c>
      <c r="D157" s="315">
        <v>3119</v>
      </c>
      <c r="E157" s="312"/>
      <c r="F157" s="312"/>
      <c r="G157" s="558">
        <v>1</v>
      </c>
      <c r="H157" s="542"/>
      <c r="I157" s="562" t="s">
        <v>497</v>
      </c>
      <c r="J157" s="559">
        <f t="shared" si="79"/>
        <v>11094</v>
      </c>
      <c r="K157" s="542"/>
      <c r="L157" s="542"/>
      <c r="M157" s="542"/>
      <c r="N157" s="542"/>
      <c r="O157" s="542"/>
      <c r="P157" s="560">
        <v>11094</v>
      </c>
      <c r="Q157" s="542"/>
      <c r="R157" s="542"/>
      <c r="S157" s="542">
        <f t="shared" si="59"/>
        <v>33282</v>
      </c>
      <c r="T157" s="542"/>
      <c r="U157" s="542">
        <f t="shared" si="60"/>
        <v>66564</v>
      </c>
      <c r="V157" s="542"/>
      <c r="W157" s="560">
        <v>11619</v>
      </c>
      <c r="X157" s="542">
        <f t="shared" si="61"/>
        <v>99846</v>
      </c>
      <c r="Y157" s="542"/>
      <c r="Z157" s="542"/>
      <c r="AA157" s="560">
        <v>11619</v>
      </c>
      <c r="AB157" s="542">
        <f t="shared" si="62"/>
        <v>133128</v>
      </c>
      <c r="AC157" s="578"/>
      <c r="AD157" s="522">
        <v>0.04</v>
      </c>
      <c r="AE157" s="523">
        <f t="shared" si="71"/>
        <v>0.04</v>
      </c>
      <c r="AF157" s="524">
        <f t="shared" si="72"/>
        <v>1331.28</v>
      </c>
      <c r="AG157" s="524">
        <f t="shared" si="73"/>
        <v>1331.28</v>
      </c>
      <c r="AH157" s="524">
        <f t="shared" si="74"/>
        <v>3993.84</v>
      </c>
      <c r="AI157" s="524">
        <f t="shared" si="75"/>
        <v>5325.12</v>
      </c>
      <c r="AJ157" s="524">
        <f t="shared" si="63"/>
        <v>31950.720000000001</v>
      </c>
      <c r="AK157" s="524">
        <f t="shared" si="76"/>
        <v>65232.72</v>
      </c>
      <c r="AL157" s="524">
        <f t="shared" si="77"/>
        <v>95852.160000000003</v>
      </c>
      <c r="AM157" s="524">
        <f t="shared" si="78"/>
        <v>127802.88</v>
      </c>
      <c r="AN157" s="537">
        <f t="shared" si="64"/>
        <v>7141.1190480000005</v>
      </c>
      <c r="AO157" s="537">
        <f t="shared" si="65"/>
        <v>14463.159048000001</v>
      </c>
      <c r="AP157" s="537">
        <f t="shared" si="66"/>
        <v>21423.357144000001</v>
      </c>
      <c r="AQ157" s="537">
        <f t="shared" si="67"/>
        <v>28564.476192000002</v>
      </c>
      <c r="AR157" s="523">
        <f t="shared" si="68"/>
        <v>332820</v>
      </c>
      <c r="AS157" s="523">
        <f t="shared" si="69"/>
        <v>27735</v>
      </c>
      <c r="AU157" s="539">
        <v>8.4099999999999994E-2</v>
      </c>
      <c r="AV157" s="540">
        <v>0.22</v>
      </c>
    </row>
    <row r="158" spans="1:48" ht="15.75">
      <c r="A158" s="313" t="s">
        <v>477</v>
      </c>
      <c r="B158" s="314" t="s">
        <v>783</v>
      </c>
      <c r="C158" s="314" t="s">
        <v>797</v>
      </c>
      <c r="D158" s="315" t="s">
        <v>807</v>
      </c>
      <c r="E158" s="312"/>
      <c r="F158" s="312"/>
      <c r="G158" s="558">
        <v>1</v>
      </c>
      <c r="H158" s="542"/>
      <c r="I158" s="562" t="s">
        <v>512</v>
      </c>
      <c r="J158" s="559">
        <f t="shared" ref="J158:J171" si="80">P158</f>
        <v>20869</v>
      </c>
      <c r="K158" s="542"/>
      <c r="L158" s="542"/>
      <c r="M158" s="542"/>
      <c r="N158" s="542"/>
      <c r="O158" s="542"/>
      <c r="P158" s="560">
        <v>20869</v>
      </c>
      <c r="Q158" s="542"/>
      <c r="R158" s="542"/>
      <c r="S158" s="542">
        <f t="shared" si="59"/>
        <v>62607</v>
      </c>
      <c r="T158" s="542"/>
      <c r="U158" s="542">
        <f t="shared" si="60"/>
        <v>125214</v>
      </c>
      <c r="V158" s="542"/>
      <c r="W158" s="560">
        <v>21803</v>
      </c>
      <c r="X158" s="542">
        <f t="shared" si="61"/>
        <v>187821</v>
      </c>
      <c r="Y158" s="542"/>
      <c r="Z158" s="542"/>
      <c r="AA158" s="560">
        <v>22835</v>
      </c>
      <c r="AB158" s="542">
        <f t="shared" si="62"/>
        <v>250428</v>
      </c>
      <c r="AC158" s="578"/>
      <c r="AD158" s="522">
        <v>0.04</v>
      </c>
      <c r="AE158" s="523">
        <f t="shared" si="71"/>
        <v>0.04</v>
      </c>
      <c r="AF158" s="524">
        <f t="shared" si="72"/>
        <v>2504.2800000000002</v>
      </c>
      <c r="AG158" s="524">
        <f t="shared" si="73"/>
        <v>2504.2800000000002</v>
      </c>
      <c r="AH158" s="524">
        <f t="shared" si="74"/>
        <v>7512.84</v>
      </c>
      <c r="AI158" s="524">
        <f t="shared" si="75"/>
        <v>10017.120000000001</v>
      </c>
      <c r="AJ158" s="524">
        <f t="shared" si="63"/>
        <v>60102.720000000001</v>
      </c>
      <c r="AK158" s="524">
        <f t="shared" si="76"/>
        <v>122709.72</v>
      </c>
      <c r="AL158" s="524">
        <f t="shared" si="77"/>
        <v>180308.16</v>
      </c>
      <c r="AM158" s="524">
        <f t="shared" si="78"/>
        <v>240410.88</v>
      </c>
      <c r="AN158" s="537">
        <f t="shared" si="64"/>
        <v>13433.208348</v>
      </c>
      <c r="AO158" s="537">
        <f t="shared" si="65"/>
        <v>27206.748348000001</v>
      </c>
      <c r="AP158" s="537">
        <f t="shared" si="66"/>
        <v>40299.625044</v>
      </c>
      <c r="AQ158" s="537">
        <f t="shared" si="67"/>
        <v>53732.833392</v>
      </c>
      <c r="AR158" s="523">
        <f t="shared" si="68"/>
        <v>626070</v>
      </c>
      <c r="AS158" s="523">
        <f t="shared" si="69"/>
        <v>52172.5</v>
      </c>
      <c r="AU158" s="539">
        <v>8.4099999999999994E-2</v>
      </c>
      <c r="AV158" s="540">
        <v>0.22</v>
      </c>
    </row>
    <row r="159" spans="1:48" ht="15.75">
      <c r="A159" s="313" t="s">
        <v>835</v>
      </c>
      <c r="B159" s="314" t="s">
        <v>783</v>
      </c>
      <c r="C159" s="314" t="s">
        <v>810</v>
      </c>
      <c r="D159" s="315" t="s">
        <v>836</v>
      </c>
      <c r="E159" s="312"/>
      <c r="F159" s="312"/>
      <c r="G159" s="558">
        <v>1</v>
      </c>
      <c r="H159" s="542"/>
      <c r="I159" s="562" t="s">
        <v>512</v>
      </c>
      <c r="J159" s="559">
        <f t="shared" si="80"/>
        <v>17572</v>
      </c>
      <c r="K159" s="542"/>
      <c r="L159" s="542"/>
      <c r="M159" s="542"/>
      <c r="N159" s="542"/>
      <c r="O159" s="542"/>
      <c r="P159" s="560">
        <v>17572</v>
      </c>
      <c r="Q159" s="542"/>
      <c r="R159" s="542"/>
      <c r="S159" s="542">
        <f t="shared" si="59"/>
        <v>52716</v>
      </c>
      <c r="T159" s="542"/>
      <c r="U159" s="542">
        <f t="shared" si="60"/>
        <v>105432</v>
      </c>
      <c r="V159" s="542"/>
      <c r="W159" s="560">
        <v>18359</v>
      </c>
      <c r="X159" s="542">
        <f t="shared" si="61"/>
        <v>158148</v>
      </c>
      <c r="Y159" s="542"/>
      <c r="Z159" s="542"/>
      <c r="AA159" s="560">
        <v>19228</v>
      </c>
      <c r="AB159" s="542">
        <f t="shared" si="62"/>
        <v>210864</v>
      </c>
      <c r="AC159" s="578"/>
      <c r="AD159" s="522">
        <v>0.04</v>
      </c>
      <c r="AE159" s="523">
        <f t="shared" si="71"/>
        <v>0.04</v>
      </c>
      <c r="AF159" s="524">
        <f t="shared" si="72"/>
        <v>2108.64</v>
      </c>
      <c r="AG159" s="524">
        <f t="shared" si="73"/>
        <v>2108.64</v>
      </c>
      <c r="AH159" s="524">
        <f t="shared" si="74"/>
        <v>6325.92</v>
      </c>
      <c r="AI159" s="524">
        <f t="shared" si="75"/>
        <v>8434.56</v>
      </c>
      <c r="AJ159" s="524">
        <f t="shared" si="63"/>
        <v>50607.360000000001</v>
      </c>
      <c r="AK159" s="524">
        <f t="shared" si="76"/>
        <v>103323.36</v>
      </c>
      <c r="AL159" s="524">
        <f t="shared" si="77"/>
        <v>151822.07999999999</v>
      </c>
      <c r="AM159" s="524">
        <f t="shared" si="78"/>
        <v>202429.44</v>
      </c>
      <c r="AN159" s="537">
        <f t="shared" si="64"/>
        <v>11310.955824000001</v>
      </c>
      <c r="AO159" s="537">
        <f t="shared" si="65"/>
        <v>22908.475824000001</v>
      </c>
      <c r="AP159" s="537">
        <f t="shared" si="66"/>
        <v>33932.867471999998</v>
      </c>
      <c r="AQ159" s="537">
        <f t="shared" si="67"/>
        <v>45243.823296000002</v>
      </c>
      <c r="AR159" s="523">
        <f t="shared" si="68"/>
        <v>527160</v>
      </c>
      <c r="AS159" s="523">
        <f t="shared" si="69"/>
        <v>43930</v>
      </c>
      <c r="AU159" s="539">
        <v>8.4099999999999994E-2</v>
      </c>
      <c r="AV159" s="540">
        <v>0.22</v>
      </c>
    </row>
    <row r="160" spans="1:48" ht="15.75">
      <c r="A160" s="313" t="s">
        <v>837</v>
      </c>
      <c r="B160" s="314" t="s">
        <v>783</v>
      </c>
      <c r="C160" s="314" t="s">
        <v>802</v>
      </c>
      <c r="D160" s="315">
        <v>2429</v>
      </c>
      <c r="E160" s="312"/>
      <c r="F160" s="312"/>
      <c r="G160" s="558">
        <v>2</v>
      </c>
      <c r="H160" s="542"/>
      <c r="I160" s="562" t="s">
        <v>512</v>
      </c>
      <c r="J160" s="559">
        <f t="shared" si="80"/>
        <v>20870</v>
      </c>
      <c r="K160" s="542"/>
      <c r="L160" s="542"/>
      <c r="M160" s="542"/>
      <c r="N160" s="542"/>
      <c r="O160" s="542"/>
      <c r="P160" s="560">
        <v>20870</v>
      </c>
      <c r="Q160" s="542"/>
      <c r="R160" s="542"/>
      <c r="S160" s="542">
        <f t="shared" si="59"/>
        <v>62610</v>
      </c>
      <c r="T160" s="542"/>
      <c r="U160" s="542">
        <f t="shared" si="60"/>
        <v>125220</v>
      </c>
      <c r="V160" s="542"/>
      <c r="W160" s="560">
        <v>21804</v>
      </c>
      <c r="X160" s="542">
        <f t="shared" si="61"/>
        <v>187830</v>
      </c>
      <c r="Y160" s="542"/>
      <c r="Z160" s="542"/>
      <c r="AA160" s="560">
        <v>22836</v>
      </c>
      <c r="AB160" s="542">
        <f t="shared" si="62"/>
        <v>250440</v>
      </c>
      <c r="AC160" s="578"/>
      <c r="AD160" s="522">
        <v>0.04</v>
      </c>
      <c r="AE160" s="523">
        <f t="shared" si="71"/>
        <v>0.08</v>
      </c>
      <c r="AF160" s="524">
        <f t="shared" si="72"/>
        <v>2504.4</v>
      </c>
      <c r="AG160" s="524">
        <f t="shared" si="73"/>
        <v>2504.4</v>
      </c>
      <c r="AH160" s="524">
        <f t="shared" si="74"/>
        <v>7513.2</v>
      </c>
      <c r="AI160" s="524">
        <f t="shared" si="75"/>
        <v>10017.6</v>
      </c>
      <c r="AJ160" s="524">
        <f t="shared" si="63"/>
        <v>60105.599999999999</v>
      </c>
      <c r="AK160" s="524">
        <f t="shared" si="76"/>
        <v>122715.6</v>
      </c>
      <c r="AL160" s="524">
        <f t="shared" si="77"/>
        <v>180316.79999999999</v>
      </c>
      <c r="AM160" s="524">
        <f t="shared" si="78"/>
        <v>240422.39999999999</v>
      </c>
      <c r="AN160" s="537">
        <f t="shared" si="64"/>
        <v>13433.85204</v>
      </c>
      <c r="AO160" s="537">
        <f t="shared" si="65"/>
        <v>27208.052040000002</v>
      </c>
      <c r="AP160" s="537">
        <f t="shared" si="66"/>
        <v>40301.556119999994</v>
      </c>
      <c r="AQ160" s="537">
        <f t="shared" si="67"/>
        <v>53735.408159999999</v>
      </c>
      <c r="AR160" s="523">
        <f t="shared" si="68"/>
        <v>626100</v>
      </c>
      <c r="AS160" s="523">
        <f t="shared" si="69"/>
        <v>26087.5</v>
      </c>
      <c r="AU160" s="539">
        <v>8.4099999999999994E-2</v>
      </c>
      <c r="AV160" s="540">
        <v>0.22</v>
      </c>
    </row>
    <row r="161" spans="1:50" ht="15.75">
      <c r="A161" s="313" t="s">
        <v>838</v>
      </c>
      <c r="B161" s="314" t="s">
        <v>783</v>
      </c>
      <c r="C161" s="314" t="s">
        <v>802</v>
      </c>
      <c r="D161" s="315" t="s">
        <v>803</v>
      </c>
      <c r="E161" s="312"/>
      <c r="F161" s="312"/>
      <c r="G161" s="558">
        <v>1</v>
      </c>
      <c r="H161" s="542"/>
      <c r="I161" s="562" t="s">
        <v>512</v>
      </c>
      <c r="J161" s="559">
        <f t="shared" si="80"/>
        <v>9319</v>
      </c>
      <c r="K161" s="542"/>
      <c r="L161" s="542"/>
      <c r="M161" s="542"/>
      <c r="N161" s="542"/>
      <c r="O161" s="542"/>
      <c r="P161" s="560">
        <v>9319</v>
      </c>
      <c r="Q161" s="542"/>
      <c r="R161" s="542"/>
      <c r="S161" s="542">
        <f t="shared" si="59"/>
        <v>27957</v>
      </c>
      <c r="T161" s="542"/>
      <c r="U161" s="542">
        <f t="shared" si="60"/>
        <v>55914</v>
      </c>
      <c r="V161" s="542"/>
      <c r="W161" s="560">
        <v>9737</v>
      </c>
      <c r="X161" s="542">
        <f t="shared" si="61"/>
        <v>83871</v>
      </c>
      <c r="Y161" s="542"/>
      <c r="Z161" s="542"/>
      <c r="AA161" s="560">
        <v>10198</v>
      </c>
      <c r="AB161" s="542">
        <f t="shared" si="62"/>
        <v>111828</v>
      </c>
      <c r="AC161" s="578"/>
      <c r="AD161" s="522">
        <v>0.04</v>
      </c>
      <c r="AE161" s="523">
        <f t="shared" si="71"/>
        <v>0.04</v>
      </c>
      <c r="AF161" s="524">
        <f t="shared" si="72"/>
        <v>1118.28</v>
      </c>
      <c r="AG161" s="524">
        <f t="shared" si="73"/>
        <v>1118.28</v>
      </c>
      <c r="AH161" s="524">
        <f t="shared" si="74"/>
        <v>3354.84</v>
      </c>
      <c r="AI161" s="524">
        <f t="shared" si="75"/>
        <v>4473.12</v>
      </c>
      <c r="AJ161" s="524">
        <f t="shared" si="63"/>
        <v>26838.720000000001</v>
      </c>
      <c r="AK161" s="524">
        <f t="shared" si="76"/>
        <v>54795.72</v>
      </c>
      <c r="AL161" s="524">
        <f t="shared" si="77"/>
        <v>80516.160000000003</v>
      </c>
      <c r="AM161" s="524">
        <f t="shared" si="78"/>
        <v>107354.88</v>
      </c>
      <c r="AN161" s="537">
        <f t="shared" si="64"/>
        <v>5998.565748</v>
      </c>
      <c r="AO161" s="537">
        <f t="shared" si="65"/>
        <v>12149.105748</v>
      </c>
      <c r="AP161" s="537">
        <f t="shared" si="66"/>
        <v>17995.697244000003</v>
      </c>
      <c r="AQ161" s="537">
        <f t="shared" si="67"/>
        <v>23994.262992</v>
      </c>
      <c r="AR161" s="523">
        <f t="shared" si="68"/>
        <v>279570</v>
      </c>
      <c r="AS161" s="523">
        <f t="shared" si="69"/>
        <v>23297.5</v>
      </c>
      <c r="AU161" s="539">
        <v>8.4099999999999994E-2</v>
      </c>
      <c r="AV161" s="540">
        <v>0.22</v>
      </c>
    </row>
    <row r="162" spans="1:50" ht="15.75" hidden="1">
      <c r="A162" s="313" t="s">
        <v>477</v>
      </c>
      <c r="B162" s="314" t="s">
        <v>784</v>
      </c>
      <c r="C162" s="314" t="s">
        <v>797</v>
      </c>
      <c r="D162" s="315" t="s">
        <v>807</v>
      </c>
      <c r="E162" s="312"/>
      <c r="F162" s="312"/>
      <c r="G162" s="558">
        <v>1</v>
      </c>
      <c r="H162" s="542"/>
      <c r="I162" s="562" t="s">
        <v>516</v>
      </c>
      <c r="J162" s="559">
        <f t="shared" si="80"/>
        <v>20869</v>
      </c>
      <c r="K162" s="542"/>
      <c r="L162" s="542"/>
      <c r="M162" s="542"/>
      <c r="N162" s="542"/>
      <c r="O162" s="542"/>
      <c r="P162" s="560">
        <v>20869</v>
      </c>
      <c r="Q162" s="542"/>
      <c r="R162" s="542"/>
      <c r="S162" s="542">
        <f t="shared" si="59"/>
        <v>62607</v>
      </c>
      <c r="T162" s="542"/>
      <c r="U162" s="542">
        <f t="shared" si="60"/>
        <v>125214</v>
      </c>
      <c r="V162" s="542"/>
      <c r="W162" s="560">
        <v>21803</v>
      </c>
      <c r="X162" s="542">
        <f t="shared" si="61"/>
        <v>187821</v>
      </c>
      <c r="Y162" s="542"/>
      <c r="Z162" s="542"/>
      <c r="AA162" s="560">
        <v>22835</v>
      </c>
      <c r="AB162" s="542">
        <f t="shared" si="62"/>
        <v>250428</v>
      </c>
      <c r="AC162" s="578"/>
      <c r="AD162" s="522">
        <v>0.04</v>
      </c>
      <c r="AE162" s="523">
        <f t="shared" si="71"/>
        <v>0.04</v>
      </c>
      <c r="AF162" s="524">
        <f t="shared" si="72"/>
        <v>2504.2800000000002</v>
      </c>
      <c r="AG162" s="524">
        <f t="shared" si="73"/>
        <v>2504.2800000000002</v>
      </c>
      <c r="AH162" s="524">
        <f t="shared" si="74"/>
        <v>7512.84</v>
      </c>
      <c r="AI162" s="524">
        <f t="shared" si="75"/>
        <v>10017.120000000001</v>
      </c>
      <c r="AJ162" s="524">
        <f t="shared" si="63"/>
        <v>60102.720000000001</v>
      </c>
      <c r="AK162" s="524">
        <f t="shared" si="76"/>
        <v>122709.72</v>
      </c>
      <c r="AL162" s="524">
        <f t="shared" si="77"/>
        <v>180308.16</v>
      </c>
      <c r="AM162" s="524">
        <f t="shared" si="78"/>
        <v>240410.88</v>
      </c>
      <c r="AN162" s="537">
        <f t="shared" si="64"/>
        <v>13433.208348</v>
      </c>
      <c r="AO162" s="537">
        <f t="shared" si="65"/>
        <v>27206.748348000001</v>
      </c>
      <c r="AP162" s="537">
        <f t="shared" si="66"/>
        <v>40299.625044</v>
      </c>
      <c r="AQ162" s="537">
        <f t="shared" si="67"/>
        <v>53732.833392</v>
      </c>
      <c r="AR162" s="523">
        <f t="shared" si="68"/>
        <v>626070</v>
      </c>
      <c r="AS162" s="523">
        <f t="shared" si="69"/>
        <v>52172.5</v>
      </c>
      <c r="AU162" s="539">
        <v>8.4099999999999994E-2</v>
      </c>
      <c r="AV162" s="540">
        <v>0.22</v>
      </c>
    </row>
    <row r="163" spans="1:50" ht="15.75" hidden="1">
      <c r="A163" s="313" t="s">
        <v>839</v>
      </c>
      <c r="B163" s="314" t="s">
        <v>784</v>
      </c>
      <c r="C163" s="314" t="s">
        <v>802</v>
      </c>
      <c r="D163" s="315" t="s">
        <v>803</v>
      </c>
      <c r="E163" s="312"/>
      <c r="F163" s="312"/>
      <c r="G163" s="558">
        <v>1</v>
      </c>
      <c r="H163" s="542"/>
      <c r="I163" s="562" t="s">
        <v>516</v>
      </c>
      <c r="J163" s="559">
        <f t="shared" si="80"/>
        <v>10435</v>
      </c>
      <c r="K163" s="542"/>
      <c r="L163" s="542"/>
      <c r="M163" s="542"/>
      <c r="N163" s="542"/>
      <c r="O163" s="542"/>
      <c r="P163" s="560">
        <v>10435</v>
      </c>
      <c r="Q163" s="542"/>
      <c r="R163" s="542"/>
      <c r="S163" s="542">
        <f t="shared" si="59"/>
        <v>31305</v>
      </c>
      <c r="T163" s="542"/>
      <c r="U163" s="542">
        <f t="shared" si="60"/>
        <v>62610</v>
      </c>
      <c r="V163" s="542"/>
      <c r="W163" s="560">
        <v>10902</v>
      </c>
      <c r="X163" s="542">
        <f t="shared" si="61"/>
        <v>93915</v>
      </c>
      <c r="Y163" s="542"/>
      <c r="Z163" s="542"/>
      <c r="AA163" s="560">
        <v>11418</v>
      </c>
      <c r="AB163" s="542">
        <f t="shared" si="62"/>
        <v>125220</v>
      </c>
      <c r="AC163" s="578"/>
      <c r="AD163" s="522">
        <v>0.04</v>
      </c>
      <c r="AE163" s="523">
        <f t="shared" si="71"/>
        <v>0.04</v>
      </c>
      <c r="AF163" s="524">
        <f t="shared" si="72"/>
        <v>1252.2</v>
      </c>
      <c r="AG163" s="524">
        <f t="shared" si="73"/>
        <v>1252.2</v>
      </c>
      <c r="AH163" s="524">
        <f t="shared" si="74"/>
        <v>3756.6</v>
      </c>
      <c r="AI163" s="524">
        <f t="shared" si="75"/>
        <v>5008.8</v>
      </c>
      <c r="AJ163" s="524">
        <f t="shared" si="63"/>
        <v>30052.799999999999</v>
      </c>
      <c r="AK163" s="524">
        <f t="shared" si="76"/>
        <v>61357.8</v>
      </c>
      <c r="AL163" s="524">
        <f t="shared" si="77"/>
        <v>90158.399999999994</v>
      </c>
      <c r="AM163" s="524">
        <f t="shared" si="78"/>
        <v>120211.2</v>
      </c>
      <c r="AN163" s="537">
        <f t="shared" si="64"/>
        <v>6716.9260199999999</v>
      </c>
      <c r="AO163" s="537">
        <f t="shared" si="65"/>
        <v>13604.026020000001</v>
      </c>
      <c r="AP163" s="537">
        <f t="shared" si="66"/>
        <v>20150.778059999997</v>
      </c>
      <c r="AQ163" s="537">
        <f t="shared" si="67"/>
        <v>26867.70408</v>
      </c>
      <c r="AR163" s="523">
        <f t="shared" si="68"/>
        <v>313050</v>
      </c>
      <c r="AS163" s="523">
        <f t="shared" si="69"/>
        <v>26087.5</v>
      </c>
      <c r="AU163" s="539">
        <v>8.4099999999999994E-2</v>
      </c>
      <c r="AV163" s="540">
        <v>0.22</v>
      </c>
    </row>
    <row r="164" spans="1:50" ht="15.75" hidden="1">
      <c r="A164" s="313" t="s">
        <v>839</v>
      </c>
      <c r="B164" s="314" t="s">
        <v>784</v>
      </c>
      <c r="C164" s="314" t="s">
        <v>802</v>
      </c>
      <c r="D164" s="315" t="s">
        <v>803</v>
      </c>
      <c r="E164" s="312"/>
      <c r="F164" s="312"/>
      <c r="G164" s="558">
        <v>2</v>
      </c>
      <c r="H164" s="542"/>
      <c r="I164" s="562" t="s">
        <v>516</v>
      </c>
      <c r="J164" s="559">
        <f t="shared" si="80"/>
        <v>18638</v>
      </c>
      <c r="K164" s="542"/>
      <c r="L164" s="542"/>
      <c r="M164" s="542"/>
      <c r="N164" s="542"/>
      <c r="O164" s="542"/>
      <c r="P164" s="560">
        <v>18638</v>
      </c>
      <c r="Q164" s="542"/>
      <c r="R164" s="542"/>
      <c r="S164" s="542">
        <f t="shared" si="59"/>
        <v>55914</v>
      </c>
      <c r="T164" s="542"/>
      <c r="U164" s="542">
        <f t="shared" si="60"/>
        <v>111828</v>
      </c>
      <c r="V164" s="542"/>
      <c r="W164" s="560">
        <v>19474</v>
      </c>
      <c r="X164" s="542">
        <f t="shared" si="61"/>
        <v>167742</v>
      </c>
      <c r="Y164" s="542"/>
      <c r="Z164" s="542"/>
      <c r="AA164" s="560">
        <v>20396</v>
      </c>
      <c r="AB164" s="542">
        <f t="shared" si="62"/>
        <v>223656</v>
      </c>
      <c r="AC164" s="578"/>
      <c r="AD164" s="522">
        <v>0.04</v>
      </c>
      <c r="AE164" s="523">
        <f t="shared" si="71"/>
        <v>0.08</v>
      </c>
      <c r="AF164" s="524">
        <f t="shared" si="72"/>
        <v>2236.56</v>
      </c>
      <c r="AG164" s="524">
        <f t="shared" si="73"/>
        <v>2236.56</v>
      </c>
      <c r="AH164" s="524">
        <f t="shared" si="74"/>
        <v>6709.68</v>
      </c>
      <c r="AI164" s="524">
        <f t="shared" si="75"/>
        <v>8946.24</v>
      </c>
      <c r="AJ164" s="524">
        <f t="shared" ref="AJ164:AJ172" si="81">S164-AF164</f>
        <v>53677.440000000002</v>
      </c>
      <c r="AK164" s="524">
        <f t="shared" si="76"/>
        <v>109591.44</v>
      </c>
      <c r="AL164" s="524">
        <f t="shared" si="77"/>
        <v>161032.32000000001</v>
      </c>
      <c r="AM164" s="524">
        <f t="shared" si="78"/>
        <v>214709.76000000001</v>
      </c>
      <c r="AN164" s="537">
        <f t="shared" si="64"/>
        <v>11997.131496</v>
      </c>
      <c r="AO164" s="537">
        <f t="shared" si="65"/>
        <v>24298.211496</v>
      </c>
      <c r="AP164" s="537">
        <f t="shared" si="66"/>
        <v>35991.394488000005</v>
      </c>
      <c r="AQ164" s="537">
        <f t="shared" si="67"/>
        <v>47988.525984</v>
      </c>
      <c r="AR164" s="523">
        <f t="shared" si="68"/>
        <v>559140</v>
      </c>
      <c r="AS164" s="523">
        <f t="shared" si="69"/>
        <v>23297.5</v>
      </c>
      <c r="AU164" s="539">
        <v>8.4099999999999994E-2</v>
      </c>
      <c r="AV164" s="540">
        <v>0.22</v>
      </c>
    </row>
    <row r="165" spans="1:50" ht="15.75" hidden="1">
      <c r="A165" s="313" t="s">
        <v>477</v>
      </c>
      <c r="B165" s="314" t="s">
        <v>784</v>
      </c>
      <c r="C165" s="314" t="s">
        <v>797</v>
      </c>
      <c r="D165" s="315" t="s">
        <v>807</v>
      </c>
      <c r="E165" s="312"/>
      <c r="F165" s="312"/>
      <c r="G165" s="558">
        <v>1</v>
      </c>
      <c r="H165" s="542"/>
      <c r="I165" s="562" t="s">
        <v>517</v>
      </c>
      <c r="J165" s="559">
        <f t="shared" si="80"/>
        <v>20869</v>
      </c>
      <c r="K165" s="542"/>
      <c r="L165" s="542"/>
      <c r="M165" s="542"/>
      <c r="N165" s="542"/>
      <c r="O165" s="542"/>
      <c r="P165" s="560">
        <v>20869</v>
      </c>
      <c r="Q165" s="542"/>
      <c r="R165" s="542"/>
      <c r="S165" s="542">
        <f t="shared" si="59"/>
        <v>62607</v>
      </c>
      <c r="T165" s="542"/>
      <c r="U165" s="542">
        <f t="shared" si="60"/>
        <v>125214</v>
      </c>
      <c r="V165" s="542"/>
      <c r="W165" s="560">
        <v>21803</v>
      </c>
      <c r="X165" s="542">
        <f t="shared" si="61"/>
        <v>187821</v>
      </c>
      <c r="Y165" s="542"/>
      <c r="Z165" s="542"/>
      <c r="AA165" s="560">
        <v>22835</v>
      </c>
      <c r="AB165" s="542">
        <f t="shared" si="62"/>
        <v>250428</v>
      </c>
      <c r="AC165" s="578"/>
      <c r="AD165" s="522">
        <v>0.04</v>
      </c>
      <c r="AE165" s="523">
        <f t="shared" si="71"/>
        <v>0.04</v>
      </c>
      <c r="AF165" s="524">
        <f t="shared" si="72"/>
        <v>2504.2800000000002</v>
      </c>
      <c r="AG165" s="524">
        <f t="shared" si="73"/>
        <v>2504.2800000000002</v>
      </c>
      <c r="AH165" s="524">
        <f t="shared" si="74"/>
        <v>7512.84</v>
      </c>
      <c r="AI165" s="524">
        <f t="shared" si="75"/>
        <v>10017.120000000001</v>
      </c>
      <c r="AJ165" s="524">
        <f t="shared" si="81"/>
        <v>60102.720000000001</v>
      </c>
      <c r="AK165" s="524">
        <f t="shared" si="76"/>
        <v>122709.72</v>
      </c>
      <c r="AL165" s="524">
        <f t="shared" si="77"/>
        <v>180308.16</v>
      </c>
      <c r="AM165" s="524">
        <f t="shared" si="78"/>
        <v>240410.88</v>
      </c>
      <c r="AN165" s="537">
        <f t="shared" si="64"/>
        <v>13433.208348</v>
      </c>
      <c r="AO165" s="537">
        <f t="shared" si="65"/>
        <v>27206.748348000001</v>
      </c>
      <c r="AP165" s="537">
        <f t="shared" si="66"/>
        <v>40299.625044</v>
      </c>
      <c r="AQ165" s="537">
        <f t="shared" si="67"/>
        <v>53732.833392</v>
      </c>
      <c r="AR165" s="523">
        <f t="shared" si="68"/>
        <v>626070</v>
      </c>
      <c r="AS165" s="523">
        <f t="shared" si="69"/>
        <v>52172.5</v>
      </c>
      <c r="AU165" s="539">
        <v>8.4099999999999994E-2</v>
      </c>
      <c r="AV165" s="540">
        <v>0.22</v>
      </c>
    </row>
    <row r="166" spans="1:50" ht="15.75" hidden="1">
      <c r="A166" s="313" t="s">
        <v>484</v>
      </c>
      <c r="B166" s="314" t="s">
        <v>784</v>
      </c>
      <c r="C166" s="314" t="s">
        <v>810</v>
      </c>
      <c r="D166" s="315" t="s">
        <v>803</v>
      </c>
      <c r="E166" s="312"/>
      <c r="F166" s="312"/>
      <c r="G166" s="558">
        <v>2</v>
      </c>
      <c r="H166" s="542"/>
      <c r="I166" s="562" t="s">
        <v>517</v>
      </c>
      <c r="J166" s="559">
        <f t="shared" si="80"/>
        <v>25294</v>
      </c>
      <c r="K166" s="542"/>
      <c r="L166" s="542"/>
      <c r="M166" s="542"/>
      <c r="N166" s="542"/>
      <c r="O166" s="542"/>
      <c r="P166" s="560">
        <v>25294</v>
      </c>
      <c r="Q166" s="542"/>
      <c r="R166" s="542"/>
      <c r="S166" s="542">
        <f t="shared" si="59"/>
        <v>75882</v>
      </c>
      <c r="T166" s="542"/>
      <c r="U166" s="542">
        <f t="shared" si="60"/>
        <v>151764</v>
      </c>
      <c r="V166" s="542"/>
      <c r="W166" s="560">
        <v>26426</v>
      </c>
      <c r="X166" s="542">
        <f t="shared" si="61"/>
        <v>227646</v>
      </c>
      <c r="Y166" s="542"/>
      <c r="Z166" s="542"/>
      <c r="AA166" s="560">
        <v>27676</v>
      </c>
      <c r="AB166" s="542">
        <f t="shared" si="62"/>
        <v>303528</v>
      </c>
      <c r="AC166" s="578"/>
      <c r="AD166" s="522">
        <v>0.04</v>
      </c>
      <c r="AE166" s="523">
        <f t="shared" si="71"/>
        <v>0.08</v>
      </c>
      <c r="AF166" s="524">
        <f t="shared" si="72"/>
        <v>3035.28</v>
      </c>
      <c r="AG166" s="524">
        <f t="shared" si="73"/>
        <v>3035.28</v>
      </c>
      <c r="AH166" s="524">
        <f t="shared" si="74"/>
        <v>9105.84</v>
      </c>
      <c r="AI166" s="524">
        <f t="shared" si="75"/>
        <v>12141.12</v>
      </c>
      <c r="AJ166" s="524">
        <f t="shared" si="81"/>
        <v>72846.720000000001</v>
      </c>
      <c r="AK166" s="524">
        <f t="shared" si="76"/>
        <v>148728.72</v>
      </c>
      <c r="AL166" s="524">
        <f t="shared" si="77"/>
        <v>218540.16</v>
      </c>
      <c r="AM166" s="524">
        <f t="shared" si="78"/>
        <v>291386.88</v>
      </c>
      <c r="AN166" s="537">
        <f t="shared" si="64"/>
        <v>16281.545448000001</v>
      </c>
      <c r="AO166" s="537">
        <f t="shared" si="65"/>
        <v>32975.585447999998</v>
      </c>
      <c r="AP166" s="537">
        <f t="shared" si="66"/>
        <v>48844.636343999999</v>
      </c>
      <c r="AQ166" s="537">
        <f t="shared" si="67"/>
        <v>65126.181792000003</v>
      </c>
      <c r="AR166" s="523">
        <f t="shared" si="68"/>
        <v>758820</v>
      </c>
      <c r="AS166" s="523">
        <f t="shared" si="69"/>
        <v>31617.5</v>
      </c>
      <c r="AU166" s="539">
        <v>8.4099999999999994E-2</v>
      </c>
      <c r="AV166" s="540">
        <v>0.22</v>
      </c>
    </row>
    <row r="167" spans="1:50" ht="15.75" hidden="1">
      <c r="A167" s="313" t="s">
        <v>840</v>
      </c>
      <c r="B167" s="314" t="s">
        <v>784</v>
      </c>
      <c r="C167" s="314" t="s">
        <v>810</v>
      </c>
      <c r="D167" s="315" t="s">
        <v>803</v>
      </c>
      <c r="E167" s="312"/>
      <c r="F167" s="312"/>
      <c r="G167" s="558">
        <v>1</v>
      </c>
      <c r="H167" s="542"/>
      <c r="I167" s="562" t="s">
        <v>517</v>
      </c>
      <c r="J167" s="559">
        <f t="shared" si="80"/>
        <v>9319</v>
      </c>
      <c r="K167" s="542"/>
      <c r="L167" s="542"/>
      <c r="M167" s="542"/>
      <c r="N167" s="542"/>
      <c r="O167" s="542"/>
      <c r="P167" s="560">
        <v>9319</v>
      </c>
      <c r="Q167" s="542"/>
      <c r="R167" s="542"/>
      <c r="S167" s="542">
        <f t="shared" si="59"/>
        <v>27957</v>
      </c>
      <c r="T167" s="542"/>
      <c r="U167" s="542">
        <f t="shared" si="60"/>
        <v>55914</v>
      </c>
      <c r="V167" s="542"/>
      <c r="W167" s="560">
        <v>9737</v>
      </c>
      <c r="X167" s="542">
        <f t="shared" si="61"/>
        <v>83871</v>
      </c>
      <c r="Y167" s="542"/>
      <c r="Z167" s="542"/>
      <c r="AA167" s="560">
        <v>10198</v>
      </c>
      <c r="AB167" s="542">
        <f t="shared" si="62"/>
        <v>111828</v>
      </c>
      <c r="AC167" s="578"/>
      <c r="AD167" s="522">
        <v>0.04</v>
      </c>
      <c r="AE167" s="523">
        <f t="shared" si="71"/>
        <v>0.04</v>
      </c>
      <c r="AF167" s="524">
        <f t="shared" si="72"/>
        <v>1118.28</v>
      </c>
      <c r="AG167" s="524">
        <f t="shared" si="73"/>
        <v>1118.28</v>
      </c>
      <c r="AH167" s="524">
        <f t="shared" si="74"/>
        <v>3354.84</v>
      </c>
      <c r="AI167" s="524">
        <f t="shared" si="75"/>
        <v>4473.12</v>
      </c>
      <c r="AJ167" s="524">
        <f t="shared" si="81"/>
        <v>26838.720000000001</v>
      </c>
      <c r="AK167" s="524">
        <f t="shared" si="76"/>
        <v>54795.72</v>
      </c>
      <c r="AL167" s="524">
        <f t="shared" si="77"/>
        <v>80516.160000000003</v>
      </c>
      <c r="AM167" s="524">
        <f t="shared" si="78"/>
        <v>107354.88</v>
      </c>
      <c r="AN167" s="537">
        <f t="shared" si="64"/>
        <v>5998.565748</v>
      </c>
      <c r="AO167" s="537">
        <f t="shared" si="65"/>
        <v>12149.105748</v>
      </c>
      <c r="AP167" s="537">
        <f t="shared" si="66"/>
        <v>17995.697244000003</v>
      </c>
      <c r="AQ167" s="537">
        <f t="shared" si="67"/>
        <v>23994.262992</v>
      </c>
      <c r="AR167" s="523">
        <f t="shared" si="68"/>
        <v>279570</v>
      </c>
      <c r="AS167" s="523">
        <f t="shared" si="69"/>
        <v>23297.5</v>
      </c>
      <c r="AU167" s="539">
        <v>8.4099999999999994E-2</v>
      </c>
      <c r="AV167" s="540">
        <v>0.22</v>
      </c>
    </row>
    <row r="168" spans="1:50" ht="15.75" hidden="1">
      <c r="A168" s="318" t="s">
        <v>841</v>
      </c>
      <c r="B168" s="314" t="s">
        <v>784</v>
      </c>
      <c r="C168" s="314" t="s">
        <v>797</v>
      </c>
      <c r="D168" s="312" t="str">
        <f>D147</f>
        <v>1226.2</v>
      </c>
      <c r="E168" s="312"/>
      <c r="F168" s="312"/>
      <c r="G168" s="542">
        <v>1</v>
      </c>
      <c r="H168" s="542"/>
      <c r="I168" s="542" t="s">
        <v>842</v>
      </c>
      <c r="J168" s="559">
        <f t="shared" si="80"/>
        <v>20869</v>
      </c>
      <c r="K168" s="542"/>
      <c r="L168" s="542"/>
      <c r="M168" s="542"/>
      <c r="N168" s="542"/>
      <c r="O168" s="542"/>
      <c r="P168" s="559">
        <f>P147</f>
        <v>20869</v>
      </c>
      <c r="Q168" s="559">
        <f t="shared" ref="Q168:AA168" si="82">Q147</f>
        <v>0</v>
      </c>
      <c r="R168" s="559">
        <f t="shared" si="82"/>
        <v>0</v>
      </c>
      <c r="S168" s="542">
        <f t="shared" si="59"/>
        <v>62607</v>
      </c>
      <c r="T168" s="559"/>
      <c r="U168" s="542">
        <f t="shared" si="60"/>
        <v>125214</v>
      </c>
      <c r="V168" s="559"/>
      <c r="W168" s="559">
        <f t="shared" si="82"/>
        <v>21803</v>
      </c>
      <c r="X168" s="542">
        <f t="shared" si="61"/>
        <v>187821</v>
      </c>
      <c r="Y168" s="559"/>
      <c r="Z168" s="559">
        <f t="shared" si="82"/>
        <v>0</v>
      </c>
      <c r="AA168" s="559">
        <f t="shared" si="82"/>
        <v>22835</v>
      </c>
      <c r="AB168" s="542">
        <f t="shared" si="62"/>
        <v>250428</v>
      </c>
      <c r="AC168" s="579"/>
      <c r="AD168" s="522">
        <v>0.04</v>
      </c>
      <c r="AE168" s="523">
        <f t="shared" si="71"/>
        <v>0.04</v>
      </c>
      <c r="AF168" s="524">
        <f t="shared" si="72"/>
        <v>2504.2800000000002</v>
      </c>
      <c r="AG168" s="524">
        <f t="shared" si="73"/>
        <v>2504.2800000000002</v>
      </c>
      <c r="AH168" s="524">
        <f t="shared" si="74"/>
        <v>7512.84</v>
      </c>
      <c r="AI168" s="524">
        <f t="shared" si="75"/>
        <v>10017.120000000001</v>
      </c>
      <c r="AJ168" s="524">
        <f t="shared" si="81"/>
        <v>60102.720000000001</v>
      </c>
      <c r="AK168" s="524">
        <f t="shared" si="76"/>
        <v>122709.72</v>
      </c>
      <c r="AL168" s="524">
        <f t="shared" si="77"/>
        <v>180308.16</v>
      </c>
      <c r="AM168" s="524">
        <f t="shared" si="78"/>
        <v>240410.88</v>
      </c>
      <c r="AN168" s="537">
        <f t="shared" si="64"/>
        <v>13433.208348</v>
      </c>
      <c r="AO168" s="537">
        <f t="shared" si="65"/>
        <v>27206.748348000001</v>
      </c>
      <c r="AP168" s="537">
        <f t="shared" si="66"/>
        <v>40299.625044</v>
      </c>
      <c r="AQ168" s="537">
        <f t="shared" si="67"/>
        <v>53732.833392</v>
      </c>
      <c r="AR168" s="523">
        <f t="shared" si="68"/>
        <v>626070</v>
      </c>
      <c r="AS168" s="523">
        <f t="shared" si="69"/>
        <v>52172.5</v>
      </c>
      <c r="AU168" s="539">
        <v>8.4099999999999994E-2</v>
      </c>
      <c r="AV168" s="540">
        <v>0.22</v>
      </c>
    </row>
    <row r="169" spans="1:50" ht="15.75" hidden="1">
      <c r="A169" s="318" t="s">
        <v>843</v>
      </c>
      <c r="B169" s="314" t="s">
        <v>784</v>
      </c>
      <c r="C169" s="314" t="s">
        <v>810</v>
      </c>
      <c r="D169" s="312"/>
      <c r="E169" s="312"/>
      <c r="F169" s="312"/>
      <c r="G169" s="542">
        <v>1</v>
      </c>
      <c r="H169" s="542"/>
      <c r="I169" s="542"/>
      <c r="J169" s="559">
        <f t="shared" si="80"/>
        <v>10435</v>
      </c>
      <c r="K169" s="542"/>
      <c r="L169" s="542"/>
      <c r="M169" s="542"/>
      <c r="N169" s="542"/>
      <c r="O169" s="542"/>
      <c r="P169" s="559">
        <f>P151</f>
        <v>10435</v>
      </c>
      <c r="Q169" s="559">
        <f t="shared" ref="Q169:AA169" si="83">Q151</f>
        <v>0</v>
      </c>
      <c r="R169" s="559">
        <f t="shared" si="83"/>
        <v>0</v>
      </c>
      <c r="S169" s="542">
        <f t="shared" si="59"/>
        <v>31305</v>
      </c>
      <c r="T169" s="542"/>
      <c r="U169" s="542">
        <f t="shared" si="60"/>
        <v>62610</v>
      </c>
      <c r="V169" s="542"/>
      <c r="W169" s="559">
        <f t="shared" si="83"/>
        <v>10902</v>
      </c>
      <c r="X169" s="542">
        <f t="shared" si="61"/>
        <v>93915</v>
      </c>
      <c r="Y169" s="559"/>
      <c r="Z169" s="559">
        <f t="shared" si="83"/>
        <v>0</v>
      </c>
      <c r="AA169" s="559">
        <f t="shared" si="83"/>
        <v>11418</v>
      </c>
      <c r="AB169" s="542">
        <f t="shared" si="62"/>
        <v>125220</v>
      </c>
      <c r="AC169" s="579"/>
      <c r="AD169" s="522">
        <v>0.04</v>
      </c>
      <c r="AE169" s="523">
        <f t="shared" si="71"/>
        <v>0.04</v>
      </c>
      <c r="AF169" s="524">
        <f t="shared" si="72"/>
        <v>1252.2</v>
      </c>
      <c r="AG169" s="524">
        <f t="shared" si="73"/>
        <v>1252.2</v>
      </c>
      <c r="AH169" s="524">
        <f t="shared" si="74"/>
        <v>3756.6</v>
      </c>
      <c r="AI169" s="524">
        <f t="shared" si="75"/>
        <v>5008.8</v>
      </c>
      <c r="AJ169" s="524">
        <f t="shared" si="81"/>
        <v>30052.799999999999</v>
      </c>
      <c r="AK169" s="524">
        <f t="shared" si="76"/>
        <v>61357.8</v>
      </c>
      <c r="AL169" s="524">
        <f t="shared" si="77"/>
        <v>90158.399999999994</v>
      </c>
      <c r="AM169" s="524">
        <f t="shared" si="78"/>
        <v>120211.2</v>
      </c>
      <c r="AN169" s="537">
        <f t="shared" si="64"/>
        <v>6716.9260199999999</v>
      </c>
      <c r="AO169" s="537">
        <f t="shared" si="65"/>
        <v>13604.026020000001</v>
      </c>
      <c r="AP169" s="537">
        <f t="shared" si="66"/>
        <v>20150.778059999997</v>
      </c>
      <c r="AQ169" s="537">
        <f t="shared" si="67"/>
        <v>26867.70408</v>
      </c>
      <c r="AR169" s="523">
        <f t="shared" si="68"/>
        <v>313050</v>
      </c>
      <c r="AS169" s="523">
        <f t="shared" si="69"/>
        <v>26087.5</v>
      </c>
      <c r="AU169" s="539">
        <v>8.4099999999999994E-2</v>
      </c>
      <c r="AV169" s="540">
        <v>0.22</v>
      </c>
    </row>
    <row r="170" spans="1:50" ht="15.75" hidden="1">
      <c r="A170" s="318" t="s">
        <v>844</v>
      </c>
      <c r="B170" s="314" t="s">
        <v>784</v>
      </c>
      <c r="C170" s="314" t="s">
        <v>810</v>
      </c>
      <c r="D170" s="312"/>
      <c r="E170" s="312"/>
      <c r="F170" s="312"/>
      <c r="G170" s="542">
        <v>1</v>
      </c>
      <c r="H170" s="542"/>
      <c r="I170" s="542"/>
      <c r="J170" s="559">
        <f t="shared" si="80"/>
        <v>12604.800000000001</v>
      </c>
      <c r="K170" s="542"/>
      <c r="L170" s="542"/>
      <c r="M170" s="542"/>
      <c r="N170" s="542"/>
      <c r="O170" s="542"/>
      <c r="P170" s="559">
        <f>P150</f>
        <v>12604.800000000001</v>
      </c>
      <c r="Q170" s="559">
        <f t="shared" ref="Q170:AA170" si="84">Q150</f>
        <v>0</v>
      </c>
      <c r="R170" s="559">
        <f t="shared" si="84"/>
        <v>0</v>
      </c>
      <c r="S170" s="542">
        <f t="shared" si="59"/>
        <v>37814.400000000001</v>
      </c>
      <c r="T170" s="542"/>
      <c r="U170" s="542">
        <f t="shared" si="60"/>
        <v>75628.800000000003</v>
      </c>
      <c r="V170" s="542"/>
      <c r="W170" s="559">
        <f t="shared" si="84"/>
        <v>10664</v>
      </c>
      <c r="X170" s="542">
        <f t="shared" si="61"/>
        <v>113443.20000000001</v>
      </c>
      <c r="Y170" s="559"/>
      <c r="Z170" s="559">
        <f t="shared" si="84"/>
        <v>0</v>
      </c>
      <c r="AA170" s="559">
        <f t="shared" si="84"/>
        <v>11169</v>
      </c>
      <c r="AB170" s="542">
        <f t="shared" si="62"/>
        <v>151257.60000000001</v>
      </c>
      <c r="AC170" s="579"/>
      <c r="AD170" s="522">
        <v>0.04</v>
      </c>
      <c r="AE170" s="523">
        <f t="shared" si="71"/>
        <v>0.04</v>
      </c>
      <c r="AF170" s="524">
        <f t="shared" si="72"/>
        <v>1512.576</v>
      </c>
      <c r="AG170" s="524">
        <f t="shared" si="73"/>
        <v>1512.576</v>
      </c>
      <c r="AH170" s="524">
        <f t="shared" si="74"/>
        <v>4537.728000000001</v>
      </c>
      <c r="AI170" s="524">
        <f t="shared" si="75"/>
        <v>6050.3040000000001</v>
      </c>
      <c r="AJ170" s="524">
        <f t="shared" si="81"/>
        <v>36301.824000000001</v>
      </c>
      <c r="AK170" s="524">
        <f t="shared" si="76"/>
        <v>74116.224000000002</v>
      </c>
      <c r="AL170" s="524">
        <f t="shared" si="77"/>
        <v>108905.47200000001</v>
      </c>
      <c r="AM170" s="524">
        <f t="shared" si="78"/>
        <v>145207.296</v>
      </c>
      <c r="AN170" s="537">
        <f t="shared" si="64"/>
        <v>8113.6089216</v>
      </c>
      <c r="AO170" s="537">
        <f t="shared" si="65"/>
        <v>16432.776921600002</v>
      </c>
      <c r="AP170" s="537">
        <f t="shared" si="66"/>
        <v>24340.826764800004</v>
      </c>
      <c r="AQ170" s="537">
        <f t="shared" si="67"/>
        <v>32454.4356864</v>
      </c>
      <c r="AR170" s="523">
        <f t="shared" si="68"/>
        <v>378144</v>
      </c>
      <c r="AS170" s="523">
        <f t="shared" si="69"/>
        <v>31512</v>
      </c>
      <c r="AU170" s="539">
        <v>8.4099999999999994E-2</v>
      </c>
      <c r="AV170" s="540">
        <v>0.22</v>
      </c>
    </row>
    <row r="171" spans="1:50" ht="15.75" hidden="1">
      <c r="A171" s="318" t="s">
        <v>844</v>
      </c>
      <c r="B171" s="314" t="s">
        <v>784</v>
      </c>
      <c r="C171" s="314" t="s">
        <v>810</v>
      </c>
      <c r="D171" s="312"/>
      <c r="E171" s="312"/>
      <c r="F171" s="312"/>
      <c r="G171" s="542">
        <v>1</v>
      </c>
      <c r="H171" s="542"/>
      <c r="I171" s="542"/>
      <c r="J171" s="559">
        <f t="shared" si="80"/>
        <v>12604.800000000001</v>
      </c>
      <c r="K171" s="542"/>
      <c r="L171" s="542"/>
      <c r="M171" s="542"/>
      <c r="N171" s="542"/>
      <c r="O171" s="542"/>
      <c r="P171" s="559">
        <f>P170</f>
        <v>12604.800000000001</v>
      </c>
      <c r="Q171" s="559">
        <f t="shared" ref="Q171:AA171" si="85">Q170</f>
        <v>0</v>
      </c>
      <c r="R171" s="559">
        <f t="shared" si="85"/>
        <v>0</v>
      </c>
      <c r="S171" s="542">
        <f t="shared" si="59"/>
        <v>37814.400000000001</v>
      </c>
      <c r="T171" s="542"/>
      <c r="U171" s="542">
        <f t="shared" si="60"/>
        <v>75628.800000000003</v>
      </c>
      <c r="V171" s="542"/>
      <c r="W171" s="559">
        <f t="shared" si="85"/>
        <v>10664</v>
      </c>
      <c r="X171" s="542">
        <f t="shared" si="61"/>
        <v>113443.20000000001</v>
      </c>
      <c r="Y171" s="559"/>
      <c r="Z171" s="559">
        <f t="shared" si="85"/>
        <v>0</v>
      </c>
      <c r="AA171" s="559">
        <f t="shared" si="85"/>
        <v>11169</v>
      </c>
      <c r="AB171" s="542">
        <f t="shared" si="62"/>
        <v>151257.60000000001</v>
      </c>
      <c r="AC171" s="579"/>
      <c r="AD171" s="522">
        <v>0.04</v>
      </c>
      <c r="AE171" s="523">
        <f t="shared" si="71"/>
        <v>0.04</v>
      </c>
      <c r="AF171" s="524">
        <f t="shared" si="72"/>
        <v>1512.576</v>
      </c>
      <c r="AG171" s="524">
        <f t="shared" si="73"/>
        <v>1512.576</v>
      </c>
      <c r="AH171" s="524">
        <f t="shared" si="74"/>
        <v>4537.728000000001</v>
      </c>
      <c r="AI171" s="524">
        <f t="shared" si="75"/>
        <v>6050.3040000000001</v>
      </c>
      <c r="AJ171" s="524">
        <f t="shared" si="81"/>
        <v>36301.824000000001</v>
      </c>
      <c r="AK171" s="524">
        <f t="shared" si="76"/>
        <v>74116.224000000002</v>
      </c>
      <c r="AL171" s="524">
        <f t="shared" si="77"/>
        <v>108905.47200000001</v>
      </c>
      <c r="AM171" s="524">
        <f t="shared" si="78"/>
        <v>145207.296</v>
      </c>
      <c r="AN171" s="537">
        <f t="shared" si="64"/>
        <v>8113.6089216</v>
      </c>
      <c r="AO171" s="537">
        <f t="shared" si="65"/>
        <v>16432.776921600002</v>
      </c>
      <c r="AP171" s="537">
        <f t="shared" si="66"/>
        <v>24340.826764800004</v>
      </c>
      <c r="AQ171" s="537">
        <f t="shared" si="67"/>
        <v>32454.4356864</v>
      </c>
      <c r="AR171" s="523">
        <f t="shared" si="68"/>
        <v>378144</v>
      </c>
      <c r="AS171" s="523">
        <f t="shared" si="69"/>
        <v>31512</v>
      </c>
      <c r="AU171" s="539">
        <v>8.4099999999999994E-2</v>
      </c>
      <c r="AV171" s="540">
        <v>0.22</v>
      </c>
    </row>
    <row r="172" spans="1:50" s="322" customFormat="1" hidden="1">
      <c r="A172" s="320" t="s">
        <v>845</v>
      </c>
      <c r="B172" s="320"/>
      <c r="C172" s="320"/>
      <c r="D172" s="321"/>
      <c r="E172" s="321"/>
      <c r="F172" s="321"/>
      <c r="G172" s="563">
        <f>SUBTOTAL(9,G4:G171)</f>
        <v>28</v>
      </c>
      <c r="H172" s="563"/>
      <c r="I172" s="563"/>
      <c r="J172" s="563">
        <f>SUM(J4:J171)</f>
        <v>1676250.1778987697</v>
      </c>
      <c r="K172" s="563">
        <f t="shared" ref="K172:P172" si="86">SUM(K4:K171)</f>
        <v>2831.2</v>
      </c>
      <c r="L172" s="563">
        <f t="shared" si="86"/>
        <v>190157.78724101186</v>
      </c>
      <c r="M172" s="563">
        <f t="shared" si="86"/>
        <v>3215.5</v>
      </c>
      <c r="N172" s="563">
        <f t="shared" si="86"/>
        <v>198198.77744469247</v>
      </c>
      <c r="O172" s="563">
        <f t="shared" si="86"/>
        <v>1112635.0625844735</v>
      </c>
      <c r="P172" s="563">
        <f t="shared" si="86"/>
        <v>4426139.1923030782</v>
      </c>
      <c r="Q172" s="563"/>
      <c r="R172" s="563"/>
      <c r="S172" s="559">
        <f>SUM(S4:S171)</f>
        <v>9341969.7257877048</v>
      </c>
      <c r="T172" s="559">
        <f>SUM(T4:T171)</f>
        <v>3936447.8511215332</v>
      </c>
      <c r="U172" s="559">
        <f>SUM(U4:U171)</f>
        <v>18683939.45157541</v>
      </c>
      <c r="V172" s="559">
        <f>SUM(V4:V171)</f>
        <v>7872895.7022430664</v>
      </c>
      <c r="W172" s="559"/>
      <c r="X172" s="559">
        <f t="shared" ref="X172:AC172" si="87">SUM(X4:X171)</f>
        <v>28025909.177363079</v>
      </c>
      <c r="Y172" s="559">
        <f t="shared" si="87"/>
        <v>11809343.553364597</v>
      </c>
      <c r="Z172" s="559">
        <f t="shared" si="87"/>
        <v>700866</v>
      </c>
      <c r="AA172" s="559">
        <f t="shared" si="87"/>
        <v>4833327.5809842823</v>
      </c>
      <c r="AB172" s="559">
        <f t="shared" si="87"/>
        <v>37367878.903150819</v>
      </c>
      <c r="AC172" s="559">
        <f t="shared" si="87"/>
        <v>15745791.404486133</v>
      </c>
      <c r="AD172" s="522">
        <v>0.04</v>
      </c>
      <c r="AE172" s="523">
        <f t="shared" si="71"/>
        <v>1.1200000000000001</v>
      </c>
      <c r="AF172" s="524">
        <f>SUM(AF4:AF171)</f>
        <v>373678.7890315085</v>
      </c>
      <c r="AG172" s="524">
        <f>SUM(AG4:AG171)</f>
        <v>373678.7890315085</v>
      </c>
      <c r="AH172" s="524">
        <f>SUM(AH4:AH171)</f>
        <v>1121036.3670945244</v>
      </c>
      <c r="AI172" s="524">
        <f>SUM(AI4:AI171)</f>
        <v>1494715.156126034</v>
      </c>
      <c r="AJ172" s="564">
        <f t="shared" si="81"/>
        <v>8968290.9367561955</v>
      </c>
      <c r="AK172" s="564"/>
      <c r="AL172" s="564"/>
      <c r="AM172" s="564"/>
      <c r="AN172" s="565">
        <f>SUM(AN4:AN171)</f>
        <v>2004450.3922439129</v>
      </c>
      <c r="AO172" s="565">
        <f>SUM(AO4:AO171)</f>
        <v>4059683.7319172057</v>
      </c>
      <c r="AP172" s="565">
        <f>SUM(AP4:AP171)</f>
        <v>6013351.1767317364</v>
      </c>
      <c r="AQ172" s="565">
        <f>SUM(AQ4:AQ171)</f>
        <v>8017801.5689756516</v>
      </c>
      <c r="AR172" s="559">
        <f>SUM(AR4:AR171)</f>
        <v>93419697.257876977</v>
      </c>
      <c r="AS172" s="565"/>
      <c r="AT172" s="565"/>
      <c r="AU172" s="565"/>
      <c r="AV172" s="565"/>
      <c r="AW172" s="565"/>
      <c r="AX172" s="565"/>
    </row>
    <row r="173" spans="1:50" hidden="1">
      <c r="C173" s="323" t="str">
        <f>C168</f>
        <v>керів</v>
      </c>
      <c r="D173" s="324" t="s">
        <v>824</v>
      </c>
      <c r="E173" s="324"/>
      <c r="F173" s="324"/>
      <c r="G173" s="566">
        <v>19</v>
      </c>
      <c r="S173" s="524">
        <f>(S172+T172)</f>
        <v>13278417.576909238</v>
      </c>
      <c r="U173" s="524">
        <f>U172+V172</f>
        <v>26556835.153818477</v>
      </c>
      <c r="X173" s="524">
        <f>X172+Y172</f>
        <v>39835252.730727673</v>
      </c>
      <c r="AB173" s="524">
        <f>AB172+AC172</f>
        <v>53113670.307636954</v>
      </c>
      <c r="AF173" s="559"/>
      <c r="AG173" s="559"/>
      <c r="AH173" s="559"/>
      <c r="AI173" s="559"/>
      <c r="AJ173" s="559">
        <f t="shared" ref="AJ173:AQ173" si="88">SUM(AJ4:AJ172)</f>
        <v>17936581.873512391</v>
      </c>
      <c r="AK173" s="559">
        <f t="shared" si="88"/>
        <v>18310260.662543874</v>
      </c>
      <c r="AL173" s="559">
        <f t="shared" si="88"/>
        <v>26904872.810268573</v>
      </c>
      <c r="AM173" s="559">
        <f t="shared" si="88"/>
        <v>35873163.747024782</v>
      </c>
      <c r="AN173" s="559">
        <f t="shared" si="88"/>
        <v>4008900.7844878258</v>
      </c>
      <c r="AO173" s="559">
        <f t="shared" si="88"/>
        <v>8119367.4638344115</v>
      </c>
      <c r="AP173" s="559">
        <f t="shared" si="88"/>
        <v>12026702.353463473</v>
      </c>
      <c r="AQ173" s="559">
        <f t="shared" si="88"/>
        <v>16035603.137951303</v>
      </c>
    </row>
    <row r="174" spans="1:50" ht="15.75" hidden="1">
      <c r="C174" s="314" t="s">
        <v>810</v>
      </c>
      <c r="D174" s="312"/>
      <c r="E174" s="312"/>
      <c r="F174" s="312"/>
      <c r="G174" s="542">
        <v>24</v>
      </c>
      <c r="S174" s="613">
        <f>'I. Фін результат'!F199</f>
        <v>13617.95955000001</v>
      </c>
      <c r="T174" s="613"/>
      <c r="U174" s="613">
        <f>'I. Фін результат'!G199</f>
        <v>27235.919100000021</v>
      </c>
      <c r="V174" s="613"/>
      <c r="W174" s="613"/>
      <c r="X174" s="613">
        <f>'I. Фін результат'!H199</f>
        <v>41398.559890000026</v>
      </c>
      <c r="Y174" s="613"/>
      <c r="Z174" s="613"/>
      <c r="AA174" s="613"/>
      <c r="AB174" s="613">
        <f>'I. Фін результат'!I199</f>
        <v>55787.49415000002</v>
      </c>
    </row>
    <row r="175" spans="1:50" ht="15.75" hidden="1">
      <c r="C175" s="314" t="s">
        <v>802</v>
      </c>
      <c r="D175" s="312"/>
      <c r="E175" s="312"/>
      <c r="F175" s="312"/>
      <c r="G175" s="542">
        <v>15</v>
      </c>
      <c r="S175" s="524">
        <f>S174*1000</f>
        <v>13617959.55000001</v>
      </c>
      <c r="T175" s="524">
        <f t="shared" ref="T175:AB175" si="89">T174*1000</f>
        <v>0</v>
      </c>
      <c r="U175" s="524">
        <f t="shared" si="89"/>
        <v>27235919.10000002</v>
      </c>
      <c r="V175" s="524">
        <f t="shared" si="89"/>
        <v>0</v>
      </c>
      <c r="W175" s="524">
        <f t="shared" si="89"/>
        <v>0</v>
      </c>
      <c r="X175" s="524">
        <f t="shared" si="89"/>
        <v>41398559.890000023</v>
      </c>
      <c r="Y175" s="524">
        <f t="shared" si="89"/>
        <v>0</v>
      </c>
      <c r="Z175" s="524">
        <f t="shared" si="89"/>
        <v>0</v>
      </c>
      <c r="AA175" s="524">
        <f t="shared" si="89"/>
        <v>0</v>
      </c>
      <c r="AB175" s="524">
        <f t="shared" si="89"/>
        <v>55787494.150000021</v>
      </c>
    </row>
    <row r="176" spans="1:50" hidden="1">
      <c r="C176" s="316" t="s">
        <v>805</v>
      </c>
      <c r="D176" s="312"/>
      <c r="E176" s="312"/>
      <c r="F176" s="312"/>
      <c r="G176" s="542">
        <v>2</v>
      </c>
      <c r="J176" s="524"/>
      <c r="AR176" s="524">
        <f>11/54</f>
        <v>0.20370370370370369</v>
      </c>
    </row>
    <row r="177" spans="2:50" hidden="1">
      <c r="C177" s="316" t="s">
        <v>755</v>
      </c>
      <c r="D177" s="312"/>
      <c r="E177" s="312"/>
      <c r="F177" s="312"/>
      <c r="G177" s="542">
        <v>345</v>
      </c>
      <c r="S177" s="523">
        <f>S175/S173</f>
        <v>1.0255709666550346</v>
      </c>
      <c r="U177" s="523">
        <f>U175/U173</f>
        <v>1.0255709666550346</v>
      </c>
      <c r="X177" s="523">
        <f>X175/X173</f>
        <v>1.0392443138202174</v>
      </c>
      <c r="AB177" s="523">
        <f>AB175/AB173</f>
        <v>1.0503415378164633</v>
      </c>
    </row>
    <row r="178" spans="2:50" hidden="1">
      <c r="C178" s="316" t="s">
        <v>809</v>
      </c>
      <c r="D178" s="312"/>
      <c r="E178" s="312"/>
      <c r="F178" s="312"/>
      <c r="G178" s="542">
        <v>2</v>
      </c>
    </row>
    <row r="179" spans="2:50">
      <c r="C179" s="316"/>
      <c r="D179" s="312" t="s">
        <v>749</v>
      </c>
      <c r="E179" s="312" t="s">
        <v>750</v>
      </c>
      <c r="F179" s="312" t="s">
        <v>751</v>
      </c>
      <c r="G179" s="542">
        <f>SUM(G173:G178)</f>
        <v>407</v>
      </c>
      <c r="H179" s="542"/>
      <c r="I179" s="542"/>
      <c r="J179" s="567" t="s">
        <v>958</v>
      </c>
      <c r="K179" s="567"/>
      <c r="L179" s="567" t="s">
        <v>959</v>
      </c>
      <c r="M179" s="567"/>
      <c r="N179" s="567" t="s">
        <v>960</v>
      </c>
    </row>
    <row r="180" spans="2:50" ht="18.75" customHeight="1">
      <c r="C180" s="325" t="s">
        <v>846</v>
      </c>
      <c r="D180" s="312"/>
      <c r="E180" s="312"/>
      <c r="F180" s="312"/>
      <c r="G180" s="542">
        <v>1</v>
      </c>
      <c r="H180" s="542">
        <f>AR114</f>
        <v>865290</v>
      </c>
      <c r="I180" s="542"/>
      <c r="J180" s="559">
        <f>J114</f>
        <v>28843</v>
      </c>
      <c r="K180" s="542"/>
      <c r="L180" s="542">
        <v>0</v>
      </c>
      <c r="M180" s="542"/>
      <c r="N180" s="542">
        <v>0</v>
      </c>
      <c r="O180" s="524">
        <f>J180</f>
        <v>28843</v>
      </c>
      <c r="Q180" s="568"/>
    </row>
    <row r="181" spans="2:50" s="322" customFormat="1" ht="18.75" customHeight="1">
      <c r="C181" s="320" t="s">
        <v>783</v>
      </c>
      <c r="D181" s="321"/>
      <c r="E181" s="321"/>
      <c r="F181" s="321"/>
      <c r="G181" s="563">
        <v>18</v>
      </c>
      <c r="H181" s="563">
        <f>AR114+AR117+AR120+AR121+AR124+AR125+AR130+AR131+AR136+AR137+AR138+AR139+AR140+AR141+AR158+AR159+AR160+AR161</f>
        <v>9679140</v>
      </c>
      <c r="I181" s="563"/>
      <c r="J181" s="569">
        <f>J117+J120+J121+J124+J125+J130+J131+J136+J137+J138+J139+J140+J141+J158+J159+J160+J161</f>
        <v>296457</v>
      </c>
      <c r="K181" s="569">
        <f>K117+K120+K121+K124+K125+K130+K131+K136+K137+K138+K139+K140+K141+K158+K159+K160+K161</f>
        <v>0</v>
      </c>
      <c r="L181" s="569">
        <f>L117+L120+L121+L124+L125+L130+L131+L136+L137+L138+L139+L140+L141+L158+L159+L160+L161</f>
        <v>0</v>
      </c>
      <c r="M181" s="569">
        <f>M117+M120+M121+M124+M125+M130+M131+M136+M137+M138+M139+M140+M141+M158+M159+M160+M161</f>
        <v>0</v>
      </c>
      <c r="N181" s="569">
        <f>N117+N120+N121+N124+N125+N130+N131+N136+N137+N138+N139+N140+N141+N158+N159+N160+N161</f>
        <v>0</v>
      </c>
      <c r="O181" s="564">
        <f>J181</f>
        <v>296457</v>
      </c>
      <c r="P181" s="565"/>
      <c r="Q181" s="570"/>
      <c r="R181" s="565"/>
      <c r="S181" s="565"/>
      <c r="T181" s="565"/>
      <c r="U181" s="565"/>
      <c r="V181" s="565"/>
      <c r="W181" s="565"/>
      <c r="X181" s="565"/>
      <c r="Y181" s="565"/>
      <c r="Z181" s="565"/>
      <c r="AA181" s="565"/>
      <c r="AB181" s="565"/>
      <c r="AC181" s="565"/>
      <c r="AD181" s="571"/>
      <c r="AE181" s="565"/>
      <c r="AF181" s="564"/>
      <c r="AG181" s="564"/>
      <c r="AH181" s="564"/>
      <c r="AI181" s="564"/>
      <c r="AJ181" s="564"/>
      <c r="AK181" s="564"/>
      <c r="AL181" s="564"/>
      <c r="AM181" s="564"/>
      <c r="AN181" s="565">
        <f>AN48+AN50+AN114+AN117+AN120+AN121+AN122+AN123+AN124+AN125+AN130+AN131+AN136+AN137+AN138+AN139+AN140+AN141+AN158+AN159+AN160+AN161</f>
        <v>225550.62302724001</v>
      </c>
      <c r="AO181" s="565">
        <f>AO48+AO50+AO114+AO117+AO120+AO121+AO122+AO123+AO124+AO125+AO130+AO131+AO136+AO137+AO138+AO139+AO140+AO141+AO158+AO159+AO160+AO161</f>
        <v>456815.59322723997</v>
      </c>
      <c r="AP181" s="565">
        <f>AP48+AP50+AP114+AP117+AP120+AP121+AP122+AP123+AP124+AP125+AP130+AP131+AP136+AP137+AP138+AP139+AP140+AP141+AP158+AP159+AP160+AP161</f>
        <v>676651.86908172001</v>
      </c>
      <c r="AQ181" s="565">
        <f>AQ48+AQ50+AQ114+AQ117+AQ120+AQ121+AQ122+AQ123+AQ124+AQ125+AQ130+AQ131+AQ136+AQ137+AQ138+AQ139+AQ140+AQ141+AQ158+AQ159+AQ160+AQ161</f>
        <v>902202.49210896005</v>
      </c>
      <c r="AR181" s="565">
        <f>AN181+AO181+AP181+AQ181</f>
        <v>2261220.5774451601</v>
      </c>
      <c r="AS181" s="565" t="s">
        <v>963</v>
      </c>
      <c r="AT181" s="565"/>
      <c r="AU181" s="565"/>
      <c r="AV181" s="565"/>
      <c r="AW181" s="565"/>
      <c r="AX181" s="565"/>
    </row>
    <row r="182" spans="2:50" ht="48.75" customHeight="1">
      <c r="C182" s="316" t="s">
        <v>273</v>
      </c>
      <c r="D182" s="312"/>
      <c r="E182" s="312"/>
      <c r="F182" s="312"/>
      <c r="G182" s="542">
        <f>G179-G180-G181</f>
        <v>388</v>
      </c>
      <c r="H182" s="542">
        <f>AR172-H180-H181</f>
        <v>82875267.257876977</v>
      </c>
      <c r="I182" s="542"/>
      <c r="J182" s="559">
        <f>J172-J180-J181</f>
        <v>1350950.1778987697</v>
      </c>
      <c r="K182" s="559"/>
      <c r="L182" s="559">
        <f>L172-L180-L181</f>
        <v>190157.78724101186</v>
      </c>
      <c r="M182" s="559"/>
      <c r="N182" s="559">
        <f>N172-N180-N181</f>
        <v>198198.77744469247</v>
      </c>
      <c r="O182" s="524">
        <f>SUM(J182:N182)</f>
        <v>1739306.7425844742</v>
      </c>
      <c r="Q182" s="572"/>
      <c r="R182" s="622"/>
      <c r="S182" s="628" t="s">
        <v>1100</v>
      </c>
      <c r="T182" s="628" t="s">
        <v>1101</v>
      </c>
      <c r="U182" s="628" t="s">
        <v>1100</v>
      </c>
      <c r="V182" s="628" t="s">
        <v>1101</v>
      </c>
      <c r="W182" s="628"/>
      <c r="X182" s="628" t="s">
        <v>1100</v>
      </c>
      <c r="Y182" s="628" t="s">
        <v>1101</v>
      </c>
      <c r="Z182" s="628"/>
      <c r="AA182" s="628"/>
      <c r="AB182" s="628" t="s">
        <v>1100</v>
      </c>
      <c r="AC182" s="628" t="s">
        <v>1101</v>
      </c>
    </row>
    <row r="183" spans="2:50" ht="21" customHeight="1">
      <c r="C183" s="405" t="s">
        <v>961</v>
      </c>
      <c r="D183" s="319">
        <f>S172-D184</f>
        <v>8290765.3157877047</v>
      </c>
      <c r="E183" s="319">
        <f>U172-E184</f>
        <v>16581530.631575409</v>
      </c>
      <c r="F183" s="319">
        <f>X172-F184</f>
        <v>24872295.947363079</v>
      </c>
      <c r="G183" s="559">
        <f>AB172-G184</f>
        <v>33163061.263150819</v>
      </c>
      <c r="H183" s="559">
        <f>SUM(D183:G183)</f>
        <v>82907653.157877013</v>
      </c>
      <c r="J183" s="573">
        <v>1</v>
      </c>
      <c r="K183" s="542"/>
      <c r="L183" s="574">
        <v>0</v>
      </c>
      <c r="M183" s="542"/>
      <c r="N183" s="574">
        <v>0</v>
      </c>
      <c r="R183" s="623" t="s">
        <v>783</v>
      </c>
      <c r="S183" s="623">
        <f>(S48+S50+S114+S117+S120+S121+S122+S123+S124+S125+S130+S131+S136+S137+S138+S139+S140+S141+S158+S159+S160+S161)*S177</f>
        <v>1078084.7229157353</v>
      </c>
      <c r="T183" s="623">
        <f>(T48+T50+T114+T117+T120+T121+T122+T123+T124+T125+T130+T131+T136+T137+T138+T139+T140+T141+T158+T159+T160+T161)*S177</f>
        <v>27448.86952333547</v>
      </c>
      <c r="U183" s="623">
        <f>(U48+U50+U114+U117+U120+U121+U122+U123+U124+U125+U130+U131+U136+U137+U138+U139+U140+U141+U158+U159+U160+U161)*U177</f>
        <v>2156169.4458314707</v>
      </c>
      <c r="V183" s="623">
        <f>(V48+V50+V114+V117+V120+V121+V122+V123+V124+V125+V130+V131+V136+V137+V138+V139+V140+V141+V158+V159+V160+V161)*U177</f>
        <v>54897.73904667094</v>
      </c>
      <c r="W183" s="623"/>
      <c r="X183" s="623">
        <f>(X48+X50+X114+X117+X120+X121+X122+X123+X124+X125+X130+X131+X136+X137+X138+X139+X140+X141+X158+X159+X160+X161)*X177</f>
        <v>3277374.6172657097</v>
      </c>
      <c r="Y183" s="623">
        <f>(Y48+Y50+Y114+Y117+Y120+Y121+Y122+Y123+Y124+Y125+Y130+Y131+Y136+Y137+Y138+Y139+Y140+Y141+Y158+Y159+Y160+Y161)*X177</f>
        <v>83444.488486133021</v>
      </c>
      <c r="Z183" s="623"/>
      <c r="AA183" s="623"/>
      <c r="AB183" s="623">
        <f>(AB48+AB50+AB114+AB117+AB120+AB121+AB122+AB123+AB124+AB125+AB130+AB131+AB136+AB137+AB138+AB139+AB140+AB141+AB158+AB159+AB160+AB161)*AB177</f>
        <v>4416494.6262353929</v>
      </c>
      <c r="AC183" s="623">
        <f>(AC48+AC50+AC114+AC117+AC120+AC121+AC122+AC123+AC124+AC125+AC130+AC131+AC136+AC137+AC138+AC139+AC140+AC141+AC158+AC159+AC160+AC161)*AB177</f>
        <v>112447.36352276729</v>
      </c>
    </row>
    <row r="184" spans="2:50" ht="21" customHeight="1">
      <c r="C184" s="405" t="s">
        <v>962</v>
      </c>
      <c r="D184" s="319">
        <f>S48+++S50+S114+S117+S120+S121+S122+S123+S124+S125+S130+S131+S136+S137+S138+S139+S140+S141+S158+S159+S160+S161</f>
        <v>1051204.4100000001</v>
      </c>
      <c r="E184" s="319">
        <f>U48+++U50+U114+U117+U120+U121+U122+U123+U124+U125+U130+U131+U136+U137+U138+U139+U140+U141+U158+U159+U160+U161</f>
        <v>2102408.8200000003</v>
      </c>
      <c r="F184" s="319">
        <f>X48+X50+X114+X117+X120+X121+X122+X123+X124+X125+X130+X131+X136+X137+X138+X139+X140+X141+X158+X159+X160+X161</f>
        <v>3153613.23</v>
      </c>
      <c r="G184" s="559">
        <f>AB48+AB50+AB114+AB117+AB120+AB121+AB122+AB123+AB124+AB125+AB130+AB131+AB136+AB137+AB138+AB139+AB140+AB141+AB158+AB159+AB160+AB161</f>
        <v>4204817.6400000006</v>
      </c>
      <c r="H184" s="559">
        <f>SUM(D184:G184)</f>
        <v>10512044.100000001</v>
      </c>
      <c r="J184" s="573">
        <v>1</v>
      </c>
      <c r="K184" s="542"/>
      <c r="L184" s="574">
        <v>0</v>
      </c>
      <c r="M184" s="542"/>
      <c r="N184" s="574">
        <v>0</v>
      </c>
      <c r="R184" s="623" t="s">
        <v>868</v>
      </c>
      <c r="S184" s="1120">
        <f>S183+T183</f>
        <v>1105533.5924390708</v>
      </c>
      <c r="T184" s="1120"/>
      <c r="U184" s="1120">
        <f>U183+V183</f>
        <v>2211067.1848781416</v>
      </c>
      <c r="V184" s="1120"/>
      <c r="W184" s="623"/>
      <c r="X184" s="1120">
        <f>X183+Y183</f>
        <v>3360819.1057518427</v>
      </c>
      <c r="Y184" s="1120"/>
      <c r="Z184" s="623"/>
      <c r="AA184" s="623"/>
      <c r="AB184" s="1120">
        <f>AB183+AC183</f>
        <v>4528941.98975816</v>
      </c>
      <c r="AC184" s="1120"/>
    </row>
    <row r="185" spans="2:50" ht="21" customHeight="1">
      <c r="C185" s="405" t="s">
        <v>964</v>
      </c>
      <c r="D185" s="312">
        <f>AN172-D186</f>
        <v>1778899.769216673</v>
      </c>
      <c r="E185" s="312">
        <f>AO172-E186</f>
        <v>3602868.1386899659</v>
      </c>
      <c r="F185" s="312">
        <f>AP172-F186</f>
        <v>5336699.3076500166</v>
      </c>
      <c r="G185" s="542">
        <f>AQ172-G186</f>
        <v>7115599.0768666919</v>
      </c>
      <c r="H185" s="559">
        <f>SUM(D185:G185)</f>
        <v>17834066.292423345</v>
      </c>
      <c r="J185" s="573">
        <f>J182/O182</f>
        <v>0.77671761100135972</v>
      </c>
      <c r="K185" s="542"/>
      <c r="L185" s="574">
        <f>L182/O182</f>
        <v>0.10932964415376911</v>
      </c>
      <c r="M185" s="542"/>
      <c r="N185" s="574">
        <f>N182/O182</f>
        <v>0.1139527448448711</v>
      </c>
      <c r="O185" s="524">
        <f>SUM(O180:O184)</f>
        <v>2064606.7425844742</v>
      </c>
      <c r="R185" s="623"/>
      <c r="S185" s="623"/>
      <c r="T185" s="623"/>
      <c r="U185" s="623"/>
      <c r="V185" s="623"/>
      <c r="W185" s="623"/>
      <c r="X185" s="623"/>
      <c r="Y185" s="623"/>
      <c r="Z185" s="623"/>
      <c r="AA185" s="623"/>
      <c r="AB185" s="623"/>
      <c r="AC185" s="623"/>
    </row>
    <row r="186" spans="2:50" ht="21" customHeight="1">
      <c r="C186" s="405" t="s">
        <v>965</v>
      </c>
      <c r="D186" s="312">
        <f>AN181</f>
        <v>225550.62302724001</v>
      </c>
      <c r="E186" s="312">
        <f>AO181</f>
        <v>456815.59322723997</v>
      </c>
      <c r="F186" s="312">
        <f>AP181</f>
        <v>676651.86908172001</v>
      </c>
      <c r="G186" s="542">
        <f>AQ181</f>
        <v>902202.49210896005</v>
      </c>
      <c r="H186" s="559">
        <f>SUM(D186:G186)</f>
        <v>2261220.5774451601</v>
      </c>
      <c r="P186" s="524"/>
      <c r="R186" s="623" t="s">
        <v>737</v>
      </c>
      <c r="S186" s="622">
        <f>'I. Фін результат'!F91*1000+'I. Фін результат'!F101*1000</f>
        <v>258323.15999999995</v>
      </c>
      <c r="T186" s="622"/>
      <c r="U186" s="622">
        <f>'I. Фін результат'!G91*1000+'I. Фін результат'!G101*1000</f>
        <v>516646.31999999989</v>
      </c>
      <c r="V186" s="622"/>
      <c r="W186" s="622"/>
      <c r="X186" s="622">
        <f>('I. Фін результат'!H91+'I. Фін результат'!H101)*1000</f>
        <v>785302.36999999988</v>
      </c>
      <c r="Y186" s="622"/>
      <c r="Z186" s="623"/>
      <c r="AA186" s="622"/>
      <c r="AB186" s="622">
        <f>('I. Фін результат'!I91+'I. Фін результат'!I101)*1000</f>
        <v>1058256.93</v>
      </c>
      <c r="AC186" s="622"/>
      <c r="AD186" s="524"/>
      <c r="AE186" s="524"/>
      <c r="AN186" s="524"/>
      <c r="AO186" s="524"/>
      <c r="AP186" s="524"/>
      <c r="AQ186" s="524"/>
    </row>
    <row r="187" spans="2:50" ht="21" customHeight="1">
      <c r="H187" s="559">
        <f>H183+H184</f>
        <v>93419697.257877022</v>
      </c>
      <c r="J187" s="523">
        <f>O187*J185</f>
        <v>0</v>
      </c>
      <c r="O187" s="524">
        <f>R182</f>
        <v>0</v>
      </c>
      <c r="R187" s="623"/>
      <c r="S187" s="622"/>
      <c r="T187" s="623"/>
      <c r="U187" s="623"/>
      <c r="V187" s="623"/>
      <c r="W187" s="623"/>
      <c r="X187" s="623"/>
      <c r="Y187" s="623"/>
      <c r="Z187" s="623"/>
      <c r="AA187" s="623"/>
      <c r="AB187" s="622"/>
      <c r="AC187" s="622"/>
    </row>
    <row r="188" spans="2:50" ht="21" customHeight="1">
      <c r="H188" s="559">
        <f>H185+H186</f>
        <v>20095286.869868506</v>
      </c>
      <c r="R188" s="623" t="s">
        <v>1102</v>
      </c>
      <c r="S188" s="622">
        <f>S172*S177-S183</f>
        <v>8502768.1992224287</v>
      </c>
      <c r="T188" s="622">
        <f>T172*S177-T183</f>
        <v>4009657.7583385091</v>
      </c>
      <c r="U188" s="622">
        <f>U172*U177-U183</f>
        <v>17005536.398444857</v>
      </c>
      <c r="V188" s="622">
        <f>V172*U177-V183</f>
        <v>8019315.5166770183</v>
      </c>
      <c r="W188" s="622"/>
      <c r="X188" s="622">
        <f>X172*X177-X183</f>
        <v>25848392.13495072</v>
      </c>
      <c r="Y188" s="622">
        <f>Y172*X177-Y183</f>
        <v>12189348.649297465</v>
      </c>
      <c r="Z188" s="622"/>
      <c r="AA188" s="622"/>
      <c r="AB188" s="622">
        <f>AB172*AB177-AB183</f>
        <v>34832540.765839413</v>
      </c>
      <c r="AC188" s="622">
        <f>AC172*AB177-AC183</f>
        <v>16426011.394402446</v>
      </c>
      <c r="AD188" s="524"/>
      <c r="AE188" s="524"/>
      <c r="AN188" s="524"/>
      <c r="AO188" s="524"/>
      <c r="AP188" s="524"/>
      <c r="AQ188" s="524"/>
      <c r="AR188" s="524"/>
    </row>
    <row r="189" spans="2:50" hidden="1">
      <c r="B189" s="308">
        <v>200</v>
      </c>
      <c r="C189" s="432">
        <f>B189*15200/1000</f>
        <v>3040</v>
      </c>
      <c r="H189" s="575">
        <f>H188/H187</f>
        <v>0.21510759999999998</v>
      </c>
      <c r="R189" s="566"/>
      <c r="S189" s="566"/>
      <c r="T189" s="566"/>
      <c r="U189" s="566"/>
      <c r="V189" s="566"/>
      <c r="W189" s="566"/>
      <c r="X189" s="566"/>
      <c r="Y189" s="566"/>
      <c r="Z189" s="566"/>
      <c r="AA189" s="566"/>
      <c r="AB189" s="614"/>
      <c r="AC189" s="614"/>
    </row>
    <row r="190" spans="2:50" ht="21" customHeight="1">
      <c r="R190" s="623" t="s">
        <v>868</v>
      </c>
      <c r="S190" s="1118">
        <f>S188+T188</f>
        <v>12512425.957560938</v>
      </c>
      <c r="T190" s="1118"/>
      <c r="U190" s="1118">
        <f>U188+V188</f>
        <v>25024851.915121876</v>
      </c>
      <c r="V190" s="1118"/>
      <c r="W190" s="622"/>
      <c r="X190" s="1118">
        <f>X188+Y188</f>
        <v>38037740.784248188</v>
      </c>
      <c r="Y190" s="1118"/>
      <c r="Z190" s="622"/>
      <c r="AA190" s="622"/>
      <c r="AB190" s="1118">
        <f>AB188+AC188</f>
        <v>51258552.160241857</v>
      </c>
      <c r="AC190" s="1118"/>
    </row>
    <row r="191" spans="2:50" ht="21" customHeight="1">
      <c r="R191" s="623" t="s">
        <v>1105</v>
      </c>
      <c r="S191" s="622">
        <f>S193-S186</f>
        <v>2663600.8071999969</v>
      </c>
      <c r="T191" s="622"/>
      <c r="U191" s="622">
        <f>U193-U186</f>
        <v>5327201.6143999938</v>
      </c>
      <c r="V191" s="622"/>
      <c r="W191" s="622"/>
      <c r="X191" s="622">
        <f>X193-X186</f>
        <v>8096858.2237999914</v>
      </c>
      <c r="Y191" s="622"/>
      <c r="Z191" s="622"/>
      <c r="AA191" s="622"/>
      <c r="AB191" s="622">
        <f>AB193-AB186</f>
        <v>10911429.140199991</v>
      </c>
      <c r="AC191" s="622"/>
    </row>
    <row r="192" spans="2:50" ht="21" customHeight="1">
      <c r="R192" s="623" t="s">
        <v>1103</v>
      </c>
      <c r="S192" s="622">
        <f>S184+S190</f>
        <v>13617959.550000008</v>
      </c>
      <c r="T192" s="622"/>
      <c r="U192" s="622">
        <f>U184+U190</f>
        <v>27235919.100000016</v>
      </c>
      <c r="V192" s="622"/>
      <c r="W192" s="622"/>
      <c r="X192" s="622">
        <f>X184+X190</f>
        <v>41398559.89000003</v>
      </c>
      <c r="Y192" s="622"/>
      <c r="Z192" s="622"/>
      <c r="AA192" s="622"/>
      <c r="AB192" s="622">
        <f>AB184+AB190</f>
        <v>55787494.150000021</v>
      </c>
      <c r="AC192" s="623"/>
    </row>
    <row r="193" spans="3:29" ht="21" customHeight="1">
      <c r="R193" s="623" t="s">
        <v>1104</v>
      </c>
      <c r="S193" s="623">
        <f>'I. Фін результат'!F200*1000</f>
        <v>2921923.967199997</v>
      </c>
      <c r="T193" s="623"/>
      <c r="U193" s="623">
        <f>'I. Фін результат'!G200*1000</f>
        <v>5843847.9343999941</v>
      </c>
      <c r="V193" s="623"/>
      <c r="W193" s="623"/>
      <c r="X193" s="623">
        <f>'I. Фін результат'!H200*1000</f>
        <v>8882160.5937999915</v>
      </c>
      <c r="Y193" s="623"/>
      <c r="Z193" s="623"/>
      <c r="AA193" s="623"/>
      <c r="AB193" s="623">
        <f>'I. Фін результат'!I200*1000</f>
        <v>11969686.070199991</v>
      </c>
      <c r="AC193" s="623"/>
    </row>
    <row r="194" spans="3:29" ht="25.5" customHeight="1">
      <c r="C194" s="441" t="s">
        <v>1018</v>
      </c>
      <c r="D194" s="319">
        <f>D183+D184</f>
        <v>9341969.7257877048</v>
      </c>
      <c r="E194" s="319">
        <f>E183+E184</f>
        <v>18683939.45157541</v>
      </c>
      <c r="F194" s="319">
        <f>F183+F184</f>
        <v>28025909.177363079</v>
      </c>
      <c r="G194" s="559">
        <f>G183+G184</f>
        <v>37367878.903150819</v>
      </c>
    </row>
    <row r="195" spans="3:29" ht="14.25" customHeight="1">
      <c r="C195" s="441" t="s">
        <v>1019</v>
      </c>
      <c r="D195" s="312">
        <f>D194*1.5%</f>
        <v>140129.54588681555</v>
      </c>
      <c r="E195" s="312">
        <f>E194*1.5%</f>
        <v>280259.09177363111</v>
      </c>
      <c r="F195" s="312">
        <f>F194*1.5%</f>
        <v>420388.63766044617</v>
      </c>
      <c r="G195" s="542">
        <f>G194*1.5%</f>
        <v>560518.18354726222</v>
      </c>
    </row>
    <row r="196" spans="3:29" ht="17.25" customHeight="1">
      <c r="C196" s="441" t="s">
        <v>737</v>
      </c>
      <c r="D196" s="312">
        <f>D194*18%</f>
        <v>1681554.5506417868</v>
      </c>
      <c r="E196" s="312">
        <f>E194*18%</f>
        <v>3363109.1012835735</v>
      </c>
      <c r="F196" s="312">
        <f>F194*18%</f>
        <v>5044663.6519253543</v>
      </c>
      <c r="G196" s="542">
        <f>G194*18%</f>
        <v>6726218.2025671471</v>
      </c>
    </row>
    <row r="197" spans="3:29" ht="9" customHeight="1"/>
    <row r="198" spans="3:29">
      <c r="R198" s="581"/>
      <c r="S198" s="581" t="s">
        <v>380</v>
      </c>
      <c r="T198" s="581" t="s">
        <v>372</v>
      </c>
      <c r="U198" s="581" t="s">
        <v>373</v>
      </c>
      <c r="V198" s="581" t="s">
        <v>87</v>
      </c>
    </row>
    <row r="199" spans="3:29">
      <c r="R199" s="618" t="s">
        <v>625</v>
      </c>
      <c r="S199" s="619">
        <f>SUM(S4:T113)</f>
        <v>10541360.376909232</v>
      </c>
      <c r="T199" s="619">
        <f>SUM(U4:V113)</f>
        <v>21082720.753818464</v>
      </c>
      <c r="U199" s="619">
        <f>SUM(X4:Y113)</f>
        <v>31624081.130727675</v>
      </c>
      <c r="V199" s="619">
        <f>SUM(AB4:AC113)</f>
        <v>42165441.507636927</v>
      </c>
      <c r="X199" s="612">
        <f>V199+V202</f>
        <v>53113670.307636924</v>
      </c>
      <c r="Y199" s="612">
        <f>X199/1000-'I. Фін результат'!I199</f>
        <v>-2673.8238423630974</v>
      </c>
    </row>
    <row r="200" spans="3:29">
      <c r="R200" s="620" t="s">
        <v>626</v>
      </c>
      <c r="S200" s="619">
        <f>(S199-S205)*22%+S205*8.41%</f>
        <v>2319099.2829200309</v>
      </c>
      <c r="T200" s="619">
        <f>(T199-T205)*22%+T205*8.41%</f>
        <v>4638198.5658400618</v>
      </c>
      <c r="U200" s="619">
        <f>(U199-U205)*22%+U205*8.41%</f>
        <v>6957297.8487600889</v>
      </c>
      <c r="V200" s="619">
        <f>(V199-V205)*22%+V205*8.41%</f>
        <v>9276397.1316801235</v>
      </c>
    </row>
    <row r="201" spans="3:29">
      <c r="R201" s="620"/>
      <c r="S201" s="619"/>
      <c r="T201" s="619"/>
      <c r="U201" s="619"/>
      <c r="V201" s="619"/>
    </row>
    <row r="202" spans="3:29">
      <c r="R202" s="620" t="s">
        <v>627</v>
      </c>
      <c r="S202" s="619">
        <f>SUM(S114:S171)</f>
        <v>2737057.1999999997</v>
      </c>
      <c r="T202" s="619">
        <f>SUM(U114:U171)</f>
        <v>5474114.3999999994</v>
      </c>
      <c r="U202" s="619">
        <f>SUM(X114:X171)</f>
        <v>8211171.6000000006</v>
      </c>
      <c r="V202" s="619">
        <f>SUM(AB114:AB171)</f>
        <v>10948228.799999999</v>
      </c>
    </row>
    <row r="203" spans="3:29">
      <c r="R203" s="620" t="s">
        <v>626</v>
      </c>
      <c r="S203" s="619">
        <f>(S202-S206)*22%+S206*8.41%</f>
        <v>602152.58399999992</v>
      </c>
      <c r="T203" s="619">
        <f>(T202-T206)*22%+T206*8.41%</f>
        <v>1204305.1679999998</v>
      </c>
      <c r="U203" s="619">
        <f>(U202-U206)*22%+U206*8.41%</f>
        <v>1806457.7520000001</v>
      </c>
      <c r="V203" s="619">
        <f>(V202-V206)*22%+V206*8.41%</f>
        <v>2408610.3359999997</v>
      </c>
    </row>
    <row r="204" spans="3:29">
      <c r="R204" s="620"/>
      <c r="S204" s="619"/>
      <c r="T204" s="619"/>
      <c r="U204" s="619"/>
      <c r="V204" s="619"/>
    </row>
    <row r="205" spans="3:29">
      <c r="R205" s="620" t="s">
        <v>628</v>
      </c>
      <c r="S205" s="621"/>
      <c r="T205" s="621"/>
      <c r="U205" s="621"/>
      <c r="V205" s="621"/>
    </row>
    <row r="206" spans="3:29">
      <c r="R206" s="620" t="s">
        <v>629</v>
      </c>
      <c r="S206" s="621"/>
      <c r="T206" s="621"/>
      <c r="U206" s="621"/>
      <c r="V206" s="621"/>
    </row>
    <row r="207" spans="3:29">
      <c r="R207" s="620" t="s">
        <v>626</v>
      </c>
      <c r="S207" s="619"/>
      <c r="T207" s="619"/>
      <c r="U207" s="619"/>
      <c r="V207" s="619"/>
    </row>
    <row r="208" spans="3:29">
      <c r="R208" s="620"/>
      <c r="S208" s="619"/>
      <c r="T208" s="619"/>
      <c r="U208" s="619"/>
      <c r="V208" s="619"/>
    </row>
    <row r="209" spans="18:22">
      <c r="R209" s="620" t="s">
        <v>630</v>
      </c>
      <c r="S209" s="619">
        <f>S199+S202</f>
        <v>13278417.576909231</v>
      </c>
      <c r="T209" s="619">
        <f t="shared" ref="T209:V210" si="90">T199+T202</f>
        <v>26556835.153818462</v>
      </c>
      <c r="U209" s="619">
        <f t="shared" si="90"/>
        <v>39835252.730727673</v>
      </c>
      <c r="V209" s="619">
        <f t="shared" si="90"/>
        <v>53113670.307636924</v>
      </c>
    </row>
    <row r="210" spans="18:22">
      <c r="R210" s="620" t="s">
        <v>450</v>
      </c>
      <c r="S210" s="619">
        <f>S200+S203</f>
        <v>2921251.8669200307</v>
      </c>
      <c r="T210" s="619">
        <f t="shared" si="90"/>
        <v>5842503.7338400614</v>
      </c>
      <c r="U210" s="619">
        <f t="shared" si="90"/>
        <v>8763755.6007600892</v>
      </c>
      <c r="V210" s="619">
        <f t="shared" si="90"/>
        <v>11685007.467680123</v>
      </c>
    </row>
    <row r="211" spans="18:22">
      <c r="R211" s="581"/>
      <c r="S211" s="581"/>
      <c r="T211" s="581"/>
      <c r="U211" s="581"/>
      <c r="V211" s="581"/>
    </row>
    <row r="212" spans="18:22">
      <c r="R212" s="581"/>
      <c r="S212" s="581" t="s">
        <v>631</v>
      </c>
      <c r="T212" s="581"/>
      <c r="U212" s="581"/>
      <c r="V212" s="581"/>
    </row>
    <row r="213" spans="18:22">
      <c r="R213" s="581"/>
      <c r="S213" s="581"/>
      <c r="T213" s="581"/>
      <c r="U213" s="581"/>
      <c r="V213" s="581"/>
    </row>
    <row r="214" spans="18:22" ht="27" customHeight="1">
      <c r="R214" s="581"/>
      <c r="S214" s="630" t="s">
        <v>632</v>
      </c>
      <c r="T214" s="624"/>
      <c r="U214" s="581"/>
      <c r="V214" s="581"/>
    </row>
    <row r="215" spans="18:22" ht="27" customHeight="1">
      <c r="R215" s="581"/>
      <c r="S215" s="624" t="s">
        <v>272</v>
      </c>
      <c r="T215" s="633">
        <f>AB114</f>
        <v>346116</v>
      </c>
      <c r="U215" s="581"/>
      <c r="V215" s="581"/>
    </row>
    <row r="216" spans="18:22" ht="27" customHeight="1">
      <c r="R216" s="581"/>
      <c r="S216" s="624" t="s">
        <v>633</v>
      </c>
      <c r="T216" s="632">
        <f>AB184-T215</f>
        <v>4182825.98975816</v>
      </c>
      <c r="U216" s="581"/>
      <c r="V216" s="581"/>
    </row>
    <row r="217" spans="18:22" ht="27" customHeight="1">
      <c r="R217" s="581"/>
      <c r="S217" s="624" t="s">
        <v>273</v>
      </c>
      <c r="T217" s="632">
        <f>AB190</f>
        <v>51258552.160241857</v>
      </c>
      <c r="U217" s="581"/>
      <c r="V217" s="581"/>
    </row>
    <row r="218" spans="18:22" ht="27" customHeight="1">
      <c r="R218" s="581"/>
      <c r="S218" s="624"/>
      <c r="T218" s="625"/>
      <c r="U218" s="581"/>
      <c r="V218" s="581"/>
    </row>
    <row r="219" spans="18:22" ht="27" customHeight="1">
      <c r="R219" s="581"/>
      <c r="S219" s="630" t="s">
        <v>634</v>
      </c>
      <c r="T219" s="625"/>
      <c r="U219" s="615"/>
      <c r="V219" s="615"/>
    </row>
    <row r="220" spans="18:22" ht="27" customHeight="1">
      <c r="R220" s="581"/>
      <c r="S220" s="624" t="s">
        <v>272</v>
      </c>
      <c r="T220" s="632">
        <f>T215*1.22</f>
        <v>422261.52</v>
      </c>
      <c r="U220" s="615"/>
      <c r="V220" s="615"/>
    </row>
    <row r="221" spans="18:22" ht="27" customHeight="1">
      <c r="R221" s="581"/>
      <c r="S221" s="624" t="s">
        <v>633</v>
      </c>
      <c r="T221" s="632">
        <f>AB184+AB186-T220</f>
        <v>5164937.3997581601</v>
      </c>
      <c r="U221" s="615"/>
      <c r="V221" s="615"/>
    </row>
    <row r="222" spans="18:22" ht="27" customHeight="1">
      <c r="R222" s="581"/>
      <c r="S222" s="624" t="s">
        <v>273</v>
      </c>
      <c r="T222" s="632">
        <f>AB190+AB191</f>
        <v>62169981.300441846</v>
      </c>
      <c r="U222" s="615"/>
      <c r="V222" s="615"/>
    </row>
    <row r="223" spans="18:22" ht="27" customHeight="1">
      <c r="R223" s="581"/>
      <c r="S223" s="624"/>
      <c r="T223" s="632">
        <f>T220+T221+T222</f>
        <v>67757180.220200002</v>
      </c>
      <c r="U223" s="615"/>
      <c r="V223" s="615"/>
    </row>
    <row r="224" spans="18:22" ht="27" customHeight="1">
      <c r="R224" s="581"/>
      <c r="S224" s="630" t="s">
        <v>635</v>
      </c>
      <c r="T224" s="625"/>
      <c r="U224" s="615"/>
      <c r="V224" s="615"/>
    </row>
    <row r="225" spans="18:23" ht="27" customHeight="1">
      <c r="R225" s="581"/>
      <c r="S225" s="624" t="s">
        <v>272</v>
      </c>
      <c r="T225" s="632">
        <f>J114</f>
        <v>28843</v>
      </c>
      <c r="U225" s="631">
        <v>1</v>
      </c>
      <c r="V225" s="615"/>
    </row>
    <row r="226" spans="18:23" ht="27" customHeight="1">
      <c r="R226" s="581"/>
      <c r="S226" s="624" t="s">
        <v>633</v>
      </c>
      <c r="T226" s="632">
        <f>V226/U226/12</f>
        <v>12114.22210189105</v>
      </c>
      <c r="U226" s="631">
        <v>28</v>
      </c>
      <c r="V226" s="615">
        <f>AB183-T215</f>
        <v>4070378.6262353929</v>
      </c>
      <c r="W226" s="523">
        <f>V226/12/U226</f>
        <v>12114.22210189105</v>
      </c>
    </row>
    <row r="227" spans="18:23" ht="27" customHeight="1">
      <c r="R227" s="581"/>
      <c r="S227" s="624" t="s">
        <v>273</v>
      </c>
      <c r="T227" s="632">
        <f>AB188/U227/12</f>
        <v>7679.131562133909</v>
      </c>
      <c r="U227" s="631">
        <f>G179-U225-U226</f>
        <v>378</v>
      </c>
      <c r="V227" s="629">
        <f>AB188</f>
        <v>34832540.765839413</v>
      </c>
      <c r="W227" s="523">
        <f>V227/12/U227</f>
        <v>7679.1315621339099</v>
      </c>
    </row>
    <row r="228" spans="18:23" ht="27" customHeight="1">
      <c r="R228" s="581"/>
      <c r="S228" s="624"/>
      <c r="T228" s="625"/>
      <c r="U228" s="615"/>
      <c r="V228" s="615"/>
    </row>
    <row r="229" spans="18:23" ht="27" customHeight="1">
      <c r="R229" s="581"/>
      <c r="S229" s="630" t="s">
        <v>636</v>
      </c>
      <c r="T229" s="625"/>
      <c r="U229" s="615"/>
      <c r="V229" s="615"/>
    </row>
    <row r="230" spans="18:23" ht="27" customHeight="1">
      <c r="R230" s="581"/>
      <c r="S230" s="624" t="s">
        <v>272</v>
      </c>
      <c r="T230" s="632">
        <f>T225</f>
        <v>28843</v>
      </c>
      <c r="U230" s="615"/>
      <c r="V230" s="615"/>
    </row>
    <row r="231" spans="18:23" ht="27" customHeight="1">
      <c r="R231" s="581"/>
      <c r="S231" s="624" t="s">
        <v>633</v>
      </c>
      <c r="T231" s="632">
        <f>(AB184-T215)/U226/12</f>
        <v>12448.886874280237</v>
      </c>
      <c r="U231" s="615"/>
      <c r="V231" s="615"/>
    </row>
    <row r="232" spans="18:23" ht="27" customHeight="1">
      <c r="R232" s="581"/>
      <c r="S232" s="624" t="s">
        <v>273</v>
      </c>
      <c r="T232" s="632">
        <f>AB190/U227/12</f>
        <v>11300.386278712931</v>
      </c>
      <c r="U232" s="615"/>
      <c r="V232" s="615"/>
    </row>
  </sheetData>
  <autoFilter ref="A3:AD178">
    <filterColumn colId="1">
      <filters>
        <filter val="АУП"/>
      </filters>
    </filterColumn>
  </autoFilter>
  <mergeCells count="9">
    <mergeCell ref="S190:T190"/>
    <mergeCell ref="U190:V190"/>
    <mergeCell ref="X190:Y190"/>
    <mergeCell ref="AB190:AC190"/>
    <mergeCell ref="S1:AB1"/>
    <mergeCell ref="S184:T184"/>
    <mergeCell ref="U184:V184"/>
    <mergeCell ref="X184:Y184"/>
    <mergeCell ref="AB184:AC18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5:F20"/>
  <sheetViews>
    <sheetView windowProtection="1" workbookViewId="0">
      <selection activeCell="F12" sqref="F12"/>
    </sheetView>
  </sheetViews>
  <sheetFormatPr defaultRowHeight="12.75"/>
  <cols>
    <col min="1" max="1" width="17.5703125" customWidth="1"/>
    <col min="2" max="2" width="16" customWidth="1"/>
    <col min="3" max="3" width="13" customWidth="1"/>
    <col min="4" max="4" width="13.140625" customWidth="1"/>
    <col min="5" max="6" width="12.140625" customWidth="1"/>
  </cols>
  <sheetData>
    <row r="5" spans="1:6" ht="25.5">
      <c r="A5" s="974" t="s">
        <v>394</v>
      </c>
      <c r="B5" s="974"/>
      <c r="C5" s="975" t="s">
        <v>395</v>
      </c>
      <c r="D5" s="975"/>
      <c r="E5" s="173" t="s">
        <v>396</v>
      </c>
      <c r="F5" s="173" t="s">
        <v>397</v>
      </c>
    </row>
    <row r="6" spans="1:6" ht="18">
      <c r="A6" s="170" t="s">
        <v>392</v>
      </c>
      <c r="B6" s="193">
        <v>0.22</v>
      </c>
      <c r="C6" s="198"/>
      <c r="D6" s="199"/>
      <c r="E6" s="172">
        <v>0.18</v>
      </c>
      <c r="F6" s="171">
        <v>1.4999999999999999E-2</v>
      </c>
    </row>
    <row r="7" spans="1:6" ht="25.5">
      <c r="A7" s="170" t="s">
        <v>393</v>
      </c>
      <c r="B7" s="202">
        <v>8.4099999999999994E-2</v>
      </c>
      <c r="C7" s="198"/>
      <c r="D7" s="176"/>
      <c r="E7" s="176"/>
      <c r="F7" s="176"/>
    </row>
    <row r="8" spans="1:6" ht="72.75" customHeight="1">
      <c r="A8" s="198"/>
      <c r="B8" s="199"/>
      <c r="C8" s="198"/>
      <c r="D8" s="199"/>
      <c r="E8" s="176"/>
      <c r="F8" s="176"/>
    </row>
    <row r="10" spans="1:6" ht="24" customHeight="1">
      <c r="B10" s="168"/>
      <c r="C10" s="169" t="s">
        <v>380</v>
      </c>
      <c r="D10" s="169" t="s">
        <v>372</v>
      </c>
      <c r="E10" s="169" t="s">
        <v>373</v>
      </c>
      <c r="F10" s="169" t="s">
        <v>87</v>
      </c>
    </row>
    <row r="11" spans="1:6" ht="25.5">
      <c r="B11" s="174" t="s">
        <v>399</v>
      </c>
      <c r="C11" s="191">
        <f>'I. Фін результат'!F199</f>
        <v>13617.95955000001</v>
      </c>
      <c r="D11" s="191">
        <f>'I. Фін результат'!G199</f>
        <v>27235.919100000021</v>
      </c>
      <c r="E11" s="191">
        <f>'I. Фін результат'!H199</f>
        <v>41398.559890000026</v>
      </c>
      <c r="F11" s="191">
        <f>'I. Фін результат'!I199</f>
        <v>55787.49415000002</v>
      </c>
    </row>
    <row r="12" spans="1:6" ht="26.25" customHeight="1">
      <c r="B12" s="175" t="s">
        <v>398</v>
      </c>
      <c r="C12" s="438">
        <f>ФОП!AO172/1000</f>
        <v>544.71819000000005</v>
      </c>
      <c r="D12" s="192">
        <f>C12+ФОП!AP172/1000</f>
        <v>1089.4363800000001</v>
      </c>
      <c r="E12" s="192">
        <f>D12+ФОП!AQ172/1000</f>
        <v>1655.9432900000006</v>
      </c>
      <c r="F12" s="192">
        <f>E12+ФОП!AR172/1000</f>
        <v>2231.5142600000008</v>
      </c>
    </row>
    <row r="13" spans="1:6">
      <c r="B13" s="200"/>
      <c r="C13" s="201"/>
      <c r="D13" s="201"/>
      <c r="E13" s="201"/>
      <c r="F13" s="201"/>
    </row>
    <row r="17" spans="2:6" ht="25.5">
      <c r="B17" s="165" t="s">
        <v>6</v>
      </c>
      <c r="C17" s="167">
        <f>(C11-C12)*$B$6+C12*$B$7</f>
        <v>2921.9238989790024</v>
      </c>
      <c r="D17" s="167">
        <f>(D11-D12)*$B$6+D12*$B$7</f>
        <v>5843.8477979580048</v>
      </c>
      <c r="E17" s="167">
        <f>(E11-E12)*$B$6+E12*$B$7</f>
        <v>8882.6404826890048</v>
      </c>
      <c r="F17" s="167">
        <f>(F11-F12)*$B$6+F12*$B$7</f>
        <v>11969.985925066003</v>
      </c>
    </row>
    <row r="18" spans="2:6" ht="38.25">
      <c r="B18" s="166" t="s">
        <v>400</v>
      </c>
      <c r="C18" s="167">
        <f>C11*$E$6</f>
        <v>2451.2327190000019</v>
      </c>
      <c r="D18" s="167">
        <f>D11*$E$6</f>
        <v>4902.4654380000038</v>
      </c>
      <c r="E18" s="167">
        <f>E11*$E$6</f>
        <v>7451.7407802000043</v>
      </c>
      <c r="F18" s="167">
        <f>F11*$E$6</f>
        <v>10041.748947000004</v>
      </c>
    </row>
    <row r="19" spans="2:6">
      <c r="B19" s="170" t="s">
        <v>397</v>
      </c>
      <c r="C19" s="167">
        <f>C11*$F$6</f>
        <v>204.26939325000015</v>
      </c>
      <c r="D19" s="167">
        <f>D11*$F$6</f>
        <v>408.5387865000003</v>
      </c>
      <c r="E19" s="167">
        <f>E11*$F$6</f>
        <v>620.97839835000036</v>
      </c>
      <c r="F19" s="167">
        <f>F11*$F$6</f>
        <v>836.81241225000031</v>
      </c>
    </row>
    <row r="20" spans="2:6">
      <c r="C20" s="164"/>
      <c r="D20" s="164"/>
      <c r="E20" s="164"/>
      <c r="F20" s="164"/>
    </row>
  </sheetData>
  <sheetProtection password="C6FB" sheet="1"/>
  <mergeCells count="2">
    <mergeCell ref="A5:B5"/>
    <mergeCell ref="C5:D5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J256"/>
  <sheetViews>
    <sheetView windowProtection="1" view="pageBreakPreview" topLeftCell="A13" zoomScale="75" zoomScaleNormal="75" zoomScaleSheetLayoutView="75" workbookViewId="0">
      <selection activeCell="H87" sqref="H87:J87"/>
    </sheetView>
  </sheetViews>
  <sheetFormatPr defaultRowHeight="18.75"/>
  <cols>
    <col min="1" max="1" width="50.28515625" style="2" customWidth="1"/>
    <col min="2" max="2" width="16.85546875" style="22" customWidth="1"/>
    <col min="3" max="3" width="14.5703125" style="22" customWidth="1"/>
    <col min="4" max="5" width="15.5703125" style="22" customWidth="1"/>
    <col min="6" max="6" width="14.5703125" style="22" customWidth="1"/>
    <col min="7" max="7" width="12.140625" style="2" customWidth="1"/>
    <col min="8" max="8" width="12.42578125" style="2" customWidth="1"/>
    <col min="9" max="9" width="17.140625" style="2" customWidth="1"/>
    <col min="10" max="10" width="17.42578125" style="2" customWidth="1"/>
    <col min="11" max="11" width="10" style="2" customWidth="1"/>
    <col min="12" max="12" width="9.5703125" style="2" customWidth="1"/>
    <col min="13" max="14" width="9.140625" style="2"/>
    <col min="15" max="15" width="10.5703125" style="2" customWidth="1"/>
    <col min="16" max="16384" width="9.140625" style="2"/>
  </cols>
  <sheetData>
    <row r="1" spans="1:10">
      <c r="A1" s="107"/>
      <c r="B1" s="108"/>
      <c r="C1" s="108"/>
      <c r="D1" s="108"/>
      <c r="E1" s="108"/>
      <c r="F1" s="108" t="s">
        <v>19</v>
      </c>
      <c r="G1" s="107"/>
      <c r="H1" s="107"/>
      <c r="I1" s="107"/>
      <c r="J1" s="107"/>
    </row>
    <row r="2" spans="1:10" ht="18.75" customHeight="1">
      <c r="A2" s="977" t="s">
        <v>382</v>
      </c>
      <c r="B2" s="977"/>
      <c r="C2" s="110"/>
      <c r="D2" s="111"/>
      <c r="E2" s="111"/>
      <c r="F2" s="978" t="s">
        <v>447</v>
      </c>
      <c r="G2" s="978"/>
      <c r="H2" s="978"/>
      <c r="I2" s="978"/>
      <c r="J2" s="978"/>
    </row>
    <row r="3" spans="1:10" ht="18.75" customHeight="1">
      <c r="A3" s="979" t="s">
        <v>383</v>
      </c>
      <c r="B3" s="979"/>
      <c r="C3" s="110"/>
      <c r="D3" s="113"/>
      <c r="E3" s="113"/>
      <c r="F3" s="978"/>
      <c r="G3" s="978"/>
      <c r="H3" s="978"/>
      <c r="I3" s="978"/>
      <c r="J3" s="978"/>
    </row>
    <row r="4" spans="1:10" ht="18.75" customHeight="1">
      <c r="A4" s="979" t="s">
        <v>383</v>
      </c>
      <c r="B4" s="979"/>
      <c r="C4" s="110"/>
      <c r="D4" s="113"/>
      <c r="E4" s="113"/>
      <c r="F4" s="978"/>
      <c r="G4" s="978"/>
      <c r="H4" s="978"/>
      <c r="I4" s="978"/>
      <c r="J4" s="978"/>
    </row>
    <row r="5" spans="1:10" ht="18.75" customHeight="1">
      <c r="A5" s="979" t="s">
        <v>383</v>
      </c>
      <c r="B5" s="979"/>
      <c r="C5" s="110"/>
      <c r="D5" s="113"/>
      <c r="E5" s="113"/>
      <c r="F5" s="113"/>
      <c r="G5" s="980"/>
      <c r="H5" s="980"/>
      <c r="I5" s="114"/>
      <c r="J5" s="114"/>
    </row>
    <row r="6" spans="1:10" ht="18.75" customHeight="1">
      <c r="A6" s="977" t="s">
        <v>384</v>
      </c>
      <c r="B6" s="977"/>
      <c r="C6" s="110"/>
      <c r="D6" s="115"/>
      <c r="E6" s="115"/>
      <c r="F6" s="976" t="s">
        <v>385</v>
      </c>
      <c r="G6" s="976"/>
      <c r="H6" s="976"/>
      <c r="I6" s="976"/>
      <c r="J6" s="976"/>
    </row>
    <row r="7" spans="1:10" ht="63" customHeight="1">
      <c r="A7" s="977"/>
      <c r="B7" s="977"/>
      <c r="C7" s="110"/>
      <c r="D7" s="115"/>
      <c r="E7" s="115"/>
      <c r="F7" s="976" t="s">
        <v>262</v>
      </c>
      <c r="G7" s="976"/>
      <c r="H7" s="976"/>
      <c r="I7" s="976"/>
      <c r="J7" s="976"/>
    </row>
    <row r="8" spans="1:10" ht="18.75" customHeight="1">
      <c r="A8" s="116" t="s">
        <v>352</v>
      </c>
      <c r="B8" s="109"/>
      <c r="C8" s="110"/>
      <c r="D8" s="115"/>
      <c r="E8" s="115"/>
      <c r="F8" s="976" t="s">
        <v>386</v>
      </c>
      <c r="G8" s="976"/>
      <c r="H8" s="976"/>
      <c r="I8" s="976"/>
      <c r="J8" s="976"/>
    </row>
    <row r="9" spans="1:10" ht="18.75" customHeight="1">
      <c r="A9" s="109"/>
      <c r="B9" s="109"/>
      <c r="C9" s="110"/>
      <c r="D9" s="115"/>
      <c r="E9" s="115"/>
      <c r="F9" s="976" t="s">
        <v>387</v>
      </c>
      <c r="G9" s="976"/>
      <c r="H9" s="976"/>
      <c r="I9" s="976"/>
      <c r="J9" s="976"/>
    </row>
    <row r="10" spans="1:10" ht="20.25">
      <c r="A10" s="109"/>
      <c r="B10" s="109"/>
      <c r="C10" s="110"/>
      <c r="D10" s="115"/>
      <c r="E10" s="115"/>
      <c r="F10" s="111"/>
      <c r="G10" s="111"/>
      <c r="H10" s="111"/>
      <c r="I10" s="111"/>
      <c r="J10" s="111"/>
    </row>
    <row r="11" spans="1:10" ht="61.5" customHeight="1">
      <c r="A11" s="109"/>
      <c r="B11" s="109"/>
      <c r="C11" s="110"/>
      <c r="D11" s="115"/>
      <c r="E11" s="115"/>
      <c r="F11" s="976" t="s">
        <v>687</v>
      </c>
      <c r="G11" s="976"/>
      <c r="H11" s="976"/>
      <c r="I11" s="976"/>
      <c r="J11" s="976"/>
    </row>
    <row r="12" spans="1:10" ht="20.25" customHeight="1">
      <c r="A12" s="109"/>
      <c r="B12" s="109"/>
      <c r="C12" s="110"/>
      <c r="D12" s="115"/>
      <c r="E12" s="115"/>
      <c r="F12" s="116" t="s">
        <v>352</v>
      </c>
      <c r="G12" s="111"/>
      <c r="H12" s="111"/>
      <c r="I12" s="111"/>
      <c r="J12" s="111"/>
    </row>
    <row r="13" spans="1:10" ht="19.5" customHeight="1">
      <c r="A13" s="109"/>
      <c r="B13" s="109"/>
      <c r="C13" s="110"/>
      <c r="D13" s="115"/>
      <c r="E13" s="115"/>
      <c r="F13" s="111"/>
      <c r="G13" s="114"/>
      <c r="H13" s="116"/>
      <c r="I13" s="116"/>
      <c r="J13" s="116"/>
    </row>
    <row r="14" spans="1:10" ht="19.5" customHeight="1">
      <c r="A14" s="111"/>
      <c r="B14" s="117"/>
      <c r="C14" s="117"/>
      <c r="D14" s="117"/>
      <c r="E14" s="117"/>
      <c r="F14" s="117"/>
      <c r="G14" s="118"/>
      <c r="H14" s="118"/>
      <c r="I14" s="118"/>
      <c r="J14" s="118"/>
    </row>
    <row r="15" spans="1:10" ht="41.25" customHeight="1">
      <c r="A15" s="119"/>
      <c r="B15" s="985"/>
      <c r="C15" s="985"/>
      <c r="D15" s="985"/>
      <c r="E15" s="985"/>
      <c r="F15" s="985"/>
      <c r="G15" s="120"/>
      <c r="H15" s="121"/>
      <c r="I15" s="122" t="s">
        <v>150</v>
      </c>
      <c r="J15" s="123" t="s">
        <v>263</v>
      </c>
    </row>
    <row r="16" spans="1:10" ht="57" customHeight="1">
      <c r="A16" s="124" t="s">
        <v>14</v>
      </c>
      <c r="B16" s="985" t="s">
        <v>688</v>
      </c>
      <c r="C16" s="985"/>
      <c r="D16" s="985"/>
      <c r="E16" s="985"/>
      <c r="F16" s="985"/>
      <c r="G16" s="125"/>
      <c r="H16" s="126"/>
      <c r="I16" s="127" t="s">
        <v>676</v>
      </c>
      <c r="J16" s="123"/>
    </row>
    <row r="17" spans="1:10" ht="48.75" customHeight="1">
      <c r="A17" s="124" t="s">
        <v>15</v>
      </c>
      <c r="B17" s="985" t="s">
        <v>404</v>
      </c>
      <c r="C17" s="985"/>
      <c r="D17" s="985"/>
      <c r="E17" s="985"/>
      <c r="F17" s="985"/>
      <c r="G17" s="120"/>
      <c r="H17" s="121"/>
      <c r="I17" s="127" t="s">
        <v>143</v>
      </c>
      <c r="J17" s="123">
        <v>150</v>
      </c>
    </row>
    <row r="18" spans="1:10" ht="61.5" customHeight="1">
      <c r="A18" s="124" t="s">
        <v>20</v>
      </c>
      <c r="B18" s="985" t="s">
        <v>405</v>
      </c>
      <c r="C18" s="985"/>
      <c r="D18" s="985"/>
      <c r="E18" s="985"/>
      <c r="F18" s="985"/>
      <c r="G18" s="120"/>
      <c r="H18" s="121"/>
      <c r="I18" s="127" t="s">
        <v>142</v>
      </c>
      <c r="J18" s="123">
        <v>1200000000</v>
      </c>
    </row>
    <row r="19" spans="1:10" ht="39" customHeight="1">
      <c r="A19" s="124" t="s">
        <v>388</v>
      </c>
      <c r="B19" s="985"/>
      <c r="C19" s="985"/>
      <c r="D19" s="985"/>
      <c r="E19" s="985"/>
      <c r="F19" s="985"/>
      <c r="G19" s="125"/>
      <c r="H19" s="126"/>
      <c r="I19" s="127" t="s">
        <v>9</v>
      </c>
      <c r="J19" s="123">
        <v>90211</v>
      </c>
    </row>
    <row r="20" spans="1:10" ht="34.5" customHeight="1">
      <c r="A20" s="124" t="s">
        <v>17</v>
      </c>
      <c r="B20" s="985"/>
      <c r="C20" s="985"/>
      <c r="D20" s="985"/>
      <c r="E20" s="985"/>
      <c r="F20" s="985"/>
      <c r="G20" s="125"/>
      <c r="H20" s="126"/>
      <c r="I20" s="127" t="s">
        <v>8</v>
      </c>
      <c r="J20" s="123"/>
    </row>
    <row r="21" spans="1:10" ht="52.5" customHeight="1">
      <c r="A21" s="124" t="s">
        <v>16</v>
      </c>
      <c r="B21" s="985" t="s">
        <v>408</v>
      </c>
      <c r="C21" s="985"/>
      <c r="D21" s="985"/>
      <c r="E21" s="985"/>
      <c r="F21" s="985"/>
      <c r="G21" s="125"/>
      <c r="H21" s="128"/>
      <c r="I21" s="130" t="s">
        <v>10</v>
      </c>
      <c r="J21" s="123" t="s">
        <v>406</v>
      </c>
    </row>
    <row r="22" spans="1:10" ht="48" customHeight="1">
      <c r="A22" s="984" t="s">
        <v>389</v>
      </c>
      <c r="B22" s="985"/>
      <c r="C22" s="985"/>
      <c r="D22" s="985"/>
      <c r="E22" s="985"/>
      <c r="F22" s="985"/>
      <c r="G22" s="985" t="s">
        <v>206</v>
      </c>
      <c r="H22" s="989"/>
      <c r="I22" s="990"/>
      <c r="J22" s="475" t="s">
        <v>407</v>
      </c>
    </row>
    <row r="23" spans="1:10" ht="54" customHeight="1">
      <c r="A23" s="124" t="s">
        <v>21</v>
      </c>
      <c r="B23" s="985" t="s">
        <v>409</v>
      </c>
      <c r="C23" s="985"/>
      <c r="D23" s="985"/>
      <c r="E23" s="985"/>
      <c r="F23" s="985"/>
      <c r="G23" s="985" t="s">
        <v>207</v>
      </c>
      <c r="H23" s="989"/>
      <c r="I23" s="990"/>
      <c r="J23" s="131"/>
    </row>
    <row r="24" spans="1:10" ht="52.5" customHeight="1">
      <c r="A24" s="984" t="s">
        <v>1027</v>
      </c>
      <c r="B24" s="985"/>
      <c r="C24" s="985"/>
      <c r="D24" s="985"/>
      <c r="E24" s="985"/>
      <c r="F24" s="985"/>
      <c r="G24" s="410">
        <f>ФОП!G179</f>
        <v>424</v>
      </c>
      <c r="H24" s="125"/>
      <c r="I24" s="125"/>
      <c r="J24" s="126"/>
    </row>
    <row r="25" spans="1:10" ht="42.75" customHeight="1">
      <c r="A25" s="124" t="s">
        <v>11</v>
      </c>
      <c r="B25" s="985" t="s">
        <v>689</v>
      </c>
      <c r="C25" s="985"/>
      <c r="D25" s="985"/>
      <c r="E25" s="985"/>
      <c r="F25" s="985"/>
      <c r="G25" s="120"/>
      <c r="H25" s="120"/>
      <c r="I25" s="120"/>
      <c r="J25" s="121"/>
    </row>
    <row r="26" spans="1:10" ht="39" customHeight="1">
      <c r="A26" s="124" t="s">
        <v>12</v>
      </c>
      <c r="B26" s="986" t="s">
        <v>693</v>
      </c>
      <c r="C26" s="986"/>
      <c r="D26" s="986"/>
      <c r="E26" s="986"/>
      <c r="F26" s="986"/>
      <c r="G26" s="125"/>
      <c r="H26" s="125"/>
      <c r="I26" s="125"/>
      <c r="J26" s="126"/>
    </row>
    <row r="27" spans="1:10" ht="42.75" customHeight="1">
      <c r="A27" s="124" t="s">
        <v>13</v>
      </c>
      <c r="B27" s="985" t="s">
        <v>410</v>
      </c>
      <c r="C27" s="985"/>
      <c r="D27" s="985"/>
      <c r="E27" s="985"/>
      <c r="F27" s="985"/>
      <c r="G27" s="120"/>
      <c r="H27" s="120"/>
      <c r="I27" s="120"/>
      <c r="J27" s="121"/>
    </row>
    <row r="28" spans="1:10" ht="20.100000000000001" customHeight="1">
      <c r="A28" s="107"/>
      <c r="B28" s="107"/>
      <c r="C28" s="107"/>
      <c r="D28" s="107"/>
      <c r="E28" s="107"/>
      <c r="F28" s="107"/>
      <c r="G28" s="107"/>
      <c r="H28" s="107"/>
      <c r="I28" s="107"/>
      <c r="J28" s="107"/>
    </row>
    <row r="29" spans="1:10" ht="19.5" customHeight="1">
      <c r="A29" s="94"/>
      <c r="B29" s="107"/>
      <c r="C29" s="108"/>
      <c r="D29" s="107"/>
      <c r="E29" s="107"/>
      <c r="F29" s="107"/>
      <c r="G29" s="107"/>
      <c r="H29" s="107"/>
      <c r="I29" s="107"/>
      <c r="J29" s="107"/>
    </row>
    <row r="30" spans="1:10">
      <c r="A30" s="987" t="s">
        <v>677</v>
      </c>
      <c r="B30" s="987"/>
      <c r="C30" s="987"/>
      <c r="D30" s="987"/>
      <c r="E30" s="987"/>
      <c r="F30" s="987"/>
      <c r="G30" s="987"/>
      <c r="H30" s="987"/>
      <c r="I30" s="987"/>
      <c r="J30" s="987"/>
    </row>
    <row r="31" spans="1:10" ht="9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</row>
    <row r="32" spans="1:10">
      <c r="A32" s="988" t="s">
        <v>220</v>
      </c>
      <c r="B32" s="988"/>
      <c r="C32" s="988"/>
      <c r="D32" s="988"/>
      <c r="E32" s="988"/>
      <c r="F32" s="988"/>
      <c r="G32" s="988"/>
      <c r="H32" s="988"/>
      <c r="I32" s="988"/>
      <c r="J32" s="988"/>
    </row>
    <row r="33" spans="1:10" ht="12" customHeight="1">
      <c r="B33" s="24"/>
      <c r="C33" s="4"/>
      <c r="D33" s="24"/>
      <c r="E33" s="24"/>
      <c r="F33" s="24"/>
      <c r="G33" s="24"/>
      <c r="H33" s="24"/>
      <c r="I33" s="24"/>
      <c r="J33" s="24"/>
    </row>
    <row r="34" spans="1:10" ht="40.5" customHeight="1">
      <c r="A34" s="884" t="s">
        <v>274</v>
      </c>
      <c r="B34" s="882" t="s">
        <v>18</v>
      </c>
      <c r="C34" s="998" t="s">
        <v>32</v>
      </c>
      <c r="D34" s="998" t="s">
        <v>40</v>
      </c>
      <c r="E34" s="882" t="s">
        <v>148</v>
      </c>
      <c r="F34" s="1002" t="s">
        <v>181</v>
      </c>
      <c r="G34" s="992" t="s">
        <v>275</v>
      </c>
      <c r="H34" s="993"/>
      <c r="I34" s="993"/>
      <c r="J34" s="994"/>
    </row>
    <row r="35" spans="1:10" ht="54.75" customHeight="1">
      <c r="A35" s="884"/>
      <c r="B35" s="882"/>
      <c r="C35" s="999"/>
      <c r="D35" s="999"/>
      <c r="E35" s="882"/>
      <c r="F35" s="1003"/>
      <c r="G35" s="96" t="s">
        <v>266</v>
      </c>
      <c r="H35" s="96" t="s">
        <v>267</v>
      </c>
      <c r="I35" s="96" t="s">
        <v>268</v>
      </c>
      <c r="J35" s="96" t="s">
        <v>360</v>
      </c>
    </row>
    <row r="36" spans="1:10" ht="20.100000000000001" customHeight="1">
      <c r="A36" s="95">
        <v>1</v>
      </c>
      <c r="B36" s="96">
        <v>2</v>
      </c>
      <c r="C36" s="96">
        <v>3</v>
      </c>
      <c r="D36" s="96">
        <v>4</v>
      </c>
      <c r="E36" s="96">
        <v>5</v>
      </c>
      <c r="F36" s="96">
        <v>6</v>
      </c>
      <c r="G36" s="96">
        <v>7</v>
      </c>
      <c r="H36" s="96">
        <v>8</v>
      </c>
      <c r="I36" s="96">
        <v>9</v>
      </c>
      <c r="J36" s="96">
        <v>10</v>
      </c>
    </row>
    <row r="37" spans="1:10" ht="24.95" customHeight="1">
      <c r="A37" s="885" t="s">
        <v>109</v>
      </c>
      <c r="B37" s="886"/>
      <c r="C37" s="886"/>
      <c r="D37" s="886"/>
      <c r="E37" s="886"/>
      <c r="F37" s="886"/>
      <c r="G37" s="886"/>
      <c r="H37" s="886"/>
      <c r="I37" s="886"/>
      <c r="J37" s="887"/>
    </row>
    <row r="38" spans="1:10" ht="37.5">
      <c r="A38" s="97" t="s">
        <v>221</v>
      </c>
      <c r="B38" s="95">
        <f>'I. Фін результат'!B7</f>
        <v>1000</v>
      </c>
      <c r="C38" s="185">
        <f>'I. Фін результат'!C7</f>
        <v>63275</v>
      </c>
      <c r="D38" s="185">
        <f>'I. Фін результат'!D7</f>
        <v>170261</v>
      </c>
      <c r="E38" s="185">
        <f>'I. Фін результат'!I7</f>
        <v>240096.21266811556</v>
      </c>
      <c r="F38" s="185">
        <f>'I. Фін результат'!E7</f>
        <v>206689.19999999995</v>
      </c>
      <c r="G38" s="183">
        <f>E38*1.056</f>
        <v>253541.60057753004</v>
      </c>
      <c r="H38" s="183">
        <f t="shared" ref="H38:J39" si="0">G38*1.05</f>
        <v>266218.68060640653</v>
      </c>
      <c r="I38" s="183">
        <f t="shared" si="0"/>
        <v>279529.61463672685</v>
      </c>
      <c r="J38" s="183">
        <f t="shared" si="0"/>
        <v>293506.0953685632</v>
      </c>
    </row>
    <row r="39" spans="1:10" ht="37.5">
      <c r="A39" s="97" t="s">
        <v>189</v>
      </c>
      <c r="B39" s="95">
        <f>'I. Фін результат'!B13</f>
        <v>1010</v>
      </c>
      <c r="C39" s="185">
        <f>'I. Фін результат'!C13</f>
        <v>45045</v>
      </c>
      <c r="D39" s="185">
        <f>'I. Фін результат'!D13</f>
        <v>150334</v>
      </c>
      <c r="E39" s="185">
        <f>'I. Фін результат'!I13</f>
        <v>217357.86598261277</v>
      </c>
      <c r="F39" s="185">
        <f>'I. Фін результат'!E13</f>
        <v>193747.36140266669</v>
      </c>
      <c r="G39" s="183">
        <f>E39*1.056</f>
        <v>229529.9064776391</v>
      </c>
      <c r="H39" s="183">
        <f t="shared" si="0"/>
        <v>241006.40180152107</v>
      </c>
      <c r="I39" s="183">
        <f t="shared" si="0"/>
        <v>253056.72189159715</v>
      </c>
      <c r="J39" s="183">
        <f t="shared" si="0"/>
        <v>265709.55798617704</v>
      </c>
    </row>
    <row r="40" spans="1:10" ht="20.100000000000001" customHeight="1">
      <c r="A40" s="99" t="s">
        <v>308</v>
      </c>
      <c r="B40" s="95">
        <f>'I. Фін результат'!B82</f>
        <v>1020</v>
      </c>
      <c r="C40" s="185">
        <f>'I. Фін результат'!C82</f>
        <v>18230</v>
      </c>
      <c r="D40" s="185">
        <f>'I. Фін результат'!D82</f>
        <v>19927</v>
      </c>
      <c r="E40" s="185">
        <f>'I. Фін результат'!I82</f>
        <v>22738.346685502795</v>
      </c>
      <c r="F40" s="185">
        <f>'I. Фін результат'!E82</f>
        <v>12941.838597333262</v>
      </c>
      <c r="G40" s="185">
        <f>G38-G39</f>
        <v>24011.694099890941</v>
      </c>
      <c r="H40" s="185">
        <f>H38-H39</f>
        <v>25212.278804885456</v>
      </c>
      <c r="I40" s="185">
        <f>I38-I39</f>
        <v>26472.892745129706</v>
      </c>
      <c r="J40" s="185">
        <f>J38-J39</f>
        <v>27796.537382386159</v>
      </c>
    </row>
    <row r="41" spans="1:10" ht="20.100000000000001" customHeight="1">
      <c r="A41" s="97" t="s">
        <v>154</v>
      </c>
      <c r="B41" s="95">
        <f>'I. Фін результат'!B87</f>
        <v>1040</v>
      </c>
      <c r="C41" s="185">
        <f>'I. Фін результат'!C87</f>
        <v>30849</v>
      </c>
      <c r="D41" s="185">
        <f>'I. Фін результат'!D87</f>
        <v>10309</v>
      </c>
      <c r="E41" s="185">
        <f>'I. Фін результат'!I87</f>
        <v>10944.318239393335</v>
      </c>
      <c r="F41" s="185">
        <f>'I. Фін результат'!E87</f>
        <v>16771.232960000001</v>
      </c>
      <c r="G41" s="183">
        <f>E41*1.056</f>
        <v>11557.200060799361</v>
      </c>
      <c r="H41" s="183">
        <f>G41*1.05</f>
        <v>12135.06006383933</v>
      </c>
      <c r="I41" s="183">
        <f>H41*1.05</f>
        <v>12741.813067031297</v>
      </c>
      <c r="J41" s="183">
        <f>I41*1.05</f>
        <v>13378.903720382863</v>
      </c>
    </row>
    <row r="42" spans="1:10" ht="20.100000000000001" customHeight="1">
      <c r="A42" s="97" t="s">
        <v>151</v>
      </c>
      <c r="B42" s="95">
        <f>'I. Фін результат'!B135</f>
        <v>1070</v>
      </c>
      <c r="C42" s="185">
        <f>'I. Фін результат'!C135</f>
        <v>0</v>
      </c>
      <c r="D42" s="185">
        <f>'I. Фін результат'!D135</f>
        <v>0</v>
      </c>
      <c r="E42" s="185">
        <f>'I. Фін результат'!I135</f>
        <v>0</v>
      </c>
      <c r="F42" s="185">
        <f>'I. Фін результат'!E135</f>
        <v>0</v>
      </c>
      <c r="G42" s="183">
        <f>E42*1.056</f>
        <v>0</v>
      </c>
      <c r="H42" s="183">
        <f t="shared" ref="H42:J43" si="1">G42*1.05</f>
        <v>0</v>
      </c>
      <c r="I42" s="183">
        <f t="shared" si="1"/>
        <v>0</v>
      </c>
      <c r="J42" s="183">
        <f t="shared" si="1"/>
        <v>0</v>
      </c>
    </row>
    <row r="43" spans="1:10" ht="20.100000000000001" customHeight="1">
      <c r="A43" s="97" t="s">
        <v>155</v>
      </c>
      <c r="B43" s="95">
        <f>'I. Фін результат'!B183</f>
        <v>1300</v>
      </c>
      <c r="C43" s="185">
        <f>'I. Фін результат'!C183</f>
        <v>-586</v>
      </c>
      <c r="D43" s="185">
        <f>'I. Фін результат'!D183</f>
        <v>-60927</v>
      </c>
      <c r="E43" s="185">
        <f>'I. Фін результат'!I183</f>
        <v>-700</v>
      </c>
      <c r="F43" s="185">
        <f>'I. Фін результат'!E183</f>
        <v>-44827.763298333331</v>
      </c>
      <c r="G43" s="183">
        <f>E43*1.056</f>
        <v>-739.2</v>
      </c>
      <c r="H43" s="183">
        <f t="shared" si="1"/>
        <v>-776.16000000000008</v>
      </c>
      <c r="I43" s="183">
        <f t="shared" si="1"/>
        <v>-814.96800000000007</v>
      </c>
      <c r="J43" s="183">
        <f t="shared" si="1"/>
        <v>-855.71640000000014</v>
      </c>
    </row>
    <row r="44" spans="1:10" ht="37.5">
      <c r="A44" s="100" t="s">
        <v>4</v>
      </c>
      <c r="B44" s="95">
        <f>'I. Фін результат'!B159</f>
        <v>1100</v>
      </c>
      <c r="C44" s="185">
        <f>'I. Фін результат'!C159</f>
        <v>-13205</v>
      </c>
      <c r="D44" s="185">
        <f>'I. Фін результат'!D159</f>
        <v>-51309</v>
      </c>
      <c r="E44" s="185">
        <f>'I. Фін результат'!I159</f>
        <v>11094.028446109456</v>
      </c>
      <c r="F44" s="185">
        <f>'I. Фін результат'!E159</f>
        <v>-48657.157661000063</v>
      </c>
      <c r="G44" s="185">
        <f>G40-G41-G42+G43</f>
        <v>11715.294039091579</v>
      </c>
      <c r="H44" s="185">
        <f>H40-H41-H42+H43</f>
        <v>12301.058741046127</v>
      </c>
      <c r="I44" s="185">
        <f>I40-I41-I42+I43</f>
        <v>12916.111678098408</v>
      </c>
      <c r="J44" s="185">
        <f>J40-J41-J42+J43</f>
        <v>13561.917262003297</v>
      </c>
    </row>
    <row r="45" spans="1:10" ht="20.100000000000001" customHeight="1">
      <c r="A45" s="100" t="s">
        <v>156</v>
      </c>
      <c r="B45" s="95">
        <f>'I. Фін результат'!B194</f>
        <v>1410</v>
      </c>
      <c r="C45" s="185">
        <f>'I. Фін результат'!C194</f>
        <v>-4925</v>
      </c>
      <c r="D45" s="185">
        <f>'I. Фін результат'!D194</f>
        <v>-31448</v>
      </c>
      <c r="E45" s="185">
        <f>'I. Фін результат'!I194</f>
        <v>128895.73014277613</v>
      </c>
      <c r="F45" s="185">
        <f>'I. Фін результат'!E194</f>
        <v>57984.092100388836</v>
      </c>
      <c r="G45" s="183">
        <f>G44</f>
        <v>11715.294039091579</v>
      </c>
      <c r="H45" s="183">
        <f>G45*1.05</f>
        <v>12301.058741046159</v>
      </c>
      <c r="I45" s="183">
        <f>H45*1.05</f>
        <v>12916.111678098468</v>
      </c>
      <c r="J45" s="183">
        <f>I45*1.05</f>
        <v>13561.917262003393</v>
      </c>
    </row>
    <row r="46" spans="1:10" ht="20.100000000000001" customHeight="1">
      <c r="A46" s="101" t="s">
        <v>242</v>
      </c>
      <c r="B46" s="95">
        <f>' V. Коефіцієнти'!B8</f>
        <v>5010</v>
      </c>
      <c r="C46" s="186">
        <f>' V. Коефіцієнти'!D8</f>
        <v>-7.7834847886210987</v>
      </c>
      <c r="D46" s="186">
        <f>D45*100/D38</f>
        <v>-18.4704659317166</v>
      </c>
      <c r="E46" s="186">
        <f>' V. Коефіцієнти'!G8</f>
        <v>53.685032641871949</v>
      </c>
      <c r="F46" s="186">
        <f>' V. Коефіцієнти'!F8</f>
        <v>28.053759993453383</v>
      </c>
      <c r="G46" s="194">
        <f>G45*100/G38</f>
        <v>4.6206594943022692</v>
      </c>
      <c r="H46" s="194">
        <f>H45*100/H38</f>
        <v>4.6206594943022701</v>
      </c>
      <c r="I46" s="194">
        <f>I45*100/I38</f>
        <v>4.6206594943022701</v>
      </c>
      <c r="J46" s="194">
        <f>J45*100/J38</f>
        <v>4.620659494302271</v>
      </c>
    </row>
    <row r="47" spans="1:10" ht="37.5">
      <c r="A47" s="101" t="s">
        <v>157</v>
      </c>
      <c r="B47" s="95">
        <f>'I. Фін результат'!B184</f>
        <v>1310</v>
      </c>
      <c r="C47" s="185">
        <f>'I. Фін результат'!C184</f>
        <v>370</v>
      </c>
      <c r="D47" s="185">
        <f>'I. Фін результат'!D184</f>
        <v>-2598</v>
      </c>
      <c r="E47" s="185">
        <f>'I. Фін результат'!I184</f>
        <v>-1477.44</v>
      </c>
      <c r="F47" s="185">
        <f>'I. Фін результат'!E184</f>
        <v>-1297</v>
      </c>
      <c r="G47" s="183">
        <f>E47*1.056</f>
        <v>-1560.1766400000001</v>
      </c>
      <c r="H47" s="183">
        <f t="shared" ref="H47:J48" si="2">G47*1.05</f>
        <v>-1638.1854720000001</v>
      </c>
      <c r="I47" s="183">
        <f t="shared" si="2"/>
        <v>-1720.0947456000001</v>
      </c>
      <c r="J47" s="183">
        <f t="shared" si="2"/>
        <v>-1806.0994828800001</v>
      </c>
    </row>
    <row r="48" spans="1:10" ht="20.100000000000001" customHeight="1">
      <c r="A48" s="97" t="s">
        <v>247</v>
      </c>
      <c r="B48" s="95">
        <f>'I. Фін результат'!B185</f>
        <v>1320</v>
      </c>
      <c r="C48" s="185">
        <f>'I. Фін результат'!C185</f>
        <v>-32</v>
      </c>
      <c r="D48" s="185">
        <f>'I. Фін результат'!D185</f>
        <v>60136</v>
      </c>
      <c r="E48" s="185">
        <f>'I. Фін результат'!I185</f>
        <v>0</v>
      </c>
      <c r="F48" s="185">
        <f>'I. Фін результат'!E185</f>
        <v>0</v>
      </c>
      <c r="G48" s="183">
        <f>E48*1.056</f>
        <v>0</v>
      </c>
      <c r="H48" s="183">
        <f t="shared" si="2"/>
        <v>0</v>
      </c>
      <c r="I48" s="183">
        <f t="shared" si="2"/>
        <v>0</v>
      </c>
      <c r="J48" s="183">
        <f t="shared" si="2"/>
        <v>0</v>
      </c>
    </row>
    <row r="49" spans="1:10" ht="37.5">
      <c r="A49" s="100" t="s">
        <v>107</v>
      </c>
      <c r="B49" s="95">
        <f>'I. Фін результат'!B175</f>
        <v>1170</v>
      </c>
      <c r="C49" s="185">
        <f>'I. Фін результат'!C175</f>
        <v>-12867</v>
      </c>
      <c r="D49" s="185">
        <f>'I. Фін результат'!D175</f>
        <v>6229</v>
      </c>
      <c r="E49" s="185">
        <f>'I. Фін результат'!I175</f>
        <v>9616.5884461094556</v>
      </c>
      <c r="F49" s="185">
        <f>'I. Фін результат'!E175</f>
        <v>-49954.157661000063</v>
      </c>
      <c r="G49" s="185">
        <f>G44+G47+G48</f>
        <v>10155.11739909158</v>
      </c>
      <c r="H49" s="185">
        <f>H44+H47+H48</f>
        <v>10662.873269046126</v>
      </c>
      <c r="I49" s="185">
        <f>I44+I47+I48</f>
        <v>11196.016932498409</v>
      </c>
      <c r="J49" s="185">
        <f>J44+J47+J48</f>
        <v>11755.817779123297</v>
      </c>
    </row>
    <row r="50" spans="1:10" ht="20.100000000000001" customHeight="1">
      <c r="A50" s="101" t="s">
        <v>152</v>
      </c>
      <c r="B50" s="95">
        <f>'I. Фін результат'!B176</f>
        <v>1180</v>
      </c>
      <c r="C50" s="185">
        <f>'I. Фін результат'!C176</f>
        <v>0</v>
      </c>
      <c r="D50" s="185">
        <f>'I. Фін результат'!D176</f>
        <v>1121</v>
      </c>
      <c r="E50" s="185">
        <f>'I. Фін результат'!I176</f>
        <v>1892</v>
      </c>
      <c r="F50" s="185">
        <f>'I. Фін результат'!E176</f>
        <v>0</v>
      </c>
      <c r="G50" s="185">
        <f>IF(G49&gt;0,G49*18%,0)</f>
        <v>1827.9211318364842</v>
      </c>
      <c r="H50" s="185">
        <f>IF(H49&gt;0,H49*18%,0)</f>
        <v>1919.3171884283026</v>
      </c>
      <c r="I50" s="185">
        <f>IF(I49&gt;0,I49*18%,0)</f>
        <v>2015.2830478497135</v>
      </c>
      <c r="J50" s="185">
        <f>IF(J49&gt;0,J49*18%,0)</f>
        <v>2116.0472002421934</v>
      </c>
    </row>
    <row r="51" spans="1:10" ht="20.100000000000001" customHeight="1">
      <c r="A51" s="100" t="s">
        <v>243</v>
      </c>
      <c r="B51" s="95">
        <f>'I. Фін результат'!B178</f>
        <v>1200</v>
      </c>
      <c r="C51" s="185">
        <f>'I. Фін результат'!C178</f>
        <v>-12867</v>
      </c>
      <c r="D51" s="185">
        <f>'I. Фін результат'!D178</f>
        <v>5108</v>
      </c>
      <c r="E51" s="185">
        <f>'I. Фін результат'!I178</f>
        <v>7724.5884461094556</v>
      </c>
      <c r="F51" s="185">
        <f>'I. Фін результат'!E178</f>
        <v>-49954.157661000063</v>
      </c>
      <c r="G51" s="185">
        <f>G49-G50</f>
        <v>8327.1962672550944</v>
      </c>
      <c r="H51" s="185">
        <f>H49-H50</f>
        <v>8743.5560806178237</v>
      </c>
      <c r="I51" s="185">
        <f>I49-I50</f>
        <v>9180.7338846486964</v>
      </c>
      <c r="J51" s="185">
        <f>J49-J50</f>
        <v>9639.7705788811036</v>
      </c>
    </row>
    <row r="52" spans="1:10" ht="20.100000000000001" customHeight="1">
      <c r="A52" s="101" t="s">
        <v>244</v>
      </c>
      <c r="B52" s="95">
        <f>' V. Коефіцієнти'!B11</f>
        <v>5040</v>
      </c>
      <c r="C52" s="186">
        <f>' V. Коефіцієнти'!D11</f>
        <v>-0.2033504543658633</v>
      </c>
      <c r="D52" s="186">
        <f>D51/D38</f>
        <v>3.0000998467059396E-2</v>
      </c>
      <c r="E52" s="186">
        <f>' V. Коефіцієнти'!G11</f>
        <v>3.2172887528164121E-2</v>
      </c>
      <c r="F52" s="186">
        <f>' V. Коефіцієнти'!F11</f>
        <v>-0.24168731438798</v>
      </c>
      <c r="G52" s="186">
        <f>G51/G38</f>
        <v>3.284351068340257E-2</v>
      </c>
      <c r="H52" s="186">
        <f>H51/H38</f>
        <v>3.2843510683402473E-2</v>
      </c>
      <c r="I52" s="186">
        <f>I51/I38</f>
        <v>3.284351068340241E-2</v>
      </c>
      <c r="J52" s="186">
        <f>J51/J38</f>
        <v>3.2843510683402313E-2</v>
      </c>
    </row>
    <row r="53" spans="1:10" ht="24.95" customHeight="1">
      <c r="A53" s="981" t="s">
        <v>169</v>
      </c>
      <c r="B53" s="982"/>
      <c r="C53" s="982"/>
      <c r="D53" s="982"/>
      <c r="E53" s="982"/>
      <c r="F53" s="982"/>
      <c r="G53" s="982"/>
      <c r="H53" s="982"/>
      <c r="I53" s="982"/>
      <c r="J53" s="983"/>
    </row>
    <row r="54" spans="1:10" ht="20.100000000000001" customHeight="1">
      <c r="A54" s="102" t="s">
        <v>365</v>
      </c>
      <c r="B54" s="95">
        <f>'ІІ. Розр. з бюджетом'!B19</f>
        <v>2100</v>
      </c>
      <c r="C54" s="185">
        <f>'ІІ. Розр. з бюджетом'!C19</f>
        <v>0</v>
      </c>
      <c r="D54" s="185">
        <f>'ІІ. Розр. з бюджетом'!D19</f>
        <v>3371</v>
      </c>
      <c r="E54" s="185">
        <f>'ІІ. Розр. з бюджетом'!I19</f>
        <v>5689</v>
      </c>
      <c r="F54" s="185">
        <f>'ІІ. Розр. з бюджетом'!E19</f>
        <v>0</v>
      </c>
      <c r="G54" s="183">
        <f>G51*66%</f>
        <v>5495.9495363883625</v>
      </c>
      <c r="H54" s="183">
        <f>H51*66%</f>
        <v>5770.7470132077642</v>
      </c>
      <c r="I54" s="183">
        <f>I51*66%</f>
        <v>6059.2843638681397</v>
      </c>
      <c r="J54" s="183">
        <f>J51*66%</f>
        <v>6362.2485820615284</v>
      </c>
    </row>
    <row r="55" spans="1:10" ht="20.100000000000001" customHeight="1">
      <c r="A55" s="103" t="s">
        <v>168</v>
      </c>
      <c r="B55" s="95">
        <f>'ІІ. Розр. з бюджетом'!B22</f>
        <v>2110</v>
      </c>
      <c r="C55" s="185">
        <f>'ІІ. Розр. з бюджетом'!C22</f>
        <v>0</v>
      </c>
      <c r="D55" s="185">
        <f>'ІІ. Розр. з бюджетом'!D22</f>
        <v>1121</v>
      </c>
      <c r="E55" s="185">
        <f>'ІІ. Розр. з бюджетом'!I22</f>
        <v>1892</v>
      </c>
      <c r="F55" s="185">
        <f>'ІІ. Розр. з бюджетом'!E22</f>
        <v>0</v>
      </c>
      <c r="G55" s="185">
        <f>G50</f>
        <v>1827.9211318364842</v>
      </c>
      <c r="H55" s="185">
        <f>H50</f>
        <v>1919.3171884283026</v>
      </c>
      <c r="I55" s="185">
        <f>I50</f>
        <v>2015.2830478497135</v>
      </c>
      <c r="J55" s="185">
        <f>J50</f>
        <v>2116.0472002421934</v>
      </c>
    </row>
    <row r="56" spans="1:10" ht="56.25">
      <c r="A56" s="103" t="s">
        <v>361</v>
      </c>
      <c r="B56" s="95" t="s">
        <v>245</v>
      </c>
      <c r="C56" s="185">
        <f>SUM('ІІ. Розр. з бюджетом'!C23,'ІІ. Розр. з бюджетом'!C24)</f>
        <v>0</v>
      </c>
      <c r="D56" s="185">
        <f>SUM('ІІ. Розр. з бюджетом'!D23,'ІІ. Розр. з бюджетом'!D24)</f>
        <v>0</v>
      </c>
      <c r="E56" s="185">
        <f>'ІІ. Розр. з бюджетом'!I23+'ІІ. Розр. з бюджетом'!I24</f>
        <v>-226.57428237211207</v>
      </c>
      <c r="F56" s="185">
        <f>SUM('ІІ. Розр. з бюджетом'!E23,'ІІ. Розр. з бюджетом'!E24)</f>
        <v>-29955.492018333331</v>
      </c>
      <c r="G56" s="505">
        <f>E56*1.05</f>
        <v>-237.90299649071767</v>
      </c>
      <c r="H56" s="505">
        <f t="shared" ref="H56:J58" si="3">G56*1.05</f>
        <v>-249.79814631525358</v>
      </c>
      <c r="I56" s="505">
        <f t="shared" si="3"/>
        <v>-262.28805363101628</v>
      </c>
      <c r="J56" s="505">
        <f t="shared" si="3"/>
        <v>-275.4024563125671</v>
      </c>
    </row>
    <row r="57" spans="1:10" ht="56.25">
      <c r="A57" s="102" t="s">
        <v>366</v>
      </c>
      <c r="B57" s="95">
        <f>'ІІ. Розр. з бюджетом'!B25</f>
        <v>2140</v>
      </c>
      <c r="C57" s="185">
        <f>'ІІ. Розр. з бюджетом'!C25</f>
        <v>6733</v>
      </c>
      <c r="D57" s="185">
        <f>'ІІ. Розр. з бюджетом'!D25</f>
        <v>6008</v>
      </c>
      <c r="E57" s="185">
        <f>'ІІ. Розр. з бюджетом'!I25</f>
        <v>11987.666666666666</v>
      </c>
      <c r="F57" s="185">
        <f>'ІІ. Розр. з бюджетом'!E25</f>
        <v>9235.6666666666661</v>
      </c>
      <c r="G57" s="505">
        <f>E57*1.05</f>
        <v>12587.05</v>
      </c>
      <c r="H57" s="505">
        <f t="shared" si="3"/>
        <v>13216.4025</v>
      </c>
      <c r="I57" s="505">
        <f t="shared" si="3"/>
        <v>13877.222625</v>
      </c>
      <c r="J57" s="505">
        <f t="shared" si="3"/>
        <v>14571.08375625</v>
      </c>
    </row>
    <row r="58" spans="1:10" ht="39" customHeight="1">
      <c r="A58" s="102" t="s">
        <v>91</v>
      </c>
      <c r="B58" s="95">
        <f>'ІІ. Розр. з бюджетом'!B37</f>
        <v>2150</v>
      </c>
      <c r="C58" s="185">
        <f>'ІІ. Розр. з бюджетом'!C37</f>
        <v>5862</v>
      </c>
      <c r="D58" s="185">
        <f>'ІІ. Розр. з бюджетом'!D37</f>
        <v>6659</v>
      </c>
      <c r="E58" s="185">
        <f>'ІІ. Розр. з бюджетом'!I37</f>
        <v>11970</v>
      </c>
      <c r="F58" s="185">
        <f>'ІІ. Розр. з бюджетом'!E37</f>
        <v>9199</v>
      </c>
      <c r="G58" s="505">
        <f>E58*1.05</f>
        <v>12568.5</v>
      </c>
      <c r="H58" s="505">
        <f t="shared" si="3"/>
        <v>13196.925000000001</v>
      </c>
      <c r="I58" s="505">
        <f t="shared" si="3"/>
        <v>13856.771250000002</v>
      </c>
      <c r="J58" s="505">
        <f t="shared" si="3"/>
        <v>14549.609812500003</v>
      </c>
    </row>
    <row r="59" spans="1:10" ht="20.100000000000001" customHeight="1">
      <c r="A59" s="104" t="s">
        <v>367</v>
      </c>
      <c r="B59" s="95">
        <f>'ІІ. Розр. з бюджетом'!B38</f>
        <v>2200</v>
      </c>
      <c r="C59" s="185">
        <f>'ІІ. Розр. з бюджетом'!C38</f>
        <v>12595</v>
      </c>
      <c r="D59" s="185">
        <f>'ІІ. Розр. з бюджетом'!D38</f>
        <v>17159</v>
      </c>
      <c r="E59" s="185">
        <f>'ІІ. Розр. з бюджетом'!I38</f>
        <v>31312.092384294556</v>
      </c>
      <c r="F59" s="185">
        <f>'ІІ. Розр. з бюджетом'!E38</f>
        <v>-11520.825351666666</v>
      </c>
      <c r="G59" s="185">
        <f>SUM(G54:G58)</f>
        <v>32241.517671734127</v>
      </c>
      <c r="H59" s="185">
        <f>SUM(H54:H58)</f>
        <v>33853.593555320818</v>
      </c>
      <c r="I59" s="185">
        <f>SUM(I54:I58)</f>
        <v>35546.273233086838</v>
      </c>
      <c r="J59" s="185">
        <f>SUM(J54:J58)</f>
        <v>37323.586894741151</v>
      </c>
    </row>
    <row r="60" spans="1:10" ht="24.95" customHeight="1">
      <c r="A60" s="981" t="s">
        <v>167</v>
      </c>
      <c r="B60" s="982"/>
      <c r="C60" s="982"/>
      <c r="D60" s="982"/>
      <c r="E60" s="982"/>
      <c r="F60" s="982"/>
      <c r="G60" s="982"/>
      <c r="H60" s="982"/>
      <c r="I60" s="982"/>
      <c r="J60" s="983"/>
    </row>
    <row r="61" spans="1:10" ht="20.100000000000001" customHeight="1">
      <c r="A61" s="104" t="s">
        <v>158</v>
      </c>
      <c r="B61" s="95">
        <f>'ІІІ. Рух грош. коштів'!B79</f>
        <v>3600</v>
      </c>
      <c r="C61" s="185">
        <f>'ІІІ. Рух грош. коштів'!C79</f>
        <v>26526</v>
      </c>
      <c r="D61" s="185">
        <f>'ІІІ. Рух грош. коштів'!D79</f>
        <v>48543</v>
      </c>
      <c r="E61" s="185">
        <f>'ІІІ. Рух грош. коштів'!I79</f>
        <v>71123.339100388839</v>
      </c>
      <c r="F61" s="185">
        <f>'ІІІ. Рух грош. коштів'!E79</f>
        <v>48538</v>
      </c>
      <c r="G61" s="185">
        <f>E66</f>
        <v>192963.36229931357</v>
      </c>
      <c r="H61" s="185">
        <f>G66</f>
        <v>196176.36229931357</v>
      </c>
      <c r="I61" s="185">
        <f>H66</f>
        <v>199557.36229931357</v>
      </c>
      <c r="J61" s="185">
        <f>I66</f>
        <v>203113.36229931357</v>
      </c>
    </row>
    <row r="62" spans="1:10" ht="37.5">
      <c r="A62" s="102" t="s">
        <v>159</v>
      </c>
      <c r="B62" s="95">
        <f>'ІІІ. Рух грош. коштів'!B28</f>
        <v>3090</v>
      </c>
      <c r="C62" s="185">
        <f>'ІІІ. Рух грош. коштів'!C28</f>
        <v>209461</v>
      </c>
      <c r="D62" s="185">
        <f>'ІІІ. Рух грош. коштів'!D28</f>
        <v>24969</v>
      </c>
      <c r="E62" s="185">
        <f>'ІІІ. Рух грош. коштів'!I28</f>
        <v>125526.29014277612</v>
      </c>
      <c r="F62" s="185">
        <f>'ІІІ. Рух грош. коштів'!E28</f>
        <v>56687.092100388836</v>
      </c>
      <c r="G62" s="183">
        <v>3328</v>
      </c>
      <c r="H62" s="183">
        <v>3501</v>
      </c>
      <c r="I62" s="183">
        <v>3683</v>
      </c>
      <c r="J62" s="183">
        <v>3867</v>
      </c>
    </row>
    <row r="63" spans="1:10" ht="37.5">
      <c r="A63" s="102" t="s">
        <v>248</v>
      </c>
      <c r="B63" s="95">
        <f>'ІІІ. Рух грош. коштів'!B46</f>
        <v>3320</v>
      </c>
      <c r="C63" s="185">
        <f>'ІІІ. Рух грош. коштів'!C46</f>
        <v>-178716</v>
      </c>
      <c r="D63" s="185">
        <f>'ІІІ. Рух грош. коштів'!D46</f>
        <v>-26870</v>
      </c>
      <c r="E63" s="185">
        <f>'ІІІ. Рух грош. коштів'!I46</f>
        <v>0</v>
      </c>
      <c r="F63" s="185">
        <f>'ІІІ. Рух грош. коштів'!E46</f>
        <v>-30800.93</v>
      </c>
      <c r="G63" s="183">
        <v>-22125</v>
      </c>
      <c r="H63" s="183">
        <v>-23275</v>
      </c>
      <c r="I63" s="183">
        <v>-24486</v>
      </c>
      <c r="J63" s="183">
        <v>-25710</v>
      </c>
    </row>
    <row r="64" spans="1:10" ht="37.5">
      <c r="A64" s="102" t="s">
        <v>160</v>
      </c>
      <c r="B64" s="95">
        <f>'ІІІ. Рух грош. коштів'!B77</f>
        <v>3580</v>
      </c>
      <c r="C64" s="185">
        <f>'ІІІ. Рух грош. коштів'!C77</f>
        <v>-8733</v>
      </c>
      <c r="D64" s="185">
        <f>'ІІІ. Рух грош. коштів'!D77</f>
        <v>12700</v>
      </c>
      <c r="E64" s="185">
        <f>'ІІІ. Рух грош. коштів'!I77</f>
        <v>-3686.2669438513876</v>
      </c>
      <c r="F64" s="185">
        <f>'ІІІ. Рух грош. коштів'!E77</f>
        <v>-3300.823000000004</v>
      </c>
      <c r="G64" s="183">
        <v>22010</v>
      </c>
      <c r="H64" s="183">
        <v>23155</v>
      </c>
      <c r="I64" s="183">
        <v>24359</v>
      </c>
      <c r="J64" s="183">
        <v>25577</v>
      </c>
    </row>
    <row r="65" spans="1:10" ht="37.5">
      <c r="A65" s="102" t="s">
        <v>184</v>
      </c>
      <c r="B65" s="95">
        <f>'ІІІ. Рух грош. коштів'!B80</f>
        <v>3610</v>
      </c>
      <c r="C65" s="185">
        <f>'ІІІ. Рух грош. коштів'!C80</f>
        <v>0</v>
      </c>
      <c r="D65" s="185">
        <f>'ІІІ. Рух грош. коштів'!D80</f>
        <v>0</v>
      </c>
      <c r="E65" s="185">
        <f>'ІІІ. Рух грош. коштів'!I80</f>
        <v>0</v>
      </c>
      <c r="F65" s="185">
        <f>'ІІІ. Рух грош. коштів'!E80</f>
        <v>0</v>
      </c>
      <c r="G65" s="183">
        <v>0</v>
      </c>
      <c r="H65" s="183">
        <v>0</v>
      </c>
      <c r="I65" s="183">
        <v>0</v>
      </c>
      <c r="J65" s="183">
        <v>0</v>
      </c>
    </row>
    <row r="66" spans="1:10" ht="20.100000000000001" customHeight="1">
      <c r="A66" s="104" t="s">
        <v>161</v>
      </c>
      <c r="B66" s="95">
        <f>'ІІІ. Рух грош. коштів'!B81</f>
        <v>3620</v>
      </c>
      <c r="C66" s="185">
        <f>'ІІІ. Рух грош. коштів'!C81</f>
        <v>48538</v>
      </c>
      <c r="D66" s="185">
        <f>'ІІІ. Рух грош. коштів'!D81</f>
        <v>59342</v>
      </c>
      <c r="E66" s="185">
        <f>'ІІІ. Рух грош. коштів'!I81</f>
        <v>192963.36229931357</v>
      </c>
      <c r="F66" s="185">
        <f>'ІІІ. Рух грош. коштів'!E81</f>
        <v>71123.339100388839</v>
      </c>
      <c r="G66" s="185">
        <f>SUM(G61:G65)</f>
        <v>196176.36229931357</v>
      </c>
      <c r="H66" s="185">
        <f>SUM(H61:H65)</f>
        <v>199557.36229931357</v>
      </c>
      <c r="I66" s="185">
        <f>SUM(I61:I65)</f>
        <v>203113.36229931357</v>
      </c>
      <c r="J66" s="185">
        <f>SUM(J61:J65)</f>
        <v>206847.36229931357</v>
      </c>
    </row>
    <row r="67" spans="1:10" ht="24.95" customHeight="1">
      <c r="A67" s="1005" t="s">
        <v>228</v>
      </c>
      <c r="B67" s="1006"/>
      <c r="C67" s="1006"/>
      <c r="D67" s="1006"/>
      <c r="E67" s="1006"/>
      <c r="F67" s="1006"/>
      <c r="G67" s="1006"/>
      <c r="H67" s="1006"/>
      <c r="I67" s="1006"/>
      <c r="J67" s="1007"/>
    </row>
    <row r="68" spans="1:10" ht="20.100000000000001" customHeight="1">
      <c r="A68" s="102" t="s">
        <v>227</v>
      </c>
      <c r="B68" s="95">
        <f>'IV. Кап. інвестиції'!B6</f>
        <v>4000</v>
      </c>
      <c r="C68" s="185">
        <f>'IV. Кап. інвестиції'!C6</f>
        <v>21875</v>
      </c>
      <c r="D68" s="185">
        <f>'IV. Кап. інвестиції'!D6</f>
        <v>22388</v>
      </c>
      <c r="E68" s="185">
        <f>'IV. Кап. інвестиції'!I6</f>
        <v>0</v>
      </c>
      <c r="F68" s="185">
        <f>'IV. Кап. інвестиції'!E6</f>
        <v>65817.191999999995</v>
      </c>
      <c r="G68" s="183">
        <f>'IV. Кап. інвестиції'!F8</f>
        <v>0</v>
      </c>
      <c r="H68" s="183">
        <f>'IV. Кап. інвестиції'!G8</f>
        <v>0</v>
      </c>
      <c r="I68" s="183">
        <f>'IV. Кап. інвестиції'!H8</f>
        <v>0</v>
      </c>
      <c r="J68" s="183">
        <f>'IV. Кап. інвестиції'!I8</f>
        <v>0</v>
      </c>
    </row>
    <row r="69" spans="1:10" ht="24.95" customHeight="1">
      <c r="A69" s="995" t="s">
        <v>231</v>
      </c>
      <c r="B69" s="996"/>
      <c r="C69" s="996"/>
      <c r="D69" s="996"/>
      <c r="E69" s="996"/>
      <c r="F69" s="996"/>
      <c r="G69" s="996"/>
      <c r="H69" s="996"/>
      <c r="I69" s="996"/>
      <c r="J69" s="997"/>
    </row>
    <row r="70" spans="1:10" ht="20.100000000000001" customHeight="1">
      <c r="A70" s="102" t="s">
        <v>187</v>
      </c>
      <c r="B70" s="95">
        <f>' V. Коефіцієнти'!B9</f>
        <v>5020</v>
      </c>
      <c r="C70" s="186">
        <f>' V. Коефіцієнти'!D9</f>
        <v>-1.392698264944961E-2</v>
      </c>
      <c r="D70" s="186">
        <f>D51/D77</f>
        <v>5.7483294058334067E-3</v>
      </c>
      <c r="E70" s="186">
        <f>' V. Коефіцієнти'!G9</f>
        <v>8.2027027575956677E-3</v>
      </c>
      <c r="F70" s="186">
        <f>' V. Коефіцієнти'!F9</f>
        <v>-5.2095148443173055E-2</v>
      </c>
      <c r="G70" s="98" t="s">
        <v>239</v>
      </c>
      <c r="H70" s="98" t="s">
        <v>239</v>
      </c>
      <c r="I70" s="98" t="s">
        <v>239</v>
      </c>
      <c r="J70" s="98" t="s">
        <v>239</v>
      </c>
    </row>
    <row r="71" spans="1:10" ht="37.5">
      <c r="A71" s="102" t="s">
        <v>183</v>
      </c>
      <c r="B71" s="95">
        <f>' V. Коефіцієнти'!B10</f>
        <v>5030</v>
      </c>
      <c r="C71" s="186">
        <f>' V. Коефіцієнти'!D10</f>
        <v>-1.7340409474626159E-2</v>
      </c>
      <c r="D71" s="186">
        <f>D51/D83</f>
        <v>6.867797585514702E-3</v>
      </c>
      <c r="E71" s="186">
        <f>' V. Коефіцієнти'!G10</f>
        <v>8.3989156429406398E-3</v>
      </c>
      <c r="F71" s="186">
        <f>' V. Коефіцієнти'!F10</f>
        <v>-5.4435446961185761E-2</v>
      </c>
      <c r="G71" s="98" t="s">
        <v>239</v>
      </c>
      <c r="H71" s="98" t="s">
        <v>239</v>
      </c>
      <c r="I71" s="98" t="s">
        <v>239</v>
      </c>
      <c r="J71" s="98" t="s">
        <v>239</v>
      </c>
    </row>
    <row r="72" spans="1:10" ht="20.100000000000001" customHeight="1">
      <c r="A72" s="102" t="s">
        <v>246</v>
      </c>
      <c r="B72" s="95">
        <f>' V. Коефіцієнти'!B14</f>
        <v>5110</v>
      </c>
      <c r="C72" s="186">
        <f>' V. Коефіцієнти'!D14</f>
        <v>4.0800589444975968</v>
      </c>
      <c r="D72" s="186">
        <f>D83/(D78+D79)</f>
        <v>5.1348752114329113</v>
      </c>
      <c r="E72" s="186">
        <f>' V. Коефіцієнти'!G14</f>
        <v>41.805117656641336</v>
      </c>
      <c r="F72" s="186">
        <f>' V. Коефіцієнти'!F14</f>
        <v>22.260044196161093</v>
      </c>
      <c r="G72" s="98" t="s">
        <v>239</v>
      </c>
      <c r="H72" s="98" t="s">
        <v>239</v>
      </c>
      <c r="I72" s="98" t="s">
        <v>239</v>
      </c>
      <c r="J72" s="98" t="s">
        <v>239</v>
      </c>
    </row>
    <row r="73" spans="1:10" ht="24.95" customHeight="1">
      <c r="A73" s="981" t="s">
        <v>230</v>
      </c>
      <c r="B73" s="982"/>
      <c r="C73" s="982"/>
      <c r="D73" s="982"/>
      <c r="E73" s="982"/>
      <c r="F73" s="982"/>
      <c r="G73" s="982"/>
      <c r="H73" s="982"/>
      <c r="I73" s="982"/>
      <c r="J73" s="983"/>
    </row>
    <row r="74" spans="1:10" ht="20.100000000000001" customHeight="1">
      <c r="A74" s="102" t="s">
        <v>162</v>
      </c>
      <c r="B74" s="95">
        <v>6000</v>
      </c>
      <c r="C74" s="505">
        <v>797566</v>
      </c>
      <c r="D74" s="197">
        <v>800093</v>
      </c>
      <c r="E74" s="506">
        <f>F74+E68-'I. Фін результат'!I201</f>
        <v>618210.49830333341</v>
      </c>
      <c r="F74" s="505">
        <f>847939-(394708.1-310763)/9*12</f>
        <v>736012.20000000007</v>
      </c>
      <c r="G74" s="105" t="s">
        <v>239</v>
      </c>
      <c r="H74" s="105" t="s">
        <v>239</v>
      </c>
      <c r="I74" s="105" t="s">
        <v>239</v>
      </c>
      <c r="J74" s="105" t="s">
        <v>239</v>
      </c>
    </row>
    <row r="75" spans="1:10" ht="20.100000000000001" customHeight="1">
      <c r="A75" s="102" t="s">
        <v>163</v>
      </c>
      <c r="B75" s="95">
        <v>6010</v>
      </c>
      <c r="C75" s="505">
        <v>126324</v>
      </c>
      <c r="D75" s="197">
        <v>88513</v>
      </c>
      <c r="E75" s="505">
        <f>E83+E80-E74</f>
        <v>323502.09014277603</v>
      </c>
      <c r="F75" s="505">
        <f>-32043+126324+1+128608.1</f>
        <v>222890.1</v>
      </c>
      <c r="G75" s="105" t="s">
        <v>239</v>
      </c>
      <c r="H75" s="105" t="s">
        <v>239</v>
      </c>
      <c r="I75" s="105" t="s">
        <v>239</v>
      </c>
      <c r="J75" s="105" t="s">
        <v>239</v>
      </c>
    </row>
    <row r="76" spans="1:10" ht="37.5">
      <c r="A76" s="102" t="s">
        <v>276</v>
      </c>
      <c r="B76" s="95">
        <v>6020</v>
      </c>
      <c r="C76" s="505">
        <f>'ІІІ. Рух грош. коштів'!C81</f>
        <v>48538</v>
      </c>
      <c r="D76" s="505">
        <f>'ІІІ. Рух грош. коштів'!D81</f>
        <v>59342</v>
      </c>
      <c r="E76" s="505">
        <f>'ІІІ. Рух грош. коштів'!I81</f>
        <v>192963.36229931357</v>
      </c>
      <c r="F76" s="505">
        <f>'ІІІ. Рух грош. коштів'!E81</f>
        <v>71123.339100388839</v>
      </c>
      <c r="G76" s="105" t="s">
        <v>239</v>
      </c>
      <c r="H76" s="105" t="s">
        <v>239</v>
      </c>
      <c r="I76" s="105" t="s">
        <v>239</v>
      </c>
      <c r="J76" s="105" t="s">
        <v>239</v>
      </c>
    </row>
    <row r="77" spans="1:10" s="5" customFormat="1" ht="20.100000000000001" customHeight="1">
      <c r="A77" s="104" t="s">
        <v>280</v>
      </c>
      <c r="B77" s="95">
        <v>6030</v>
      </c>
      <c r="C77" s="505">
        <f>C74+C75</f>
        <v>923890</v>
      </c>
      <c r="D77" s="505">
        <f>D74+D75</f>
        <v>888606</v>
      </c>
      <c r="E77" s="505">
        <f>E74+E75</f>
        <v>941712.58844610944</v>
      </c>
      <c r="F77" s="505">
        <f>F74+F75</f>
        <v>958902.3</v>
      </c>
      <c r="G77" s="105" t="s">
        <v>239</v>
      </c>
      <c r="H77" s="105" t="s">
        <v>239</v>
      </c>
      <c r="I77" s="105" t="s">
        <v>239</v>
      </c>
      <c r="J77" s="105" t="s">
        <v>239</v>
      </c>
    </row>
    <row r="78" spans="1:10" ht="34.5" customHeight="1">
      <c r="A78" s="102" t="s">
        <v>185</v>
      </c>
      <c r="B78" s="95">
        <v>6040</v>
      </c>
      <c r="C78" s="505">
        <v>0</v>
      </c>
      <c r="D78" s="505"/>
      <c r="E78" s="505">
        <v>0</v>
      </c>
      <c r="F78" s="505">
        <v>18331</v>
      </c>
      <c r="G78" s="105" t="s">
        <v>239</v>
      </c>
      <c r="H78" s="105" t="s">
        <v>239</v>
      </c>
      <c r="I78" s="105" t="s">
        <v>239</v>
      </c>
      <c r="J78" s="105" t="s">
        <v>239</v>
      </c>
    </row>
    <row r="79" spans="1:10" ht="20.100000000000001" customHeight="1">
      <c r="A79" s="102" t="s">
        <v>186</v>
      </c>
      <c r="B79" s="95">
        <v>6050</v>
      </c>
      <c r="C79" s="505">
        <v>181866</v>
      </c>
      <c r="D79" s="183">
        <v>144845</v>
      </c>
      <c r="E79" s="505">
        <v>22000</v>
      </c>
      <c r="F79" s="505">
        <f>181866-117801.7-41170</f>
        <v>22894.300000000003</v>
      </c>
      <c r="G79" s="105" t="s">
        <v>239</v>
      </c>
      <c r="H79" s="105" t="s">
        <v>239</v>
      </c>
      <c r="I79" s="105" t="s">
        <v>239</v>
      </c>
      <c r="J79" s="105" t="s">
        <v>239</v>
      </c>
    </row>
    <row r="80" spans="1:10" s="5" customFormat="1" ht="20.100000000000001" customHeight="1">
      <c r="A80" s="104" t="s">
        <v>279</v>
      </c>
      <c r="B80" s="95">
        <v>6060</v>
      </c>
      <c r="C80" s="506">
        <f>SUM(C78:C79)</f>
        <v>181866</v>
      </c>
      <c r="D80" s="208">
        <f>SUM(D78:D79)</f>
        <v>144845</v>
      </c>
      <c r="E80" s="506">
        <f>SUM(E78:E79)</f>
        <v>22000</v>
      </c>
      <c r="F80" s="506">
        <f>SUM(F78:F79)</f>
        <v>41225.300000000003</v>
      </c>
      <c r="G80" s="105" t="s">
        <v>239</v>
      </c>
      <c r="H80" s="105" t="s">
        <v>239</v>
      </c>
      <c r="I80" s="105" t="s">
        <v>239</v>
      </c>
      <c r="J80" s="105" t="s">
        <v>239</v>
      </c>
    </row>
    <row r="81" spans="1:10" ht="20.100000000000001" customHeight="1">
      <c r="A81" s="102" t="s">
        <v>277</v>
      </c>
      <c r="B81" s="95">
        <v>6070</v>
      </c>
      <c r="C81" s="505">
        <v>0</v>
      </c>
      <c r="D81" s="197">
        <v>0</v>
      </c>
      <c r="E81" s="505">
        <v>0</v>
      </c>
      <c r="F81" s="505">
        <v>0</v>
      </c>
      <c r="G81" s="105" t="s">
        <v>239</v>
      </c>
      <c r="H81" s="105" t="s">
        <v>239</v>
      </c>
      <c r="I81" s="105" t="s">
        <v>239</v>
      </c>
      <c r="J81" s="105" t="s">
        <v>239</v>
      </c>
    </row>
    <row r="82" spans="1:10" ht="20.100000000000001" customHeight="1">
      <c r="A82" s="102" t="s">
        <v>278</v>
      </c>
      <c r="B82" s="95">
        <v>6080</v>
      </c>
      <c r="C82" s="505">
        <v>0</v>
      </c>
      <c r="D82" s="197">
        <v>0</v>
      </c>
      <c r="E82" s="505">
        <v>0</v>
      </c>
      <c r="F82" s="505">
        <v>0</v>
      </c>
      <c r="G82" s="105" t="s">
        <v>239</v>
      </c>
      <c r="H82" s="105" t="s">
        <v>239</v>
      </c>
      <c r="I82" s="105" t="s">
        <v>239</v>
      </c>
      <c r="J82" s="105" t="s">
        <v>239</v>
      </c>
    </row>
    <row r="83" spans="1:10" s="5" customFormat="1" ht="20.100000000000001" customHeight="1">
      <c r="A83" s="104" t="s">
        <v>164</v>
      </c>
      <c r="B83" s="95">
        <v>6090</v>
      </c>
      <c r="C83" s="505">
        <v>742024</v>
      </c>
      <c r="D83" s="197">
        <v>743761</v>
      </c>
      <c r="E83" s="506">
        <f>F83+E51-E54</f>
        <v>919712.58844610944</v>
      </c>
      <c r="F83" s="505">
        <f>907877+9800</f>
        <v>917677</v>
      </c>
      <c r="G83" s="105" t="s">
        <v>239</v>
      </c>
      <c r="H83" s="105" t="s">
        <v>239</v>
      </c>
      <c r="I83" s="105" t="s">
        <v>239</v>
      </c>
      <c r="J83" s="105" t="s">
        <v>239</v>
      </c>
    </row>
    <row r="84" spans="1:10" s="5" customFormat="1" ht="24.95" customHeight="1">
      <c r="A84" s="61"/>
      <c r="B84" s="108"/>
      <c r="C84" s="132"/>
      <c r="D84" s="133"/>
      <c r="E84" s="133"/>
      <c r="F84" s="133"/>
      <c r="G84" s="134"/>
      <c r="H84" s="134"/>
      <c r="I84" s="134"/>
      <c r="J84" s="134"/>
    </row>
    <row r="85" spans="1:10" ht="24.95" customHeight="1">
      <c r="A85" s="112"/>
      <c r="B85" s="108"/>
      <c r="C85" s="822">
        <f>C80+C83</f>
        <v>923890</v>
      </c>
      <c r="D85" s="822">
        <f>D80+D83</f>
        <v>888606</v>
      </c>
      <c r="E85" s="822">
        <f>E80+E83</f>
        <v>941712.58844610944</v>
      </c>
      <c r="F85" s="822">
        <f>F80+F83</f>
        <v>958902.3</v>
      </c>
      <c r="G85" s="135"/>
      <c r="H85" s="135"/>
      <c r="I85" s="135"/>
      <c r="J85" s="135"/>
    </row>
    <row r="86" spans="1:10" ht="56.25">
      <c r="A86" s="136" t="s">
        <v>446</v>
      </c>
      <c r="B86" s="137"/>
      <c r="C86" s="1000"/>
      <c r="D86" s="1001"/>
      <c r="E86" s="1001"/>
      <c r="F86" s="1001"/>
      <c r="G86" s="138"/>
      <c r="H86" s="1004" t="s">
        <v>1147</v>
      </c>
      <c r="I86" s="1004"/>
      <c r="J86" s="1004"/>
    </row>
    <row r="87" spans="1:10" s="1" customFormat="1" ht="21" customHeight="1">
      <c r="A87" s="108" t="s">
        <v>84</v>
      </c>
      <c r="B87" s="107"/>
      <c r="C87" s="889" t="s">
        <v>85</v>
      </c>
      <c r="D87" s="889"/>
      <c r="E87" s="889"/>
      <c r="F87" s="889"/>
      <c r="G87" s="139"/>
      <c r="H87" s="991" t="s">
        <v>116</v>
      </c>
      <c r="I87" s="991"/>
      <c r="J87" s="991"/>
    </row>
    <row r="89" spans="1:10">
      <c r="A89" s="47"/>
    </row>
    <row r="90" spans="1:10">
      <c r="A90" s="47"/>
    </row>
    <row r="91" spans="1:10">
      <c r="A91" s="47"/>
    </row>
    <row r="92" spans="1:10" s="22" customFormat="1">
      <c r="A92" s="47"/>
      <c r="G92" s="2"/>
      <c r="H92" s="2"/>
      <c r="I92" s="2"/>
      <c r="J92" s="2"/>
    </row>
    <row r="93" spans="1:10" s="22" customFormat="1">
      <c r="A93" s="47"/>
      <c r="G93" s="2"/>
      <c r="H93" s="2"/>
      <c r="I93" s="2"/>
      <c r="J93" s="2"/>
    </row>
    <row r="94" spans="1:10" s="22" customFormat="1">
      <c r="A94" s="47"/>
      <c r="G94" s="2"/>
      <c r="H94" s="2"/>
      <c r="I94" s="2"/>
      <c r="J94" s="2"/>
    </row>
    <row r="95" spans="1:10" s="22" customFormat="1">
      <c r="A95" s="47"/>
      <c r="G95" s="2"/>
      <c r="H95" s="2"/>
      <c r="I95" s="2"/>
      <c r="J95" s="2"/>
    </row>
    <row r="96" spans="1:10" s="22" customFormat="1">
      <c r="A96" s="47"/>
      <c r="G96" s="2"/>
      <c r="H96" s="2"/>
      <c r="I96" s="2"/>
      <c r="J96" s="2"/>
    </row>
    <row r="97" spans="1:10" s="22" customFormat="1">
      <c r="A97" s="47"/>
      <c r="G97" s="2"/>
      <c r="H97" s="2"/>
      <c r="I97" s="2"/>
      <c r="J97" s="2"/>
    </row>
    <row r="98" spans="1:10" s="22" customFormat="1">
      <c r="A98" s="47"/>
      <c r="G98" s="2"/>
      <c r="H98" s="2"/>
      <c r="I98" s="2"/>
      <c r="J98" s="2"/>
    </row>
    <row r="99" spans="1:10" s="22" customFormat="1">
      <c r="A99" s="47"/>
      <c r="G99" s="2"/>
      <c r="H99" s="2"/>
      <c r="I99" s="2"/>
      <c r="J99" s="2"/>
    </row>
    <row r="100" spans="1:10" s="22" customFormat="1">
      <c r="A100" s="47"/>
      <c r="G100" s="2"/>
      <c r="H100" s="2"/>
      <c r="I100" s="2"/>
      <c r="J100" s="2"/>
    </row>
    <row r="101" spans="1:10" s="22" customFormat="1">
      <c r="A101" s="47"/>
      <c r="G101" s="2"/>
      <c r="H101" s="2"/>
      <c r="I101" s="2"/>
      <c r="J101" s="2"/>
    </row>
    <row r="102" spans="1:10" s="22" customFormat="1">
      <c r="A102" s="47"/>
      <c r="G102" s="2"/>
      <c r="H102" s="2"/>
      <c r="I102" s="2"/>
      <c r="J102" s="2"/>
    </row>
    <row r="103" spans="1:10" s="22" customFormat="1">
      <c r="A103" s="47"/>
      <c r="G103" s="2"/>
      <c r="H103" s="2"/>
      <c r="I103" s="2"/>
      <c r="J103" s="2"/>
    </row>
    <row r="104" spans="1:10" s="22" customFormat="1">
      <c r="A104" s="47"/>
      <c r="G104" s="2"/>
      <c r="H104" s="2"/>
      <c r="I104" s="2"/>
      <c r="J104" s="2"/>
    </row>
    <row r="105" spans="1:10" s="22" customFormat="1">
      <c r="A105" s="47"/>
      <c r="G105" s="2"/>
      <c r="H105" s="2"/>
      <c r="I105" s="2"/>
      <c r="J105" s="2"/>
    </row>
    <row r="106" spans="1:10" s="22" customFormat="1">
      <c r="A106" s="47"/>
      <c r="G106" s="2"/>
      <c r="H106" s="2"/>
      <c r="I106" s="2"/>
      <c r="J106" s="2"/>
    </row>
    <row r="107" spans="1:10" s="22" customFormat="1">
      <c r="A107" s="47"/>
      <c r="G107" s="2"/>
      <c r="H107" s="2"/>
      <c r="I107" s="2"/>
      <c r="J107" s="2"/>
    </row>
    <row r="108" spans="1:10" s="22" customFormat="1">
      <c r="A108" s="47"/>
      <c r="G108" s="2"/>
      <c r="H108" s="2"/>
      <c r="I108" s="2"/>
      <c r="J108" s="2"/>
    </row>
    <row r="109" spans="1:10" s="22" customFormat="1">
      <c r="A109" s="47"/>
      <c r="G109" s="2"/>
      <c r="H109" s="2"/>
      <c r="I109" s="2"/>
      <c r="J109" s="2"/>
    </row>
    <row r="110" spans="1:10" s="22" customFormat="1">
      <c r="A110" s="47"/>
      <c r="G110" s="2"/>
      <c r="H110" s="2"/>
      <c r="I110" s="2"/>
      <c r="J110" s="2"/>
    </row>
    <row r="111" spans="1:10" s="22" customFormat="1">
      <c r="A111" s="47"/>
      <c r="G111" s="2"/>
      <c r="H111" s="2"/>
      <c r="I111" s="2"/>
      <c r="J111" s="2"/>
    </row>
    <row r="112" spans="1:10" s="22" customFormat="1">
      <c r="A112" s="47"/>
      <c r="G112" s="2"/>
      <c r="H112" s="2"/>
      <c r="I112" s="2"/>
      <c r="J112" s="2"/>
    </row>
    <row r="113" spans="1:10" s="22" customFormat="1">
      <c r="A113" s="47"/>
      <c r="G113" s="2"/>
      <c r="H113" s="2"/>
      <c r="I113" s="2"/>
      <c r="J113" s="2"/>
    </row>
    <row r="114" spans="1:10" s="22" customFormat="1">
      <c r="A114" s="47"/>
      <c r="G114" s="2"/>
      <c r="H114" s="2"/>
      <c r="I114" s="2"/>
      <c r="J114" s="2"/>
    </row>
    <row r="115" spans="1:10" s="22" customFormat="1">
      <c r="A115" s="47"/>
      <c r="G115" s="2"/>
      <c r="H115" s="2"/>
      <c r="I115" s="2"/>
      <c r="J115" s="2"/>
    </row>
    <row r="116" spans="1:10" s="22" customFormat="1">
      <c r="A116" s="47"/>
      <c r="G116" s="2"/>
      <c r="H116" s="2"/>
      <c r="I116" s="2"/>
      <c r="J116" s="2"/>
    </row>
    <row r="117" spans="1:10" s="22" customFormat="1">
      <c r="A117" s="47"/>
      <c r="G117" s="2"/>
      <c r="H117" s="2"/>
      <c r="I117" s="2"/>
      <c r="J117" s="2"/>
    </row>
    <row r="118" spans="1:10" s="22" customFormat="1">
      <c r="A118" s="47"/>
      <c r="G118" s="2"/>
      <c r="H118" s="2"/>
      <c r="I118" s="2"/>
      <c r="J118" s="2"/>
    </row>
    <row r="119" spans="1:10" s="22" customFormat="1">
      <c r="A119" s="47"/>
      <c r="G119" s="2"/>
      <c r="H119" s="2"/>
      <c r="I119" s="2"/>
      <c r="J119" s="2"/>
    </row>
    <row r="120" spans="1:10" s="22" customFormat="1">
      <c r="A120" s="47"/>
      <c r="G120" s="2"/>
      <c r="H120" s="2"/>
      <c r="I120" s="2"/>
      <c r="J120" s="2"/>
    </row>
    <row r="121" spans="1:10" s="22" customFormat="1">
      <c r="A121" s="47"/>
      <c r="G121" s="2"/>
      <c r="H121" s="2"/>
      <c r="I121" s="2"/>
      <c r="J121" s="2"/>
    </row>
    <row r="122" spans="1:10" s="22" customFormat="1">
      <c r="A122" s="47"/>
      <c r="G122" s="2"/>
      <c r="H122" s="2"/>
      <c r="I122" s="2"/>
      <c r="J122" s="2"/>
    </row>
    <row r="123" spans="1:10" s="22" customFormat="1">
      <c r="A123" s="47"/>
      <c r="G123" s="2"/>
      <c r="H123" s="2"/>
      <c r="I123" s="2"/>
      <c r="J123" s="2"/>
    </row>
    <row r="124" spans="1:10" s="22" customFormat="1">
      <c r="A124" s="47"/>
      <c r="G124" s="2"/>
      <c r="H124" s="2"/>
      <c r="I124" s="2"/>
      <c r="J124" s="2"/>
    </row>
    <row r="125" spans="1:10" s="22" customFormat="1">
      <c r="A125" s="47"/>
      <c r="G125" s="2"/>
      <c r="H125" s="2"/>
      <c r="I125" s="2"/>
      <c r="J125" s="2"/>
    </row>
    <row r="126" spans="1:10" s="22" customFormat="1">
      <c r="A126" s="47"/>
      <c r="G126" s="2"/>
      <c r="H126" s="2"/>
      <c r="I126" s="2"/>
      <c r="J126" s="2"/>
    </row>
    <row r="127" spans="1:10" s="22" customFormat="1">
      <c r="A127" s="47"/>
      <c r="G127" s="2"/>
      <c r="H127" s="2"/>
      <c r="I127" s="2"/>
      <c r="J127" s="2"/>
    </row>
    <row r="128" spans="1:10" s="22" customFormat="1">
      <c r="A128" s="47"/>
      <c r="G128" s="2"/>
      <c r="H128" s="2"/>
      <c r="I128" s="2"/>
      <c r="J128" s="2"/>
    </row>
    <row r="129" spans="1:10" s="22" customFormat="1">
      <c r="A129" s="47"/>
      <c r="G129" s="2"/>
      <c r="H129" s="2"/>
      <c r="I129" s="2"/>
      <c r="J129" s="2"/>
    </row>
    <row r="130" spans="1:10" s="22" customFormat="1">
      <c r="A130" s="47"/>
      <c r="G130" s="2"/>
      <c r="H130" s="2"/>
      <c r="I130" s="2"/>
      <c r="J130" s="2"/>
    </row>
    <row r="131" spans="1:10" s="22" customFormat="1">
      <c r="A131" s="47"/>
      <c r="G131" s="2"/>
      <c r="H131" s="2"/>
      <c r="I131" s="2"/>
      <c r="J131" s="2"/>
    </row>
    <row r="132" spans="1:10" s="22" customFormat="1">
      <c r="A132" s="47"/>
      <c r="G132" s="2"/>
      <c r="H132" s="2"/>
      <c r="I132" s="2"/>
      <c r="J132" s="2"/>
    </row>
    <row r="133" spans="1:10" s="22" customFormat="1">
      <c r="A133" s="47"/>
      <c r="G133" s="2"/>
      <c r="H133" s="2"/>
      <c r="I133" s="2"/>
      <c r="J133" s="2"/>
    </row>
    <row r="134" spans="1:10" s="22" customFormat="1">
      <c r="A134" s="47"/>
      <c r="G134" s="2"/>
      <c r="H134" s="2"/>
      <c r="I134" s="2"/>
      <c r="J134" s="2"/>
    </row>
    <row r="135" spans="1:10" s="22" customFormat="1">
      <c r="A135" s="47"/>
      <c r="G135" s="2"/>
      <c r="H135" s="2"/>
      <c r="I135" s="2"/>
      <c r="J135" s="2"/>
    </row>
    <row r="136" spans="1:10" s="22" customFormat="1">
      <c r="A136" s="47"/>
      <c r="G136" s="2"/>
      <c r="H136" s="2"/>
      <c r="I136" s="2"/>
      <c r="J136" s="2"/>
    </row>
    <row r="137" spans="1:10" s="22" customFormat="1">
      <c r="A137" s="47"/>
      <c r="G137" s="2"/>
      <c r="H137" s="2"/>
      <c r="I137" s="2"/>
      <c r="J137" s="2"/>
    </row>
    <row r="138" spans="1:10" s="22" customFormat="1">
      <c r="A138" s="47"/>
      <c r="G138" s="2"/>
      <c r="H138" s="2"/>
      <c r="I138" s="2"/>
      <c r="J138" s="2"/>
    </row>
    <row r="139" spans="1:10" s="22" customFormat="1">
      <c r="A139" s="47"/>
      <c r="G139" s="2"/>
      <c r="H139" s="2"/>
      <c r="I139" s="2"/>
      <c r="J139" s="2"/>
    </row>
    <row r="140" spans="1:10" s="22" customFormat="1">
      <c r="A140" s="47"/>
      <c r="G140" s="2"/>
      <c r="H140" s="2"/>
      <c r="I140" s="2"/>
      <c r="J140" s="2"/>
    </row>
    <row r="141" spans="1:10" s="22" customFormat="1">
      <c r="A141" s="47"/>
      <c r="G141" s="2"/>
      <c r="H141" s="2"/>
      <c r="I141" s="2"/>
      <c r="J141" s="2"/>
    </row>
    <row r="142" spans="1:10" s="22" customFormat="1">
      <c r="A142" s="47"/>
      <c r="G142" s="2"/>
      <c r="H142" s="2"/>
      <c r="I142" s="2"/>
      <c r="J142" s="2"/>
    </row>
    <row r="143" spans="1:10" s="22" customFormat="1">
      <c r="A143" s="47"/>
      <c r="G143" s="2"/>
      <c r="H143" s="2"/>
      <c r="I143" s="2"/>
      <c r="J143" s="2"/>
    </row>
    <row r="144" spans="1:10" s="22" customFormat="1">
      <c r="A144" s="47"/>
      <c r="G144" s="2"/>
      <c r="H144" s="2"/>
      <c r="I144" s="2"/>
      <c r="J144" s="2"/>
    </row>
    <row r="145" spans="1:10" s="22" customFormat="1">
      <c r="A145" s="47"/>
      <c r="G145" s="2"/>
      <c r="H145" s="2"/>
      <c r="I145" s="2"/>
      <c r="J145" s="2"/>
    </row>
    <row r="146" spans="1:10" s="22" customFormat="1">
      <c r="A146" s="47"/>
      <c r="G146" s="2"/>
      <c r="H146" s="2"/>
      <c r="I146" s="2"/>
      <c r="J146" s="2"/>
    </row>
    <row r="147" spans="1:10" s="22" customFormat="1">
      <c r="A147" s="47"/>
      <c r="G147" s="2"/>
      <c r="H147" s="2"/>
      <c r="I147" s="2"/>
      <c r="J147" s="2"/>
    </row>
    <row r="148" spans="1:10" s="22" customFormat="1">
      <c r="A148" s="47"/>
      <c r="G148" s="2"/>
      <c r="H148" s="2"/>
      <c r="I148" s="2"/>
      <c r="J148" s="2"/>
    </row>
    <row r="149" spans="1:10" s="22" customFormat="1">
      <c r="A149" s="47"/>
      <c r="G149" s="2"/>
      <c r="H149" s="2"/>
      <c r="I149" s="2"/>
      <c r="J149" s="2"/>
    </row>
    <row r="150" spans="1:10" s="22" customFormat="1">
      <c r="A150" s="47"/>
      <c r="G150" s="2"/>
      <c r="H150" s="2"/>
      <c r="I150" s="2"/>
      <c r="J150" s="2"/>
    </row>
    <row r="151" spans="1:10" s="22" customFormat="1">
      <c r="A151" s="47"/>
      <c r="G151" s="2"/>
      <c r="H151" s="2"/>
      <c r="I151" s="2"/>
      <c r="J151" s="2"/>
    </row>
    <row r="152" spans="1:10" s="22" customFormat="1">
      <c r="A152" s="47"/>
      <c r="G152" s="2"/>
      <c r="H152" s="2"/>
      <c r="I152" s="2"/>
      <c r="J152" s="2"/>
    </row>
    <row r="153" spans="1:10" s="22" customFormat="1">
      <c r="A153" s="47"/>
      <c r="G153" s="2"/>
      <c r="H153" s="2"/>
      <c r="I153" s="2"/>
      <c r="J153" s="2"/>
    </row>
    <row r="154" spans="1:10" s="22" customFormat="1">
      <c r="A154" s="47"/>
      <c r="G154" s="2"/>
      <c r="H154" s="2"/>
      <c r="I154" s="2"/>
      <c r="J154" s="2"/>
    </row>
    <row r="155" spans="1:10" s="22" customFormat="1">
      <c r="A155" s="47"/>
      <c r="G155" s="2"/>
      <c r="H155" s="2"/>
      <c r="I155" s="2"/>
      <c r="J155" s="2"/>
    </row>
    <row r="156" spans="1:10" s="22" customFormat="1">
      <c r="A156" s="47"/>
      <c r="G156" s="2"/>
      <c r="H156" s="2"/>
      <c r="I156" s="2"/>
      <c r="J156" s="2"/>
    </row>
    <row r="157" spans="1:10" s="22" customFormat="1">
      <c r="A157" s="47"/>
      <c r="G157" s="2"/>
      <c r="H157" s="2"/>
      <c r="I157" s="2"/>
      <c r="J157" s="2"/>
    </row>
    <row r="158" spans="1:10" s="22" customFormat="1">
      <c r="A158" s="47"/>
      <c r="G158" s="2"/>
      <c r="H158" s="2"/>
      <c r="I158" s="2"/>
      <c r="J158" s="2"/>
    </row>
    <row r="159" spans="1:10" s="22" customFormat="1">
      <c r="A159" s="47"/>
      <c r="G159" s="2"/>
      <c r="H159" s="2"/>
      <c r="I159" s="2"/>
      <c r="J159" s="2"/>
    </row>
    <row r="160" spans="1:10" s="22" customFormat="1">
      <c r="A160" s="47"/>
      <c r="G160" s="2"/>
      <c r="H160" s="2"/>
      <c r="I160" s="2"/>
      <c r="J160" s="2"/>
    </row>
    <row r="161" spans="1:10" s="22" customFormat="1">
      <c r="A161" s="47"/>
      <c r="G161" s="2"/>
      <c r="H161" s="2"/>
      <c r="I161" s="2"/>
      <c r="J161" s="2"/>
    </row>
    <row r="162" spans="1:10" s="22" customFormat="1">
      <c r="A162" s="47"/>
      <c r="G162" s="2"/>
      <c r="H162" s="2"/>
      <c r="I162" s="2"/>
      <c r="J162" s="2"/>
    </row>
    <row r="163" spans="1:10" s="22" customFormat="1">
      <c r="A163" s="47"/>
      <c r="G163" s="2"/>
      <c r="H163" s="2"/>
      <c r="I163" s="2"/>
      <c r="J163" s="2"/>
    </row>
    <row r="164" spans="1:10" s="22" customFormat="1">
      <c r="A164" s="47"/>
      <c r="G164" s="2"/>
      <c r="H164" s="2"/>
      <c r="I164" s="2"/>
      <c r="J164" s="2"/>
    </row>
    <row r="165" spans="1:10" s="22" customFormat="1">
      <c r="A165" s="47"/>
      <c r="G165" s="2"/>
      <c r="H165" s="2"/>
      <c r="I165" s="2"/>
      <c r="J165" s="2"/>
    </row>
    <row r="166" spans="1:10" s="22" customFormat="1">
      <c r="A166" s="47"/>
      <c r="G166" s="2"/>
      <c r="H166" s="2"/>
      <c r="I166" s="2"/>
      <c r="J166" s="2"/>
    </row>
    <row r="167" spans="1:10" s="22" customFormat="1">
      <c r="A167" s="47"/>
      <c r="G167" s="2"/>
      <c r="H167" s="2"/>
      <c r="I167" s="2"/>
      <c r="J167" s="2"/>
    </row>
    <row r="168" spans="1:10" s="22" customFormat="1">
      <c r="A168" s="47"/>
      <c r="G168" s="2"/>
      <c r="H168" s="2"/>
      <c r="I168" s="2"/>
      <c r="J168" s="2"/>
    </row>
    <row r="169" spans="1:10" s="22" customFormat="1">
      <c r="A169" s="47"/>
      <c r="G169" s="2"/>
      <c r="H169" s="2"/>
      <c r="I169" s="2"/>
      <c r="J169" s="2"/>
    </row>
    <row r="170" spans="1:10" s="22" customFormat="1">
      <c r="A170" s="47"/>
      <c r="G170" s="2"/>
      <c r="H170" s="2"/>
      <c r="I170" s="2"/>
      <c r="J170" s="2"/>
    </row>
    <row r="171" spans="1:10" s="22" customFormat="1">
      <c r="A171" s="47"/>
      <c r="G171" s="2"/>
      <c r="H171" s="2"/>
      <c r="I171" s="2"/>
      <c r="J171" s="2"/>
    </row>
    <row r="172" spans="1:10" s="22" customFormat="1">
      <c r="A172" s="47"/>
      <c r="G172" s="2"/>
      <c r="H172" s="2"/>
      <c r="I172" s="2"/>
      <c r="J172" s="2"/>
    </row>
    <row r="173" spans="1:10" s="22" customFormat="1">
      <c r="A173" s="47"/>
      <c r="G173" s="2"/>
      <c r="H173" s="2"/>
      <c r="I173" s="2"/>
      <c r="J173" s="2"/>
    </row>
    <row r="174" spans="1:10" s="22" customFormat="1">
      <c r="A174" s="47"/>
      <c r="G174" s="2"/>
      <c r="H174" s="2"/>
      <c r="I174" s="2"/>
      <c r="J174" s="2"/>
    </row>
    <row r="175" spans="1:10" s="22" customFormat="1">
      <c r="A175" s="47"/>
      <c r="G175" s="2"/>
      <c r="H175" s="2"/>
      <c r="I175" s="2"/>
      <c r="J175" s="2"/>
    </row>
    <row r="176" spans="1:10" s="22" customFormat="1">
      <c r="A176" s="47"/>
      <c r="G176" s="2"/>
      <c r="H176" s="2"/>
      <c r="I176" s="2"/>
      <c r="J176" s="2"/>
    </row>
    <row r="177" spans="1:10" s="22" customFormat="1">
      <c r="A177" s="47"/>
      <c r="G177" s="2"/>
      <c r="H177" s="2"/>
      <c r="I177" s="2"/>
      <c r="J177" s="2"/>
    </row>
    <row r="178" spans="1:10" s="22" customFormat="1">
      <c r="A178" s="47"/>
      <c r="G178" s="2"/>
      <c r="H178" s="2"/>
      <c r="I178" s="2"/>
      <c r="J178" s="2"/>
    </row>
    <row r="179" spans="1:10" s="22" customFormat="1">
      <c r="A179" s="47"/>
      <c r="G179" s="2"/>
      <c r="H179" s="2"/>
      <c r="I179" s="2"/>
      <c r="J179" s="2"/>
    </row>
    <row r="180" spans="1:10" s="22" customFormat="1">
      <c r="A180" s="47"/>
      <c r="G180" s="2"/>
      <c r="H180" s="2"/>
      <c r="I180" s="2"/>
      <c r="J180" s="2"/>
    </row>
    <row r="181" spans="1:10" s="22" customFormat="1">
      <c r="A181" s="47"/>
      <c r="G181" s="2"/>
      <c r="H181" s="2"/>
      <c r="I181" s="2"/>
      <c r="J181" s="2"/>
    </row>
    <row r="182" spans="1:10" s="22" customFormat="1">
      <c r="A182" s="47"/>
      <c r="G182" s="2"/>
      <c r="H182" s="2"/>
      <c r="I182" s="2"/>
      <c r="J182" s="2"/>
    </row>
    <row r="183" spans="1:10" s="22" customFormat="1">
      <c r="A183" s="47"/>
      <c r="G183" s="2"/>
      <c r="H183" s="2"/>
      <c r="I183" s="2"/>
      <c r="J183" s="2"/>
    </row>
    <row r="184" spans="1:10" s="22" customFormat="1">
      <c r="A184" s="47"/>
      <c r="G184" s="2"/>
      <c r="H184" s="2"/>
      <c r="I184" s="2"/>
      <c r="J184" s="2"/>
    </row>
    <row r="185" spans="1:10" s="22" customFormat="1">
      <c r="A185" s="47"/>
      <c r="G185" s="2"/>
      <c r="H185" s="2"/>
      <c r="I185" s="2"/>
      <c r="J185" s="2"/>
    </row>
    <row r="186" spans="1:10" s="22" customFormat="1">
      <c r="A186" s="47"/>
      <c r="G186" s="2"/>
      <c r="H186" s="2"/>
      <c r="I186" s="2"/>
      <c r="J186" s="2"/>
    </row>
    <row r="187" spans="1:10" s="22" customFormat="1">
      <c r="A187" s="47"/>
      <c r="G187" s="2"/>
      <c r="H187" s="2"/>
      <c r="I187" s="2"/>
      <c r="J187" s="2"/>
    </row>
    <row r="188" spans="1:10" s="22" customFormat="1">
      <c r="A188" s="47"/>
      <c r="G188" s="2"/>
      <c r="H188" s="2"/>
      <c r="I188" s="2"/>
      <c r="J188" s="2"/>
    </row>
    <row r="189" spans="1:10" s="22" customFormat="1">
      <c r="A189" s="47"/>
      <c r="G189" s="2"/>
      <c r="H189" s="2"/>
      <c r="I189" s="2"/>
      <c r="J189" s="2"/>
    </row>
    <row r="190" spans="1:10" s="22" customFormat="1">
      <c r="A190" s="47"/>
      <c r="G190" s="2"/>
      <c r="H190" s="2"/>
      <c r="I190" s="2"/>
      <c r="J190" s="2"/>
    </row>
    <row r="191" spans="1:10" s="22" customFormat="1">
      <c r="A191" s="47"/>
      <c r="G191" s="2"/>
      <c r="H191" s="2"/>
      <c r="I191" s="2"/>
      <c r="J191" s="2"/>
    </row>
    <row r="192" spans="1:10" s="22" customFormat="1">
      <c r="A192" s="47"/>
      <c r="G192" s="2"/>
      <c r="H192" s="2"/>
      <c r="I192" s="2"/>
      <c r="J192" s="2"/>
    </row>
    <row r="193" spans="1:10" s="22" customFormat="1">
      <c r="A193" s="47"/>
      <c r="G193" s="2"/>
      <c r="H193" s="2"/>
      <c r="I193" s="2"/>
      <c r="J193" s="2"/>
    </row>
    <row r="194" spans="1:10" s="22" customFormat="1">
      <c r="A194" s="47"/>
      <c r="G194" s="2"/>
      <c r="H194" s="2"/>
      <c r="I194" s="2"/>
      <c r="J194" s="2"/>
    </row>
    <row r="195" spans="1:10" s="22" customFormat="1">
      <c r="A195" s="47"/>
      <c r="G195" s="2"/>
      <c r="H195" s="2"/>
      <c r="I195" s="2"/>
      <c r="J195" s="2"/>
    </row>
    <row r="196" spans="1:10" s="22" customFormat="1">
      <c r="A196" s="47"/>
      <c r="G196" s="2"/>
      <c r="H196" s="2"/>
      <c r="I196" s="2"/>
      <c r="J196" s="2"/>
    </row>
    <row r="197" spans="1:10" s="22" customFormat="1">
      <c r="A197" s="47"/>
      <c r="G197" s="2"/>
      <c r="H197" s="2"/>
      <c r="I197" s="2"/>
      <c r="J197" s="2"/>
    </row>
    <row r="198" spans="1:10" s="22" customFormat="1">
      <c r="A198" s="47"/>
      <c r="G198" s="2"/>
      <c r="H198" s="2"/>
      <c r="I198" s="2"/>
      <c r="J198" s="2"/>
    </row>
    <row r="199" spans="1:10" s="22" customFormat="1">
      <c r="A199" s="47"/>
      <c r="G199" s="2"/>
      <c r="H199" s="2"/>
      <c r="I199" s="2"/>
      <c r="J199" s="2"/>
    </row>
    <row r="200" spans="1:10" s="22" customFormat="1">
      <c r="A200" s="47"/>
      <c r="G200" s="2"/>
      <c r="H200" s="2"/>
      <c r="I200" s="2"/>
      <c r="J200" s="2"/>
    </row>
    <row r="201" spans="1:10" s="22" customFormat="1">
      <c r="A201" s="47"/>
      <c r="G201" s="2"/>
      <c r="H201" s="2"/>
      <c r="I201" s="2"/>
      <c r="J201" s="2"/>
    </row>
    <row r="202" spans="1:10" s="22" customFormat="1">
      <c r="A202" s="47"/>
      <c r="G202" s="2"/>
      <c r="H202" s="2"/>
      <c r="I202" s="2"/>
      <c r="J202" s="2"/>
    </row>
    <row r="203" spans="1:10" s="22" customFormat="1">
      <c r="A203" s="47"/>
      <c r="G203" s="2"/>
      <c r="H203" s="2"/>
      <c r="I203" s="2"/>
      <c r="J203" s="2"/>
    </row>
    <row r="204" spans="1:10" s="22" customFormat="1">
      <c r="A204" s="47"/>
      <c r="G204" s="2"/>
      <c r="H204" s="2"/>
      <c r="I204" s="2"/>
      <c r="J204" s="2"/>
    </row>
    <row r="205" spans="1:10" s="22" customFormat="1">
      <c r="A205" s="47"/>
      <c r="G205" s="2"/>
      <c r="H205" s="2"/>
      <c r="I205" s="2"/>
      <c r="J205" s="2"/>
    </row>
    <row r="206" spans="1:10" s="22" customFormat="1">
      <c r="A206" s="47"/>
      <c r="G206" s="2"/>
      <c r="H206" s="2"/>
      <c r="I206" s="2"/>
      <c r="J206" s="2"/>
    </row>
    <row r="207" spans="1:10" s="22" customFormat="1">
      <c r="A207" s="47"/>
      <c r="G207" s="2"/>
      <c r="H207" s="2"/>
      <c r="I207" s="2"/>
      <c r="J207" s="2"/>
    </row>
    <row r="208" spans="1:10" s="22" customFormat="1">
      <c r="A208" s="47"/>
      <c r="G208" s="2"/>
      <c r="H208" s="2"/>
      <c r="I208" s="2"/>
      <c r="J208" s="2"/>
    </row>
    <row r="209" spans="1:10" s="22" customFormat="1">
      <c r="A209" s="47"/>
      <c r="G209" s="2"/>
      <c r="H209" s="2"/>
      <c r="I209" s="2"/>
      <c r="J209" s="2"/>
    </row>
    <row r="210" spans="1:10" s="22" customFormat="1">
      <c r="A210" s="47"/>
      <c r="G210" s="2"/>
      <c r="H210" s="2"/>
      <c r="I210" s="2"/>
      <c r="J210" s="2"/>
    </row>
    <row r="211" spans="1:10" s="22" customFormat="1">
      <c r="A211" s="47"/>
      <c r="G211" s="2"/>
      <c r="H211" s="2"/>
      <c r="I211" s="2"/>
      <c r="J211" s="2"/>
    </row>
    <row r="212" spans="1:10" s="22" customFormat="1">
      <c r="A212" s="47"/>
      <c r="G212" s="2"/>
      <c r="H212" s="2"/>
      <c r="I212" s="2"/>
      <c r="J212" s="2"/>
    </row>
    <row r="213" spans="1:10" s="22" customFormat="1">
      <c r="A213" s="47"/>
      <c r="G213" s="2"/>
      <c r="H213" s="2"/>
      <c r="I213" s="2"/>
      <c r="J213" s="2"/>
    </row>
    <row r="214" spans="1:10" s="22" customFormat="1">
      <c r="A214" s="47"/>
      <c r="G214" s="2"/>
      <c r="H214" s="2"/>
      <c r="I214" s="2"/>
      <c r="J214" s="2"/>
    </row>
    <row r="215" spans="1:10" s="22" customFormat="1">
      <c r="A215" s="47"/>
      <c r="G215" s="2"/>
      <c r="H215" s="2"/>
      <c r="I215" s="2"/>
      <c r="J215" s="2"/>
    </row>
    <row r="216" spans="1:10" s="22" customFormat="1">
      <c r="A216" s="47"/>
      <c r="G216" s="2"/>
      <c r="H216" s="2"/>
      <c r="I216" s="2"/>
      <c r="J216" s="2"/>
    </row>
    <row r="217" spans="1:10" s="22" customFormat="1">
      <c r="A217" s="47"/>
      <c r="G217" s="2"/>
      <c r="H217" s="2"/>
      <c r="I217" s="2"/>
      <c r="J217" s="2"/>
    </row>
    <row r="218" spans="1:10" s="22" customFormat="1">
      <c r="A218" s="47"/>
      <c r="G218" s="2"/>
      <c r="H218" s="2"/>
      <c r="I218" s="2"/>
      <c r="J218" s="2"/>
    </row>
    <row r="219" spans="1:10" s="22" customFormat="1">
      <c r="A219" s="47"/>
      <c r="G219" s="2"/>
      <c r="H219" s="2"/>
      <c r="I219" s="2"/>
      <c r="J219" s="2"/>
    </row>
    <row r="220" spans="1:10" s="22" customFormat="1">
      <c r="A220" s="47"/>
      <c r="G220" s="2"/>
      <c r="H220" s="2"/>
      <c r="I220" s="2"/>
      <c r="J220" s="2"/>
    </row>
    <row r="221" spans="1:10" s="22" customFormat="1">
      <c r="A221" s="47"/>
      <c r="G221" s="2"/>
      <c r="H221" s="2"/>
      <c r="I221" s="2"/>
      <c r="J221" s="2"/>
    </row>
    <row r="222" spans="1:10" s="22" customFormat="1">
      <c r="A222" s="47"/>
      <c r="G222" s="2"/>
      <c r="H222" s="2"/>
      <c r="I222" s="2"/>
      <c r="J222" s="2"/>
    </row>
    <row r="223" spans="1:10" s="22" customFormat="1">
      <c r="A223" s="47"/>
      <c r="G223" s="2"/>
      <c r="H223" s="2"/>
      <c r="I223" s="2"/>
      <c r="J223" s="2"/>
    </row>
    <row r="224" spans="1:10" s="22" customFormat="1">
      <c r="A224" s="47"/>
      <c r="G224" s="2"/>
      <c r="H224" s="2"/>
      <c r="I224" s="2"/>
      <c r="J224" s="2"/>
    </row>
    <row r="225" spans="1:10" s="22" customFormat="1">
      <c r="A225" s="47"/>
      <c r="G225" s="2"/>
      <c r="H225" s="2"/>
      <c r="I225" s="2"/>
      <c r="J225" s="2"/>
    </row>
    <row r="226" spans="1:10" s="22" customFormat="1">
      <c r="A226" s="47"/>
      <c r="G226" s="2"/>
      <c r="H226" s="2"/>
      <c r="I226" s="2"/>
      <c r="J226" s="2"/>
    </row>
    <row r="227" spans="1:10" s="22" customFormat="1">
      <c r="A227" s="47"/>
      <c r="G227" s="2"/>
      <c r="H227" s="2"/>
      <c r="I227" s="2"/>
      <c r="J227" s="2"/>
    </row>
    <row r="228" spans="1:10" s="22" customFormat="1">
      <c r="A228" s="47"/>
      <c r="G228" s="2"/>
      <c r="H228" s="2"/>
      <c r="I228" s="2"/>
      <c r="J228" s="2"/>
    </row>
    <row r="229" spans="1:10" s="22" customFormat="1">
      <c r="A229" s="47"/>
      <c r="G229" s="2"/>
      <c r="H229" s="2"/>
      <c r="I229" s="2"/>
      <c r="J229" s="2"/>
    </row>
    <row r="230" spans="1:10" s="22" customFormat="1">
      <c r="A230" s="47"/>
      <c r="G230" s="2"/>
      <c r="H230" s="2"/>
      <c r="I230" s="2"/>
      <c r="J230" s="2"/>
    </row>
    <row r="231" spans="1:10" s="22" customFormat="1">
      <c r="A231" s="47"/>
      <c r="G231" s="2"/>
      <c r="H231" s="2"/>
      <c r="I231" s="2"/>
      <c r="J231" s="2"/>
    </row>
    <row r="232" spans="1:10" s="22" customFormat="1">
      <c r="A232" s="47"/>
      <c r="G232" s="2"/>
      <c r="H232" s="2"/>
      <c r="I232" s="2"/>
      <c r="J232" s="2"/>
    </row>
    <row r="233" spans="1:10" s="22" customFormat="1">
      <c r="A233" s="47"/>
      <c r="G233" s="2"/>
      <c r="H233" s="2"/>
      <c r="I233" s="2"/>
      <c r="J233" s="2"/>
    </row>
    <row r="234" spans="1:10" s="22" customFormat="1">
      <c r="A234" s="47"/>
      <c r="G234" s="2"/>
      <c r="H234" s="2"/>
      <c r="I234" s="2"/>
      <c r="J234" s="2"/>
    </row>
    <row r="235" spans="1:10" s="22" customFormat="1">
      <c r="A235" s="47"/>
      <c r="G235" s="2"/>
      <c r="H235" s="2"/>
      <c r="I235" s="2"/>
      <c r="J235" s="2"/>
    </row>
    <row r="236" spans="1:10" s="22" customFormat="1">
      <c r="A236" s="47"/>
      <c r="G236" s="2"/>
      <c r="H236" s="2"/>
      <c r="I236" s="2"/>
      <c r="J236" s="2"/>
    </row>
    <row r="237" spans="1:10" s="22" customFormat="1">
      <c r="A237" s="47"/>
      <c r="G237" s="2"/>
      <c r="H237" s="2"/>
      <c r="I237" s="2"/>
      <c r="J237" s="2"/>
    </row>
    <row r="238" spans="1:10" s="22" customFormat="1">
      <c r="A238" s="47"/>
      <c r="G238" s="2"/>
      <c r="H238" s="2"/>
      <c r="I238" s="2"/>
      <c r="J238" s="2"/>
    </row>
    <row r="239" spans="1:10" s="22" customFormat="1">
      <c r="A239" s="47"/>
      <c r="G239" s="2"/>
      <c r="H239" s="2"/>
      <c r="I239" s="2"/>
      <c r="J239" s="2"/>
    </row>
    <row r="240" spans="1:10" s="22" customFormat="1">
      <c r="A240" s="47"/>
      <c r="G240" s="2"/>
      <c r="H240" s="2"/>
      <c r="I240" s="2"/>
      <c r="J240" s="2"/>
    </row>
    <row r="241" spans="1:10" s="22" customFormat="1">
      <c r="A241" s="47"/>
      <c r="G241" s="2"/>
      <c r="H241" s="2"/>
      <c r="I241" s="2"/>
      <c r="J241" s="2"/>
    </row>
    <row r="242" spans="1:10" s="22" customFormat="1">
      <c r="A242" s="47"/>
      <c r="G242" s="2"/>
      <c r="H242" s="2"/>
      <c r="I242" s="2"/>
      <c r="J242" s="2"/>
    </row>
    <row r="243" spans="1:10" s="22" customFormat="1">
      <c r="A243" s="47"/>
      <c r="G243" s="2"/>
      <c r="H243" s="2"/>
      <c r="I243" s="2"/>
      <c r="J243" s="2"/>
    </row>
    <row r="244" spans="1:10" s="22" customFormat="1">
      <c r="A244" s="47"/>
      <c r="G244" s="2"/>
      <c r="H244" s="2"/>
      <c r="I244" s="2"/>
      <c r="J244" s="2"/>
    </row>
    <row r="245" spans="1:10" s="22" customFormat="1">
      <c r="A245" s="47"/>
      <c r="G245" s="2"/>
      <c r="H245" s="2"/>
      <c r="I245" s="2"/>
      <c r="J245" s="2"/>
    </row>
    <row r="246" spans="1:10" s="22" customFormat="1">
      <c r="A246" s="47"/>
      <c r="G246" s="2"/>
      <c r="H246" s="2"/>
      <c r="I246" s="2"/>
      <c r="J246" s="2"/>
    </row>
    <row r="247" spans="1:10" s="22" customFormat="1">
      <c r="A247" s="47"/>
      <c r="G247" s="2"/>
      <c r="H247" s="2"/>
      <c r="I247" s="2"/>
      <c r="J247" s="2"/>
    </row>
    <row r="248" spans="1:10" s="22" customFormat="1">
      <c r="A248" s="47"/>
      <c r="G248" s="2"/>
      <c r="H248" s="2"/>
      <c r="I248" s="2"/>
      <c r="J248" s="2"/>
    </row>
    <row r="249" spans="1:10" s="22" customFormat="1">
      <c r="A249" s="47"/>
      <c r="G249" s="2"/>
      <c r="H249" s="2"/>
      <c r="I249" s="2"/>
      <c r="J249" s="2"/>
    </row>
    <row r="250" spans="1:10" s="22" customFormat="1">
      <c r="A250" s="47"/>
      <c r="G250" s="2"/>
      <c r="H250" s="2"/>
      <c r="I250" s="2"/>
      <c r="J250" s="2"/>
    </row>
    <row r="251" spans="1:10" s="22" customFormat="1">
      <c r="A251" s="47"/>
      <c r="G251" s="2"/>
      <c r="H251" s="2"/>
      <c r="I251" s="2"/>
      <c r="J251" s="2"/>
    </row>
    <row r="252" spans="1:10" s="22" customFormat="1">
      <c r="A252" s="47"/>
      <c r="G252" s="2"/>
      <c r="H252" s="2"/>
      <c r="I252" s="2"/>
      <c r="J252" s="2"/>
    </row>
    <row r="253" spans="1:10" s="22" customFormat="1">
      <c r="A253" s="47"/>
      <c r="G253" s="2"/>
      <c r="H253" s="2"/>
      <c r="I253" s="2"/>
      <c r="J253" s="2"/>
    </row>
    <row r="254" spans="1:10" s="22" customFormat="1">
      <c r="A254" s="47"/>
      <c r="G254" s="2"/>
      <c r="H254" s="2"/>
      <c r="I254" s="2"/>
      <c r="J254" s="2"/>
    </row>
    <row r="255" spans="1:10" s="22" customFormat="1">
      <c r="A255" s="47"/>
      <c r="G255" s="2"/>
      <c r="H255" s="2"/>
      <c r="I255" s="2"/>
      <c r="J255" s="2"/>
    </row>
    <row r="256" spans="1:10" s="22" customFormat="1">
      <c r="A256" s="47"/>
      <c r="G256" s="2"/>
      <c r="H256" s="2"/>
      <c r="I256" s="2"/>
      <c r="J256" s="2"/>
    </row>
  </sheetData>
  <sheetProtection password="C6FB" sheet="1" formatCells="0" formatColumns="0" formatRows="0"/>
  <mergeCells count="46">
    <mergeCell ref="C87:F87"/>
    <mergeCell ref="H87:J87"/>
    <mergeCell ref="A34:A35"/>
    <mergeCell ref="B34:B35"/>
    <mergeCell ref="E34:E35"/>
    <mergeCell ref="G34:J34"/>
    <mergeCell ref="A37:J37"/>
    <mergeCell ref="A69:J69"/>
    <mergeCell ref="C34:C35"/>
    <mergeCell ref="C86:F86"/>
    <mergeCell ref="F34:F35"/>
    <mergeCell ref="H86:J86"/>
    <mergeCell ref="D34:D35"/>
    <mergeCell ref="A67:J67"/>
    <mergeCell ref="A60:J60"/>
    <mergeCell ref="A73:J73"/>
    <mergeCell ref="B23:F23"/>
    <mergeCell ref="B17:F17"/>
    <mergeCell ref="F6:J6"/>
    <mergeCell ref="F8:J8"/>
    <mergeCell ref="F9:J9"/>
    <mergeCell ref="F11:J11"/>
    <mergeCell ref="G23:I23"/>
    <mergeCell ref="B18:F18"/>
    <mergeCell ref="B19:F19"/>
    <mergeCell ref="B20:F20"/>
    <mergeCell ref="B21:F21"/>
    <mergeCell ref="A22:F22"/>
    <mergeCell ref="G22:I22"/>
    <mergeCell ref="B16:F16"/>
    <mergeCell ref="B15:F15"/>
    <mergeCell ref="A6:B7"/>
    <mergeCell ref="A53:J53"/>
    <mergeCell ref="A24:F24"/>
    <mergeCell ref="B25:F25"/>
    <mergeCell ref="B26:F26"/>
    <mergeCell ref="B27:F27"/>
    <mergeCell ref="A30:J30"/>
    <mergeCell ref="A32:J32"/>
    <mergeCell ref="F7:J7"/>
    <mergeCell ref="A2:B2"/>
    <mergeCell ref="F2:J4"/>
    <mergeCell ref="A3:B3"/>
    <mergeCell ref="A5:B5"/>
    <mergeCell ref="G5:H5"/>
    <mergeCell ref="A4:B4"/>
  </mergeCells>
  <phoneticPr fontId="6" type="noConversion"/>
  <pageMargins left="0.78740157480314965" right="0.39370078740157483" top="0.59055118110236227" bottom="0.59055118110236227" header="0.39370078740157483" footer="0.19685039370078741"/>
  <pageSetup paperSize="9" scale="49" orientation="portrait" horizontalDpi="300" verticalDpi="300" r:id="rId1"/>
  <headerFooter alignWithMargins="0">
    <oddHeader xml:space="preserve">&amp;C&amp;"Times New Roman,обычный"&amp;14
&amp;R&amp;"Times New Roman,обычный"&amp;14 
</oddHeader>
  </headerFooter>
  <rowBreaks count="1" manualBreakCount="1">
    <brk id="29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</sheetPr>
  <dimension ref="A1:AI433"/>
  <sheetViews>
    <sheetView windowProtection="1" view="pageBreakPreview" zoomScale="80" zoomScaleNormal="65" zoomScaleSheetLayoutView="80" workbookViewId="0">
      <selection activeCell="AY38" sqref="AY38"/>
    </sheetView>
  </sheetViews>
  <sheetFormatPr defaultRowHeight="18.75"/>
  <cols>
    <col min="1" max="1" width="57.140625" style="2" customWidth="1"/>
    <col min="2" max="2" width="14.85546875" style="22" customWidth="1"/>
    <col min="3" max="3" width="13.42578125" style="22" customWidth="1"/>
    <col min="4" max="4" width="13.7109375" style="515" customWidth="1"/>
    <col min="5" max="5" width="19.85546875" style="283" customWidth="1"/>
    <col min="6" max="8" width="21.28515625" style="2" customWidth="1"/>
    <col min="9" max="9" width="21.140625" style="2" customWidth="1"/>
    <col min="10" max="10" width="21" style="2" hidden="1" customWidth="1"/>
    <col min="11" max="11" width="25.42578125" style="2" hidden="1" customWidth="1"/>
    <col min="12" max="13" width="19" style="2" hidden="1" customWidth="1"/>
    <col min="14" max="14" width="12" style="2" hidden="1" customWidth="1"/>
    <col min="15" max="15" width="12" style="291" hidden="1" customWidth="1"/>
    <col min="16" max="19" width="9.140625" style="2" hidden="1" customWidth="1"/>
    <col min="20" max="20" width="15.140625" style="2" hidden="1" customWidth="1"/>
    <col min="21" max="26" width="9.140625" style="2" hidden="1" customWidth="1"/>
    <col min="27" max="27" width="28.140625" style="2" hidden="1" customWidth="1"/>
    <col min="28" max="28" width="26.85546875" style="2" hidden="1" customWidth="1"/>
    <col min="29" max="29" width="11.7109375" style="2" hidden="1" customWidth="1"/>
    <col min="30" max="30" width="10.42578125" style="2" hidden="1" customWidth="1"/>
    <col min="31" max="31" width="11.28515625" style="2" hidden="1" customWidth="1"/>
    <col min="32" max="34" width="15.7109375" style="2" hidden="1" customWidth="1"/>
    <col min="35" max="35" width="0.42578125" style="2" hidden="1" customWidth="1"/>
    <col min="36" max="16384" width="9.140625" style="2"/>
  </cols>
  <sheetData>
    <row r="1" spans="1:27">
      <c r="A1" s="1067" t="s">
        <v>375</v>
      </c>
      <c r="B1" s="1067"/>
      <c r="C1" s="1067"/>
      <c r="D1" s="1067"/>
      <c r="E1" s="1067"/>
      <c r="F1" s="1067"/>
      <c r="G1" s="1067"/>
      <c r="H1" s="1067"/>
      <c r="I1" s="1067"/>
      <c r="J1" s="1067"/>
    </row>
    <row r="2" spans="1:27" ht="14.25" customHeight="1">
      <c r="A2" s="203"/>
      <c r="B2" s="204"/>
      <c r="C2" s="639"/>
      <c r="D2" s="507"/>
      <c r="E2" s="204"/>
      <c r="F2" s="203"/>
      <c r="G2" s="203"/>
      <c r="H2" s="203"/>
      <c r="I2" s="203"/>
      <c r="J2" s="205"/>
    </row>
    <row r="3" spans="1:27" ht="36" customHeight="1">
      <c r="A3" s="1076" t="s">
        <v>274</v>
      </c>
      <c r="B3" s="1069" t="s">
        <v>18</v>
      </c>
      <c r="C3" s="1069" t="s">
        <v>1029</v>
      </c>
      <c r="D3" s="1079" t="s">
        <v>1030</v>
      </c>
      <c r="E3" s="1078" t="s">
        <v>1031</v>
      </c>
      <c r="F3" s="1069" t="s">
        <v>1032</v>
      </c>
      <c r="G3" s="1069"/>
      <c r="H3" s="1069"/>
      <c r="I3" s="1069"/>
      <c r="J3" s="1069" t="s">
        <v>249</v>
      </c>
      <c r="K3" s="476"/>
      <c r="L3" s="476"/>
      <c r="M3" s="476"/>
      <c r="N3" s="476"/>
      <c r="O3" s="476"/>
    </row>
    <row r="4" spans="1:27" ht="69.75" customHeight="1">
      <c r="A4" s="1076"/>
      <c r="B4" s="1069"/>
      <c r="C4" s="1069"/>
      <c r="D4" s="1079"/>
      <c r="E4" s="1078"/>
      <c r="F4" s="477" t="s">
        <v>371</v>
      </c>
      <c r="G4" s="477" t="s">
        <v>372</v>
      </c>
      <c r="H4" s="477" t="s">
        <v>373</v>
      </c>
      <c r="I4" s="477" t="s">
        <v>87</v>
      </c>
      <c r="J4" s="1069"/>
      <c r="K4" s="476"/>
      <c r="L4" s="476"/>
      <c r="M4" s="476"/>
      <c r="N4" s="476"/>
      <c r="O4" s="476"/>
    </row>
    <row r="5" spans="1:27" ht="18" customHeight="1">
      <c r="A5" s="638">
        <v>1</v>
      </c>
      <c r="B5" s="208">
        <v>2</v>
      </c>
      <c r="C5" s="208">
        <v>3</v>
      </c>
      <c r="D5" s="275">
        <v>4</v>
      </c>
      <c r="E5" s="208">
        <v>5</v>
      </c>
      <c r="F5" s="208">
        <v>6</v>
      </c>
      <c r="G5" s="208">
        <v>7</v>
      </c>
      <c r="H5" s="208">
        <v>8</v>
      </c>
      <c r="I5" s="208">
        <v>9</v>
      </c>
      <c r="J5" s="208">
        <v>10</v>
      </c>
      <c r="K5" s="476"/>
      <c r="L5" s="476"/>
      <c r="M5" s="476"/>
      <c r="N5" s="476"/>
      <c r="O5" s="476"/>
    </row>
    <row r="6" spans="1:27" s="5" customFormat="1" ht="20.100000000000001" customHeight="1">
      <c r="A6" s="1070" t="s">
        <v>281</v>
      </c>
      <c r="B6" s="1071"/>
      <c r="C6" s="1071"/>
      <c r="D6" s="1071"/>
      <c r="E6" s="1071"/>
      <c r="F6" s="1071"/>
      <c r="G6" s="1071"/>
      <c r="H6" s="1071"/>
      <c r="I6" s="1071"/>
      <c r="J6" s="1072"/>
      <c r="K6" s="478"/>
      <c r="L6" s="478"/>
      <c r="M6" s="478"/>
      <c r="N6" s="478"/>
      <c r="O6" s="478"/>
    </row>
    <row r="7" spans="1:27" s="5" customFormat="1" ht="55.5" customHeight="1">
      <c r="A7" s="608" t="s">
        <v>122</v>
      </c>
      <c r="B7" s="609">
        <v>1000</v>
      </c>
      <c r="C7" s="605">
        <f>SUM(C8:C12)</f>
        <v>63275</v>
      </c>
      <c r="D7" s="605">
        <f>SUM(D8:D12)</f>
        <v>170261</v>
      </c>
      <c r="E7" s="605">
        <f>SUM(E8:E12)</f>
        <v>206689.19999999995</v>
      </c>
      <c r="F7" s="605">
        <f>F8+F9+F10+F11+F12</f>
        <v>74380</v>
      </c>
      <c r="G7" s="605">
        <f>G8+G9+G10+G11+G12</f>
        <v>134062.34348726107</v>
      </c>
      <c r="H7" s="605">
        <f>H8+H9+H10+H11+H12</f>
        <v>184840.54600144888</v>
      </c>
      <c r="I7" s="605">
        <f>I8+I9+I10+I11+I12</f>
        <v>240096.21266811556</v>
      </c>
      <c r="J7" s="479"/>
      <c r="K7" s="478">
        <f>F179</f>
        <v>8619.4585835657581</v>
      </c>
      <c r="L7" s="478">
        <f>G178</f>
        <v>4577.2524218101698</v>
      </c>
      <c r="M7" s="478">
        <f>H178</f>
        <v>1389.0178425633371</v>
      </c>
      <c r="N7" s="478">
        <f>I178</f>
        <v>7724.5884461094556</v>
      </c>
      <c r="O7" s="478"/>
    </row>
    <row r="8" spans="1:27" s="5" customFormat="1" ht="48" customHeight="1">
      <c r="A8" s="480" t="s">
        <v>411</v>
      </c>
      <c r="B8" s="481" t="s">
        <v>402</v>
      </c>
      <c r="C8" s="183">
        <v>51900</v>
      </c>
      <c r="D8" s="276">
        <v>155473</v>
      </c>
      <c r="E8" s="183">
        <f>135686/3*4.1</f>
        <v>185437.5333333333</v>
      </c>
      <c r="F8" s="183">
        <v>65590</v>
      </c>
      <c r="G8" s="183">
        <f>102450</f>
        <v>102450</v>
      </c>
      <c r="H8" s="183">
        <v>143100</v>
      </c>
      <c r="I8" s="183">
        <f>230000/1.2</f>
        <v>191666.66666666669</v>
      </c>
      <c r="J8" s="482"/>
      <c r="K8" s="478">
        <v>51590</v>
      </c>
      <c r="L8" s="478">
        <v>91475</v>
      </c>
      <c r="M8" s="478">
        <v>135686</v>
      </c>
      <c r="N8" s="478">
        <v>186666.66666666669</v>
      </c>
      <c r="O8" s="478"/>
    </row>
    <row r="9" spans="1:27" s="5" customFormat="1" ht="46.5" customHeight="1">
      <c r="A9" s="480" t="s">
        <v>686</v>
      </c>
      <c r="B9" s="481" t="s">
        <v>412</v>
      </c>
      <c r="C9" s="183">
        <v>1573</v>
      </c>
      <c r="D9" s="276">
        <v>2501</v>
      </c>
      <c r="E9" s="183">
        <f>6483/3*4</f>
        <v>8644</v>
      </c>
      <c r="F9" s="183">
        <f>1800*3+1000</f>
        <v>6400</v>
      </c>
      <c r="G9" s="183">
        <f>F9+F9</f>
        <v>12800</v>
      </c>
      <c r="H9" s="183">
        <f>G9+F9</f>
        <v>19200</v>
      </c>
      <c r="I9" s="183">
        <f>F9+H9</f>
        <v>25600</v>
      </c>
      <c r="J9" s="440"/>
      <c r="K9" s="478">
        <f>1800*12</f>
        <v>21600</v>
      </c>
      <c r="L9" s="478"/>
      <c r="M9" s="478"/>
      <c r="N9" s="478"/>
      <c r="O9" s="478"/>
    </row>
    <row r="10" spans="1:27" s="5" customFormat="1" ht="48" customHeight="1">
      <c r="A10" s="480" t="s">
        <v>1036</v>
      </c>
      <c r="B10" s="481" t="s">
        <v>414</v>
      </c>
      <c r="C10" s="183">
        <v>7499</v>
      </c>
      <c r="D10" s="276">
        <v>227</v>
      </c>
      <c r="E10" s="183">
        <f>1805/3*4</f>
        <v>2406.6666666666665</v>
      </c>
      <c r="F10" s="183">
        <f>F11+2250</f>
        <v>2320</v>
      </c>
      <c r="G10" s="183">
        <v>2325</v>
      </c>
      <c r="H10" s="183">
        <v>2471</v>
      </c>
      <c r="I10" s="183">
        <v>2688</v>
      </c>
      <c r="J10" s="482"/>
      <c r="K10" s="478"/>
      <c r="L10" s="478"/>
      <c r="M10" s="478"/>
      <c r="N10" s="478"/>
      <c r="O10" s="478"/>
    </row>
    <row r="11" spans="1:27" s="433" customFormat="1" ht="48" customHeight="1">
      <c r="A11" s="480" t="s">
        <v>1015</v>
      </c>
      <c r="B11" s="481" t="s">
        <v>415</v>
      </c>
      <c r="C11" s="183">
        <v>0</v>
      </c>
      <c r="D11" s="183">
        <v>0</v>
      </c>
      <c r="E11" s="183">
        <v>0</v>
      </c>
      <c r="F11" s="183">
        <f>70</f>
        <v>70</v>
      </c>
      <c r="G11" s="183">
        <v>75</v>
      </c>
      <c r="H11" s="183">
        <v>145</v>
      </c>
      <c r="I11" s="183">
        <v>217</v>
      </c>
      <c r="J11" s="482"/>
      <c r="K11" s="483">
        <f>144*15</f>
        <v>2160</v>
      </c>
      <c r="L11" s="483"/>
      <c r="M11" s="483"/>
      <c r="N11" s="483"/>
      <c r="O11" s="483"/>
    </row>
    <row r="12" spans="1:27" s="5" customFormat="1" ht="48.75" customHeight="1">
      <c r="A12" s="480" t="s">
        <v>416</v>
      </c>
      <c r="B12" s="481" t="s">
        <v>1070</v>
      </c>
      <c r="C12" s="183">
        <v>2303</v>
      </c>
      <c r="D12" s="276">
        <v>12060</v>
      </c>
      <c r="E12" s="183">
        <v>10201</v>
      </c>
      <c r="F12" s="183">
        <f>F18</f>
        <v>0</v>
      </c>
      <c r="G12" s="183">
        <f>G18+G19/4+G20/4+G25/5-2000</f>
        <v>16412.343487261067</v>
      </c>
      <c r="H12" s="183">
        <f>H18+H19/4+H20/4+H25/5-5000</f>
        <v>19924.546001448878</v>
      </c>
      <c r="I12" s="183">
        <f>H12</f>
        <v>19924.546001448878</v>
      </c>
      <c r="J12" s="482"/>
      <c r="K12" s="478"/>
      <c r="L12" s="478"/>
      <c r="M12" s="478"/>
      <c r="N12" s="478"/>
      <c r="O12" s="478"/>
    </row>
    <row r="13" spans="1:27" ht="62.25" customHeight="1">
      <c r="A13" s="608" t="s">
        <v>138</v>
      </c>
      <c r="B13" s="609">
        <v>1010</v>
      </c>
      <c r="C13" s="605">
        <f>SUM(C14:C39)</f>
        <v>45045</v>
      </c>
      <c r="D13" s="605">
        <f>SUM(D14:D39)</f>
        <v>150334</v>
      </c>
      <c r="E13" s="605">
        <f>E14+E20+E21+E25+E26+E27+E38+E39</f>
        <v>193747.36140266669</v>
      </c>
      <c r="F13" s="605">
        <f>F14+F20+F21+F25+F26+F27+F38+F39</f>
        <v>60368.85918388424</v>
      </c>
      <c r="G13" s="605">
        <f>G14+G20+G21+G25+G26+G27+G38+G39</f>
        <v>120312.84926322423</v>
      </c>
      <c r="H13" s="605">
        <f>H14+H20+H21+H25+H26+H27+H38+H39</f>
        <v>171284.49827407554</v>
      </c>
      <c r="I13" s="605">
        <f>I14+I20+I21+I25+I26+I27+I38+I39</f>
        <v>217357.86598261277</v>
      </c>
      <c r="J13" s="480"/>
      <c r="K13" s="476">
        <v>45045</v>
      </c>
      <c r="L13" s="476">
        <f>K13-C13</f>
        <v>0</v>
      </c>
      <c r="M13" s="476"/>
      <c r="N13" s="476"/>
      <c r="O13" s="476"/>
      <c r="AA13" s="500">
        <f>C13-J13</f>
        <v>45045</v>
      </c>
    </row>
    <row r="14" spans="1:27" s="12" customFormat="1" ht="54.75" customHeight="1">
      <c r="A14" s="480" t="s">
        <v>309</v>
      </c>
      <c r="B14" s="183">
        <v>1011</v>
      </c>
      <c r="C14" s="183">
        <v>13236</v>
      </c>
      <c r="D14" s="276">
        <v>40056</v>
      </c>
      <c r="E14" s="183">
        <f>11352/3*4*1.1</f>
        <v>16649.600000000002</v>
      </c>
      <c r="F14" s="183">
        <f>F15+F16+F17+F18+F19</f>
        <v>13836.014883333333</v>
      </c>
      <c r="G14" s="183">
        <f>G15+G16+G17+G18+G19</f>
        <v>25064.860583333335</v>
      </c>
      <c r="H14" s="183">
        <f>H15+H16+H17+H18+H19</f>
        <v>27322.127</v>
      </c>
      <c r="I14" s="183">
        <f>I15+I16+I17+I18+I19</f>
        <v>31999.994999999999</v>
      </c>
      <c r="J14" s="482"/>
      <c r="K14" s="469">
        <v>24795000</v>
      </c>
      <c r="L14" s="469">
        <v>3397758</v>
      </c>
      <c r="M14" s="469">
        <v>3960000</v>
      </c>
      <c r="N14" s="469">
        <f>SUM(K14:M14)</f>
        <v>32152758</v>
      </c>
      <c r="O14" s="469">
        <f>N14/1.2</f>
        <v>26793965</v>
      </c>
    </row>
    <row r="15" spans="1:27" s="12" customFormat="1" ht="30.75" customHeight="1">
      <c r="A15" s="480" t="s">
        <v>871</v>
      </c>
      <c r="B15" s="183" t="s">
        <v>986</v>
      </c>
      <c r="C15" s="183"/>
      <c r="D15" s="276"/>
      <c r="E15" s="183"/>
      <c r="F15" s="183">
        <f>K14/1.2/1000/6*4*0.7</f>
        <v>9642.5</v>
      </c>
      <c r="G15" s="183">
        <f>K14/1.2/1000/12*0.7+F15</f>
        <v>10847.8125</v>
      </c>
      <c r="H15" s="183">
        <f>G15</f>
        <v>10847.8125</v>
      </c>
      <c r="I15" s="183">
        <f>K14/1000/1.2*0.7</f>
        <v>14463.749999999998</v>
      </c>
      <c r="J15" s="482"/>
      <c r="K15" s="469"/>
      <c r="L15" s="469"/>
      <c r="M15" s="469"/>
      <c r="N15" s="469"/>
      <c r="O15" s="469"/>
    </row>
    <row r="16" spans="1:27" s="12" customFormat="1" ht="30.75" customHeight="1">
      <c r="A16" s="480" t="s">
        <v>874</v>
      </c>
      <c r="B16" s="183" t="s">
        <v>987</v>
      </c>
      <c r="C16" s="183"/>
      <c r="D16" s="276"/>
      <c r="E16" s="183"/>
      <c r="F16" s="183">
        <f>L14/1000/1.2/6*4</f>
        <v>1887.6433333333334</v>
      </c>
      <c r="G16" s="183">
        <f>L14/1.2/1000/12*0.8+F16</f>
        <v>2076.407666666667</v>
      </c>
      <c r="H16" s="183">
        <f>G16</f>
        <v>2076.407666666667</v>
      </c>
      <c r="I16" s="183">
        <f>L14/1.2/1000*0.8</f>
        <v>2265.172</v>
      </c>
      <c r="J16" s="482"/>
      <c r="K16" s="469">
        <f>173-22-4.4</f>
        <v>146.6</v>
      </c>
      <c r="L16" s="469">
        <f>K16*2</f>
        <v>293.2</v>
      </c>
      <c r="M16" s="469"/>
      <c r="N16" s="469"/>
      <c r="O16" s="469"/>
    </row>
    <row r="17" spans="1:31" s="12" customFormat="1" ht="30.75" customHeight="1">
      <c r="A17" s="480" t="s">
        <v>893</v>
      </c>
      <c r="B17" s="183" t="s">
        <v>988</v>
      </c>
      <c r="C17" s="183"/>
      <c r="D17" s="276"/>
      <c r="E17" s="183"/>
      <c r="F17" s="183">
        <f>M14/1.2/1000/6*4*0.8</f>
        <v>1760</v>
      </c>
      <c r="G17" s="183">
        <f>M14/1000/1.2/12+F17</f>
        <v>2035</v>
      </c>
      <c r="H17" s="183">
        <f>G17</f>
        <v>2035</v>
      </c>
      <c r="I17" s="183">
        <f>M14/1000/1.2*0.8</f>
        <v>2640</v>
      </c>
      <c r="J17" s="482"/>
      <c r="K17" s="469"/>
      <c r="L17" s="469"/>
      <c r="M17" s="469"/>
      <c r="N17" s="469"/>
      <c r="O17" s="469"/>
    </row>
    <row r="18" spans="1:31" s="12" customFormat="1" ht="30.75" customHeight="1">
      <c r="A18" s="480" t="s">
        <v>1108</v>
      </c>
      <c r="B18" s="183" t="s">
        <v>989</v>
      </c>
      <c r="C18" s="183"/>
      <c r="D18" s="276"/>
      <c r="E18" s="183"/>
      <c r="F18" s="183">
        <f>0</f>
        <v>0</v>
      </c>
      <c r="G18" s="183">
        <f>21707.137/1.2/2</f>
        <v>9044.6404166666671</v>
      </c>
      <c r="H18" s="183">
        <f>G18*2*0.6</f>
        <v>10853.568499999999</v>
      </c>
      <c r="I18" s="183">
        <f>H18</f>
        <v>10853.568499999999</v>
      </c>
      <c r="J18" s="482"/>
      <c r="K18" s="469"/>
      <c r="L18" s="469">
        <f>18000/3*4*1.2</f>
        <v>28800</v>
      </c>
      <c r="M18" s="469"/>
      <c r="N18" s="469"/>
      <c r="O18" s="469"/>
    </row>
    <row r="19" spans="1:31" s="12" customFormat="1" ht="30.75" customHeight="1">
      <c r="A19" s="480" t="s">
        <v>926</v>
      </c>
      <c r="B19" s="183" t="s">
        <v>990</v>
      </c>
      <c r="C19" s="183"/>
      <c r="D19" s="276"/>
      <c r="E19" s="183"/>
      <c r="F19" s="183">
        <f>(207.8812+135.3092+197.37546)/1.2-4.6+100</f>
        <v>545.87155000000007</v>
      </c>
      <c r="G19" s="183">
        <v>1061</v>
      </c>
      <c r="H19" s="183">
        <f>G19+(218.691+169.451+166.424)/1.2-4.6*3</f>
        <v>1509.3383333333334</v>
      </c>
      <c r="I19" s="183">
        <f>H19*0.9+(200+135+190)/1.2-4.6*4</f>
        <v>1777.5045</v>
      </c>
      <c r="J19" s="482"/>
      <c r="K19" s="469" t="s">
        <v>720</v>
      </c>
      <c r="L19" s="469"/>
      <c r="M19" s="469"/>
      <c r="N19" s="469"/>
      <c r="O19" s="469"/>
    </row>
    <row r="20" spans="1:31" s="12" customFormat="1" ht="33" customHeight="1">
      <c r="A20" s="480" t="s">
        <v>69</v>
      </c>
      <c r="B20" s="183">
        <v>1012</v>
      </c>
      <c r="C20" s="183">
        <v>13278</v>
      </c>
      <c r="D20" s="276">
        <v>19880</v>
      </c>
      <c r="E20" s="183">
        <f>17554/3*4*1.1</f>
        <v>25745.866666666669</v>
      </c>
      <c r="F20" s="183">
        <f>N26/4*1.1/1000*0.7-111.6+100+500</f>
        <v>8522.6926202930226</v>
      </c>
      <c r="G20" s="183">
        <f>F20/1.1+F20-111.6*2+500</f>
        <v>16547.395002377587</v>
      </c>
      <c r="H20" s="183">
        <f>F20+F20/1.1+F20/1.1-111.6*3+100+800</f>
        <v>24583.697384462153</v>
      </c>
      <c r="I20" s="183">
        <f>N26/1000*0.7-111.6*4</f>
        <v>28769.209528338262</v>
      </c>
      <c r="J20" s="482"/>
      <c r="K20" s="485">
        <v>22321576.837798659</v>
      </c>
      <c r="L20" s="485">
        <v>24273637.780149419</v>
      </c>
      <c r="M20" s="469">
        <f>K20+L20</f>
        <v>46595214.617948078</v>
      </c>
      <c r="N20" s="469">
        <f>M20/1.2</f>
        <v>38829345.514956735</v>
      </c>
      <c r="O20" s="469"/>
    </row>
    <row r="21" spans="1:31" s="12" customFormat="1" ht="31.5" customHeight="1">
      <c r="A21" s="480" t="s">
        <v>68</v>
      </c>
      <c r="B21" s="183">
        <v>1013</v>
      </c>
      <c r="C21" s="183">
        <v>360</v>
      </c>
      <c r="D21" s="276">
        <v>629</v>
      </c>
      <c r="E21" s="183">
        <f>150</f>
        <v>150</v>
      </c>
      <c r="F21" s="183">
        <f>F22</f>
        <v>93.799999999999983</v>
      </c>
      <c r="G21" s="183">
        <f>G22</f>
        <v>179.2</v>
      </c>
      <c r="H21" s="183">
        <f>H22</f>
        <v>254.8</v>
      </c>
      <c r="I21" s="183">
        <f>I22</f>
        <v>342.3</v>
      </c>
      <c r="J21" s="482"/>
      <c r="K21" s="485">
        <v>3117500.6643564571</v>
      </c>
      <c r="L21" s="469"/>
      <c r="M21" s="469">
        <f>K21+L21</f>
        <v>3117500.6643564571</v>
      </c>
      <c r="N21" s="469">
        <f>M21/1.2</f>
        <v>2597917.2202970479</v>
      </c>
      <c r="O21" s="469"/>
      <c r="AB21" s="12" t="s">
        <v>1064</v>
      </c>
    </row>
    <row r="22" spans="1:31" s="12" customFormat="1" ht="42" hidden="1" customHeight="1">
      <c r="A22" s="486" t="s">
        <v>899</v>
      </c>
      <c r="B22" s="440" t="s">
        <v>991</v>
      </c>
      <c r="C22" s="183"/>
      <c r="D22" s="276"/>
      <c r="E22" s="183"/>
      <c r="F22" s="183">
        <f>(16.2-2.5-0.3)*3*1000*2.8/1.2/1000</f>
        <v>93.799999999999983</v>
      </c>
      <c r="G22" s="183">
        <f>(14.8+13.9+13.3-2-1.1-1.1-0.4-0.4-0.4)*2.8/1.2+F22</f>
        <v>179.2</v>
      </c>
      <c r="H22" s="183">
        <f>G22+(12.3+12.3+12.3-1.1-1.1-1.1-0.4-0.4-0.4)*2.8/1.2</f>
        <v>254.8</v>
      </c>
      <c r="I22" s="183">
        <f>H22+(16.3+16.2+13.7-2.5-2.5-2.5-0.4-0.4-0.4)*2.8/1.2</f>
        <v>342.3</v>
      </c>
      <c r="J22" s="482"/>
      <c r="K22" s="485"/>
      <c r="L22" s="469"/>
      <c r="M22" s="469"/>
      <c r="N22" s="469"/>
      <c r="O22" s="469"/>
    </row>
    <row r="23" spans="1:31" s="12" customFormat="1" ht="23.25" hidden="1" customHeight="1">
      <c r="A23" s="484"/>
      <c r="B23" s="440" t="s">
        <v>992</v>
      </c>
      <c r="C23" s="183"/>
      <c r="D23" s="276"/>
      <c r="E23" s="183"/>
      <c r="F23" s="183"/>
      <c r="G23" s="183"/>
      <c r="H23" s="183"/>
      <c r="I23" s="183"/>
      <c r="J23" s="482"/>
      <c r="K23" s="485"/>
      <c r="L23" s="469"/>
      <c r="M23" s="469"/>
      <c r="N23" s="469"/>
      <c r="O23" s="469"/>
    </row>
    <row r="24" spans="1:31" s="12" customFormat="1" ht="23.25" hidden="1" customHeight="1">
      <c r="A24" s="599"/>
      <c r="B24" s="600"/>
      <c r="C24" s="183"/>
      <c r="D24" s="276"/>
      <c r="E24" s="183"/>
      <c r="F24" s="183"/>
      <c r="G24" s="183"/>
      <c r="H24" s="183"/>
      <c r="I24" s="183"/>
      <c r="J24" s="146"/>
      <c r="K24" s="304"/>
      <c r="M24" s="406"/>
    </row>
    <row r="25" spans="1:31" s="12" customFormat="1" ht="25.5" customHeight="1">
      <c r="A25" s="817" t="s">
        <v>43</v>
      </c>
      <c r="B25" s="819">
        <v>1014</v>
      </c>
      <c r="C25" s="183">
        <v>1675</v>
      </c>
      <c r="D25" s="183">
        <v>24225</v>
      </c>
      <c r="E25" s="183">
        <f>24193*1.05/3*4</f>
        <v>33870.200000000004</v>
      </c>
      <c r="F25" s="183">
        <f>ФОП!U183/1000</f>
        <v>12414.010800000011</v>
      </c>
      <c r="G25" s="183">
        <f>F25+ФОП!X183/1000</f>
        <v>24828.021600000022</v>
      </c>
      <c r="H25" s="183">
        <f>G25+ФОП!AC183/1000</f>
        <v>37738.592860000026</v>
      </c>
      <c r="I25" s="183">
        <f>H25+ФОП!AH183/1000</f>
        <v>50855.733130000022</v>
      </c>
      <c r="J25" s="146"/>
      <c r="K25" s="304">
        <v>371186.76627534692</v>
      </c>
      <c r="M25" s="406">
        <f>K25+L25</f>
        <v>371186.76627534692</v>
      </c>
      <c r="N25" s="12">
        <f>M25/1.2</f>
        <v>309322.30522945576</v>
      </c>
      <c r="AB25" s="12">
        <f t="shared" ref="AB25:AE26" si="0">F25/5</f>
        <v>2482.802160000002</v>
      </c>
      <c r="AC25" s="12">
        <f t="shared" si="0"/>
        <v>4965.604320000004</v>
      </c>
      <c r="AD25" s="12">
        <f t="shared" si="0"/>
        <v>7547.7185720000052</v>
      </c>
      <c r="AE25" s="12">
        <f t="shared" si="0"/>
        <v>10171.146626000005</v>
      </c>
    </row>
    <row r="26" spans="1:31" s="12" customFormat="1" ht="28.5" customHeight="1">
      <c r="A26" s="817" t="s">
        <v>44</v>
      </c>
      <c r="B26" s="819">
        <v>1015</v>
      </c>
      <c r="C26" s="183">
        <v>272</v>
      </c>
      <c r="D26" s="183">
        <v>5210</v>
      </c>
      <c r="E26" s="183">
        <f>E25*0.22*0.96+E25*0.04*0.08</f>
        <v>7261.7708800000009</v>
      </c>
      <c r="F26" s="183">
        <f>ФОП!U185/1000</f>
        <v>2663.5998699999973</v>
      </c>
      <c r="G26" s="183">
        <f>F26+ФОП!X185/1000</f>
        <v>5327.1997399999946</v>
      </c>
      <c r="H26" s="183">
        <f>G26+ФОП!AC185/1000</f>
        <v>8097.3435499999923</v>
      </c>
      <c r="I26" s="183">
        <f>H26+ФОП!AH185/1000</f>
        <v>10911.809679999991</v>
      </c>
      <c r="J26" s="146"/>
      <c r="N26" s="12">
        <f>SUM(N20:N25)</f>
        <v>41736585.040483236</v>
      </c>
      <c r="AB26" s="12">
        <f t="shared" si="0"/>
        <v>532.71997399999941</v>
      </c>
      <c r="AC26" s="12">
        <f t="shared" si="0"/>
        <v>1065.4399479999988</v>
      </c>
      <c r="AD26" s="12">
        <f t="shared" si="0"/>
        <v>1619.4687099999985</v>
      </c>
      <c r="AE26" s="12">
        <f t="shared" si="0"/>
        <v>2182.3619359999984</v>
      </c>
    </row>
    <row r="27" spans="1:31" s="12" customFormat="1" ht="75">
      <c r="A27" s="599" t="s">
        <v>264</v>
      </c>
      <c r="B27" s="600">
        <v>1016</v>
      </c>
      <c r="C27" s="183">
        <v>712</v>
      </c>
      <c r="D27" s="276">
        <v>1803</v>
      </c>
      <c r="E27" s="183">
        <f>3243/3*4</f>
        <v>4324</v>
      </c>
      <c r="F27" s="183">
        <f>F28+F29+F30+F31+F32+F33+F34+F35</f>
        <v>929.76333333333343</v>
      </c>
      <c r="G27" s="183">
        <f>G28+G29+G30+G31+G32+G33+G34+G35</f>
        <v>2141.3646666666664</v>
      </c>
      <c r="H27" s="183">
        <f>H28+H29+H30+H31+H32+H33+H34+H35</f>
        <v>5444.7420000000002</v>
      </c>
      <c r="I27" s="183">
        <f>I28+I29+I30+I31+I32+I33+I34+I35</f>
        <v>6097.8003333333327</v>
      </c>
      <c r="J27" s="146"/>
    </row>
    <row r="28" spans="1:31" s="1" customFormat="1" ht="31.5" hidden="1" customHeight="1">
      <c r="A28" s="599" t="s">
        <v>927</v>
      </c>
      <c r="B28" s="600" t="s">
        <v>993</v>
      </c>
      <c r="C28" s="183"/>
      <c r="D28" s="183"/>
      <c r="E28" s="183"/>
      <c r="F28" s="183">
        <f>65030/1000/1.2/4</f>
        <v>13.547916666666667</v>
      </c>
      <c r="G28" s="183">
        <f>F28*2</f>
        <v>27.095833333333335</v>
      </c>
      <c r="H28" s="183">
        <f>F28*3</f>
        <v>40.643750000000004</v>
      </c>
      <c r="I28" s="183">
        <f>F28*4</f>
        <v>54.19166666666667</v>
      </c>
      <c r="J28" s="385"/>
      <c r="AB28" s="12">
        <f t="shared" ref="AB28:AB38" si="1">F28/5</f>
        <v>2.7095833333333337</v>
      </c>
      <c r="AC28" s="12">
        <f t="shared" ref="AC28:AC38" si="2">G28/5</f>
        <v>5.4191666666666674</v>
      </c>
      <c r="AD28" s="12">
        <f t="shared" ref="AD28:AD38" si="3">H28/5</f>
        <v>8.1287500000000001</v>
      </c>
      <c r="AE28" s="12">
        <f t="shared" ref="AE28:AE38" si="4">I28/5</f>
        <v>10.838333333333335</v>
      </c>
    </row>
    <row r="29" spans="1:31" s="1" customFormat="1" ht="31.5" hidden="1" customHeight="1">
      <c r="A29" s="599" t="s">
        <v>928</v>
      </c>
      <c r="B29" s="600" t="s">
        <v>994</v>
      </c>
      <c r="C29" s="183"/>
      <c r="D29" s="183"/>
      <c r="E29" s="183"/>
      <c r="F29" s="183">
        <f>109250/1000/1.2/4</f>
        <v>22.760416666666668</v>
      </c>
      <c r="G29" s="183">
        <f>F29*2</f>
        <v>45.520833333333336</v>
      </c>
      <c r="H29" s="183">
        <f>F29*3</f>
        <v>68.28125</v>
      </c>
      <c r="I29" s="183">
        <f>F29*4</f>
        <v>91.041666666666671</v>
      </c>
      <c r="J29" s="385"/>
      <c r="AB29" s="12">
        <f t="shared" si="1"/>
        <v>4.5520833333333339</v>
      </c>
      <c r="AC29" s="12">
        <f t="shared" si="2"/>
        <v>9.1041666666666679</v>
      </c>
      <c r="AD29" s="12">
        <f t="shared" si="3"/>
        <v>13.65625</v>
      </c>
      <c r="AE29" s="12">
        <f t="shared" si="4"/>
        <v>18.208333333333336</v>
      </c>
    </row>
    <row r="30" spans="1:31" s="1" customFormat="1" ht="31.5" hidden="1" customHeight="1">
      <c r="A30" s="599" t="s">
        <v>974</v>
      </c>
      <c r="B30" s="600" t="s">
        <v>995</v>
      </c>
      <c r="C30" s="183"/>
      <c r="D30" s="183"/>
      <c r="E30" s="183"/>
      <c r="F30" s="183">
        <f>32/1.2/4</f>
        <v>6.666666666666667</v>
      </c>
      <c r="G30" s="183">
        <f>F30+F30</f>
        <v>13.333333333333334</v>
      </c>
      <c r="H30" s="183">
        <f>F30+G30</f>
        <v>20</v>
      </c>
      <c r="I30" s="183">
        <f>H30+F30</f>
        <v>26.666666666666668</v>
      </c>
      <c r="J30" s="399"/>
      <c r="AB30" s="12">
        <f t="shared" si="1"/>
        <v>1.3333333333333335</v>
      </c>
      <c r="AC30" s="12">
        <f t="shared" si="2"/>
        <v>2.666666666666667</v>
      </c>
      <c r="AD30" s="12">
        <f t="shared" si="3"/>
        <v>4</v>
      </c>
      <c r="AE30" s="12">
        <f t="shared" si="4"/>
        <v>5.3333333333333339</v>
      </c>
    </row>
    <row r="31" spans="1:31" s="1" customFormat="1" ht="36" hidden="1" customHeight="1">
      <c r="A31" s="599" t="s">
        <v>966</v>
      </c>
      <c r="B31" s="600" t="s">
        <v>996</v>
      </c>
      <c r="C31" s="183"/>
      <c r="D31" s="276"/>
      <c r="E31" s="183"/>
      <c r="F31" s="183">
        <v>403.375</v>
      </c>
      <c r="G31" s="183">
        <f>1233.293</f>
        <v>1233.2929999999999</v>
      </c>
      <c r="H31" s="183">
        <v>3979.9870000000001</v>
      </c>
      <c r="I31" s="183">
        <f>H31+F31</f>
        <v>4383.3620000000001</v>
      </c>
      <c r="J31" s="385"/>
      <c r="K31" s="1" t="s">
        <v>967</v>
      </c>
      <c r="AB31" s="12">
        <f t="shared" si="1"/>
        <v>80.674999999999997</v>
      </c>
      <c r="AC31" s="12">
        <f t="shared" si="2"/>
        <v>246.65859999999998</v>
      </c>
      <c r="AD31" s="12">
        <f t="shared" si="3"/>
        <v>795.99739999999997</v>
      </c>
      <c r="AE31" s="12">
        <f t="shared" si="4"/>
        <v>876.67240000000004</v>
      </c>
    </row>
    <row r="32" spans="1:31" s="1" customFormat="1" ht="36" hidden="1" customHeight="1">
      <c r="A32" s="599" t="s">
        <v>973</v>
      </c>
      <c r="B32" s="600" t="s">
        <v>997</v>
      </c>
      <c r="C32" s="183"/>
      <c r="D32" s="276"/>
      <c r="E32" s="183"/>
      <c r="F32" s="183">
        <v>184</v>
      </c>
      <c r="G32" s="183">
        <v>500</v>
      </c>
      <c r="H32" s="183">
        <v>991</v>
      </c>
      <c r="I32" s="183">
        <f>F32+H32</f>
        <v>1175</v>
      </c>
      <c r="J32" s="399"/>
      <c r="AB32" s="12">
        <f t="shared" si="1"/>
        <v>36.799999999999997</v>
      </c>
      <c r="AC32" s="12">
        <f t="shared" si="2"/>
        <v>100</v>
      </c>
      <c r="AD32" s="12">
        <f t="shared" si="3"/>
        <v>198.2</v>
      </c>
      <c r="AE32" s="12">
        <f t="shared" si="4"/>
        <v>235</v>
      </c>
    </row>
    <row r="33" spans="1:31" s="1" customFormat="1" ht="36" hidden="1" customHeight="1">
      <c r="A33" s="599" t="s">
        <v>975</v>
      </c>
      <c r="B33" s="600" t="s">
        <v>998</v>
      </c>
      <c r="C33" s="183"/>
      <c r="D33" s="276"/>
      <c r="E33" s="183"/>
      <c r="F33" s="183">
        <f>300/1.2</f>
        <v>250</v>
      </c>
      <c r="G33" s="183">
        <f>F33</f>
        <v>250</v>
      </c>
      <c r="H33" s="183">
        <f>G33</f>
        <v>250</v>
      </c>
      <c r="I33" s="183">
        <f>H33</f>
        <v>250</v>
      </c>
      <c r="J33" s="399"/>
      <c r="AB33" s="12">
        <f t="shared" si="1"/>
        <v>50</v>
      </c>
      <c r="AC33" s="12">
        <f t="shared" si="2"/>
        <v>50</v>
      </c>
      <c r="AD33" s="12">
        <f t="shared" si="3"/>
        <v>50</v>
      </c>
      <c r="AE33" s="12">
        <f t="shared" si="4"/>
        <v>50</v>
      </c>
    </row>
    <row r="34" spans="1:31" s="1" customFormat="1" ht="51" hidden="1" customHeight="1">
      <c r="A34" s="599" t="s">
        <v>968</v>
      </c>
      <c r="B34" s="600" t="s">
        <v>999</v>
      </c>
      <c r="C34" s="183"/>
      <c r="D34" s="183"/>
      <c r="E34" s="183"/>
      <c r="F34" s="183">
        <f>109/1.2/4</f>
        <v>22.708333333333336</v>
      </c>
      <c r="G34" s="183">
        <f>F34+F34</f>
        <v>45.416666666666671</v>
      </c>
      <c r="H34" s="183">
        <f>F34+G34</f>
        <v>68.125</v>
      </c>
      <c r="I34" s="183">
        <f>F34+H34</f>
        <v>90.833333333333343</v>
      </c>
      <c r="J34" s="385"/>
      <c r="AB34" s="12">
        <f t="shared" si="1"/>
        <v>4.541666666666667</v>
      </c>
      <c r="AC34" s="12">
        <f t="shared" si="2"/>
        <v>9.0833333333333339</v>
      </c>
      <c r="AD34" s="12">
        <f t="shared" si="3"/>
        <v>13.625</v>
      </c>
      <c r="AE34" s="12">
        <f t="shared" si="4"/>
        <v>18.166666666666668</v>
      </c>
    </row>
    <row r="35" spans="1:31" s="1" customFormat="1" ht="51" hidden="1" customHeight="1">
      <c r="A35" s="599" t="s">
        <v>969</v>
      </c>
      <c r="B35" s="600" t="s">
        <v>1000</v>
      </c>
      <c r="C35" s="183"/>
      <c r="D35" s="183"/>
      <c r="E35" s="183"/>
      <c r="F35" s="183">
        <f>26.705</f>
        <v>26.704999999999998</v>
      </c>
      <c r="G35" s="183">
        <f>F35</f>
        <v>26.704999999999998</v>
      </c>
      <c r="H35" s="183">
        <f>G35</f>
        <v>26.704999999999998</v>
      </c>
      <c r="I35" s="183">
        <f>H35</f>
        <v>26.704999999999998</v>
      </c>
      <c r="J35" s="399"/>
      <c r="K35" s="1" t="s">
        <v>970</v>
      </c>
      <c r="L35" s="1" t="s">
        <v>971</v>
      </c>
      <c r="AB35" s="12">
        <f t="shared" si="1"/>
        <v>5.3409999999999993</v>
      </c>
      <c r="AC35" s="12">
        <f t="shared" si="2"/>
        <v>5.3409999999999993</v>
      </c>
      <c r="AD35" s="12">
        <f t="shared" si="3"/>
        <v>5.3409999999999993</v>
      </c>
      <c r="AE35" s="12">
        <f t="shared" si="4"/>
        <v>5.3409999999999993</v>
      </c>
    </row>
    <row r="36" spans="1:31" s="1" customFormat="1" ht="51" hidden="1" customHeight="1">
      <c r="A36" s="599" t="s">
        <v>919</v>
      </c>
      <c r="B36" s="600" t="s">
        <v>993</v>
      </c>
      <c r="C36" s="183"/>
      <c r="D36" s="183"/>
      <c r="E36" s="183"/>
      <c r="F36" s="183">
        <f>19080/1.2/1000</f>
        <v>15.9</v>
      </c>
      <c r="G36" s="183">
        <f>F36+0</f>
        <v>15.9</v>
      </c>
      <c r="H36" s="183">
        <f>G36+31740/1.2/1000</f>
        <v>42.35</v>
      </c>
      <c r="I36" s="183">
        <f>110/1.2</f>
        <v>91.666666666666671</v>
      </c>
      <c r="J36" s="419"/>
      <c r="AB36" s="12">
        <f t="shared" si="1"/>
        <v>3.18</v>
      </c>
      <c r="AC36" s="12">
        <f t="shared" si="2"/>
        <v>3.18</v>
      </c>
      <c r="AD36" s="12">
        <f t="shared" si="3"/>
        <v>8.4700000000000006</v>
      </c>
      <c r="AE36" s="12">
        <f t="shared" si="4"/>
        <v>18.333333333333336</v>
      </c>
    </row>
    <row r="37" spans="1:31" s="1" customFormat="1" ht="51" hidden="1" customHeight="1">
      <c r="A37" s="599" t="s">
        <v>920</v>
      </c>
      <c r="B37" s="600" t="s">
        <v>994</v>
      </c>
      <c r="C37" s="183"/>
      <c r="D37" s="183"/>
      <c r="E37" s="183"/>
      <c r="F37" s="183">
        <f>19184.45/1000</f>
        <v>19.184450000000002</v>
      </c>
      <c r="G37" s="183">
        <f>F37+5891.15/1000</f>
        <v>25.075600000000001</v>
      </c>
      <c r="H37" s="183">
        <f>G37+0</f>
        <v>25.075600000000001</v>
      </c>
      <c r="I37" s="183">
        <f>(H37+5498.9/1000)*2</f>
        <v>61.149000000000001</v>
      </c>
      <c r="J37" s="419"/>
      <c r="AB37" s="12">
        <f t="shared" si="1"/>
        <v>3.8368900000000004</v>
      </c>
      <c r="AC37" s="12">
        <f t="shared" si="2"/>
        <v>5.0151200000000005</v>
      </c>
      <c r="AD37" s="12">
        <f t="shared" si="3"/>
        <v>5.0151200000000005</v>
      </c>
      <c r="AE37" s="12">
        <f t="shared" si="4"/>
        <v>12.229800000000001</v>
      </c>
    </row>
    <row r="38" spans="1:31" s="1" customFormat="1" ht="37.5">
      <c r="A38" s="599" t="s">
        <v>67</v>
      </c>
      <c r="B38" s="600">
        <v>1017</v>
      </c>
      <c r="C38" s="183">
        <v>8195</v>
      </c>
      <c r="D38" s="276">
        <v>18740</v>
      </c>
      <c r="E38" s="183">
        <f>16835/3*3.5</f>
        <v>19640.833333333336</v>
      </c>
      <c r="F38" s="183">
        <f>E38/4-F92</f>
        <v>4838.5261533333342</v>
      </c>
      <c r="G38" s="183">
        <f>F38*2-G92</f>
        <v>9533.6879466666687</v>
      </c>
      <c r="H38" s="183">
        <f>F38*3-H92</f>
        <v>14300.531920000003</v>
      </c>
      <c r="I38" s="183">
        <f>F38*4-I92</f>
        <v>19067.375893333337</v>
      </c>
      <c r="J38" s="145"/>
      <c r="AB38" s="12">
        <f t="shared" si="1"/>
        <v>967.70523066666681</v>
      </c>
      <c r="AC38" s="12">
        <f t="shared" si="2"/>
        <v>1906.7375893333337</v>
      </c>
      <c r="AD38" s="12">
        <f t="shared" si="3"/>
        <v>2860.1063840000006</v>
      </c>
      <c r="AE38" s="12">
        <f t="shared" si="4"/>
        <v>3813.4751786666675</v>
      </c>
    </row>
    <row r="39" spans="1:31" s="1" customFormat="1" ht="38.25" customHeight="1">
      <c r="A39" s="599" t="s">
        <v>1089</v>
      </c>
      <c r="B39" s="600">
        <v>1018</v>
      </c>
      <c r="C39" s="183">
        <f>C40+C43</f>
        <v>7317</v>
      </c>
      <c r="D39" s="183">
        <f>D40+D43</f>
        <v>39791</v>
      </c>
      <c r="E39" s="183">
        <f>E40+E43+E44+E67+E71+E72+E73+E74+E75</f>
        <v>86105.090522666665</v>
      </c>
      <c r="F39" s="183">
        <f>F40+F43+F44+F67+F71+F72+F73+F74+F75</f>
        <v>17070.451523591215</v>
      </c>
      <c r="G39" s="183">
        <f>G40+G43+G44+G67+G71+G72+G73+G74+G75</f>
        <v>36691.119724179945</v>
      </c>
      <c r="H39" s="183">
        <f>H40+H43+H44+H67+H71+H72+H73+H74+H75</f>
        <v>53542.663559613356</v>
      </c>
      <c r="I39" s="183">
        <f>I40+I43+I44+I67+I71+I72+I73+I74+I75</f>
        <v>69313.642417607814</v>
      </c>
      <c r="J39" s="145"/>
      <c r="AB39" s="12">
        <f t="shared" ref="AB39:AE42" si="5">F39/5</f>
        <v>3414.0903047182428</v>
      </c>
      <c r="AC39" s="12">
        <f t="shared" si="5"/>
        <v>7338.2239448359887</v>
      </c>
      <c r="AD39" s="12">
        <f t="shared" si="5"/>
        <v>10708.532711922671</v>
      </c>
      <c r="AE39" s="12">
        <f t="shared" si="5"/>
        <v>13862.728483521563</v>
      </c>
    </row>
    <row r="40" spans="1:31" s="1" customFormat="1" ht="38.25" customHeight="1">
      <c r="A40" s="449" t="s">
        <v>664</v>
      </c>
      <c r="B40" s="446" t="s">
        <v>662</v>
      </c>
      <c r="C40" s="183">
        <v>518</v>
      </c>
      <c r="D40" s="276">
        <v>4331</v>
      </c>
      <c r="E40" s="183">
        <f>700/3*4</f>
        <v>933.33333333333337</v>
      </c>
      <c r="F40" s="183">
        <f>F41+F42</f>
        <v>737.50000000000011</v>
      </c>
      <c r="G40" s="183">
        <f>G41+G42-300</f>
        <v>1175.0000000000002</v>
      </c>
      <c r="H40" s="183">
        <f>H41+H42-800</f>
        <v>1658.3333333333339</v>
      </c>
      <c r="I40" s="183">
        <f>I41+I42-1000</f>
        <v>1950.0000000000005</v>
      </c>
      <c r="J40" s="270"/>
      <c r="AB40" s="12">
        <f t="shared" si="5"/>
        <v>147.50000000000003</v>
      </c>
      <c r="AC40" s="12">
        <f t="shared" si="5"/>
        <v>235.00000000000006</v>
      </c>
      <c r="AD40" s="12">
        <f t="shared" si="5"/>
        <v>331.6666666666668</v>
      </c>
      <c r="AE40" s="12">
        <f t="shared" si="5"/>
        <v>390.00000000000011</v>
      </c>
    </row>
    <row r="41" spans="1:31" s="1" customFormat="1" ht="38.25" hidden="1" customHeight="1">
      <c r="A41" s="378" t="s">
        <v>894</v>
      </c>
      <c r="B41" s="300"/>
      <c r="C41" s="183"/>
      <c r="D41" s="276"/>
      <c r="E41" s="183"/>
      <c r="F41" s="183">
        <f>K41/1000/1.2/12*3</f>
        <v>554.16666666666674</v>
      </c>
      <c r="G41" s="183">
        <f>F41+K41/1000/1.2/12*3</f>
        <v>1108.3333333333335</v>
      </c>
      <c r="H41" s="183">
        <f>K41/1000/1.2/12*4+G41</f>
        <v>1847.2222222222226</v>
      </c>
      <c r="I41" s="183">
        <f>K41/1000/1.2</f>
        <v>2216.666666666667</v>
      </c>
      <c r="J41" s="299"/>
      <c r="K41" s="379">
        <v>2660000.0000000005</v>
      </c>
      <c r="L41" s="379">
        <v>880000</v>
      </c>
      <c r="AB41" s="12">
        <f t="shared" si="5"/>
        <v>110.83333333333334</v>
      </c>
      <c r="AC41" s="12">
        <f t="shared" si="5"/>
        <v>221.66666666666669</v>
      </c>
      <c r="AD41" s="12">
        <f t="shared" si="5"/>
        <v>369.44444444444451</v>
      </c>
      <c r="AE41" s="12">
        <f t="shared" si="5"/>
        <v>443.33333333333337</v>
      </c>
    </row>
    <row r="42" spans="1:31" s="1" customFormat="1" ht="38.25" hidden="1" customHeight="1">
      <c r="A42" s="378" t="s">
        <v>895</v>
      </c>
      <c r="B42" s="300"/>
      <c r="C42" s="183"/>
      <c r="D42" s="276"/>
      <c r="E42" s="183"/>
      <c r="F42" s="183">
        <f>L41/1000/1.2/12*3</f>
        <v>183.33333333333334</v>
      </c>
      <c r="G42" s="183">
        <f>L41/1.2/1000/12*3+F42</f>
        <v>366.66666666666669</v>
      </c>
      <c r="H42" s="183">
        <f>L41/1.2/1000/12*4+G42</f>
        <v>611.11111111111109</v>
      </c>
      <c r="I42" s="183">
        <f>L41/1.2/1000</f>
        <v>733.33333333333337</v>
      </c>
      <c r="J42" s="299"/>
      <c r="AB42" s="12">
        <f t="shared" si="5"/>
        <v>36.666666666666671</v>
      </c>
      <c r="AC42" s="12">
        <f t="shared" si="5"/>
        <v>73.333333333333343</v>
      </c>
      <c r="AD42" s="12">
        <f t="shared" si="5"/>
        <v>122.22222222222221</v>
      </c>
      <c r="AE42" s="12">
        <f t="shared" si="5"/>
        <v>146.66666666666669</v>
      </c>
    </row>
    <row r="43" spans="1:31" s="1" customFormat="1" ht="78.75" customHeight="1">
      <c r="A43" s="272" t="s">
        <v>705</v>
      </c>
      <c r="B43" s="271" t="s">
        <v>663</v>
      </c>
      <c r="C43" s="183">
        <v>6799</v>
      </c>
      <c r="D43" s="276">
        <v>35460</v>
      </c>
      <c r="E43" s="183">
        <f>67687/3*3.7</f>
        <v>83480.633333333331</v>
      </c>
      <c r="F43" s="183">
        <f>K8*0.3</f>
        <v>15477</v>
      </c>
      <c r="G43" s="183">
        <f>L8*0.35</f>
        <v>32016.249999999996</v>
      </c>
      <c r="H43" s="183">
        <f>M8*0.35</f>
        <v>47490.1</v>
      </c>
      <c r="I43" s="183">
        <f>N8*0.35-3200</f>
        <v>62133.333333333336</v>
      </c>
      <c r="J43" s="270"/>
      <c r="K43" s="378" t="s">
        <v>894</v>
      </c>
      <c r="L43" s="378" t="s">
        <v>895</v>
      </c>
      <c r="AB43" s="12"/>
      <c r="AC43" s="12"/>
      <c r="AD43" s="12"/>
      <c r="AE43" s="12"/>
    </row>
    <row r="44" spans="1:31" s="1" customFormat="1" ht="38.25" customHeight="1">
      <c r="A44" s="599" t="s">
        <v>1078</v>
      </c>
      <c r="B44" s="600" t="s">
        <v>694</v>
      </c>
      <c r="C44" s="505">
        <v>0</v>
      </c>
      <c r="D44" s="505">
        <v>0</v>
      </c>
      <c r="E44" s="183">
        <f>E45+E46+E59+E60+E62+E63+E64+E65+E66</f>
        <v>1539.4571893333332</v>
      </c>
      <c r="F44" s="183">
        <f>F45+F46+F59+F60+F62+F63+F64+F65+F66</f>
        <v>647.20016248010756</v>
      </c>
      <c r="G44" s="183">
        <f>G45+G46+G59+G60+G62+G63+G64+G65+G66</f>
        <v>2001.8795019577312</v>
      </c>
      <c r="H44" s="183">
        <f>H45+H46+H59+H60+H62+H63+H64+H65+H66</f>
        <v>2654.8344762800261</v>
      </c>
      <c r="I44" s="183">
        <f>I45+I46+I59+I60+I62+I63+I64+I65+I66</f>
        <v>3335.9247509411375</v>
      </c>
      <c r="J44" s="284"/>
      <c r="AB44" s="12"/>
      <c r="AC44" s="12"/>
      <c r="AD44" s="12"/>
      <c r="AE44" s="12"/>
    </row>
    <row r="45" spans="1:31" s="1" customFormat="1" ht="38.25" customHeight="1">
      <c r="A45" s="290" t="s">
        <v>1079</v>
      </c>
      <c r="B45" s="288" t="s">
        <v>1001</v>
      </c>
      <c r="C45" s="606">
        <v>0</v>
      </c>
      <c r="D45" s="606">
        <v>0</v>
      </c>
      <c r="E45" s="183">
        <f>375/3*4</f>
        <v>500</v>
      </c>
      <c r="F45" s="183">
        <f>3%*F12</f>
        <v>0</v>
      </c>
      <c r="G45" s="183">
        <f>0.056*G12</f>
        <v>919.09123528661974</v>
      </c>
      <c r="H45" s="183">
        <f>0.056*H12</f>
        <v>1115.7745760811372</v>
      </c>
      <c r="I45" s="183">
        <f>0.056*I12</f>
        <v>1115.7745760811372</v>
      </c>
      <c r="J45" s="287"/>
      <c r="AB45" s="12"/>
      <c r="AC45" s="12"/>
      <c r="AD45" s="12"/>
      <c r="AE45" s="12"/>
    </row>
    <row r="46" spans="1:31" s="1" customFormat="1" ht="38.25" customHeight="1">
      <c r="A46" s="449" t="s">
        <v>1038</v>
      </c>
      <c r="B46" s="446" t="s">
        <v>1002</v>
      </c>
      <c r="C46" s="606">
        <v>0</v>
      </c>
      <c r="D46" s="606">
        <v>0</v>
      </c>
      <c r="E46" s="183">
        <f>94/3*4*1.1</f>
        <v>137.86666666666667</v>
      </c>
      <c r="F46" s="183">
        <f>F47+F53+F57+F58</f>
        <v>338.57950036899638</v>
      </c>
      <c r="G46" s="183">
        <f>G47+G53+G57</f>
        <v>436.84324056000003</v>
      </c>
      <c r="H46" s="183">
        <f>H47+H53+H57</f>
        <v>513.23555730999999</v>
      </c>
      <c r="I46" s="183">
        <f>I47+I53+I57</f>
        <v>818.19040405999999</v>
      </c>
      <c r="J46" s="287"/>
      <c r="AB46" s="12"/>
      <c r="AC46" s="12"/>
      <c r="AD46" s="12"/>
      <c r="AE46" s="12"/>
    </row>
    <row r="47" spans="1:31" s="1" customFormat="1" ht="38.25" hidden="1" customHeight="1">
      <c r="A47" s="407" t="s">
        <v>905</v>
      </c>
      <c r="B47" s="398" t="s">
        <v>1003</v>
      </c>
      <c r="C47" s="606">
        <v>0</v>
      </c>
      <c r="D47" s="606">
        <v>0</v>
      </c>
      <c r="E47" s="814"/>
      <c r="F47" s="814">
        <f>F48+F49+F50+F51+F52</f>
        <v>161.40997541666667</v>
      </c>
      <c r="G47" s="814">
        <f>G48+G49+G50+G51+G52</f>
        <v>232.30620583333337</v>
      </c>
      <c r="H47" s="814">
        <f>H48+H49+H50+H51+H52</f>
        <v>293.43483458333338</v>
      </c>
      <c r="I47" s="814">
        <f>I48+I49+I50+I51+I52</f>
        <v>424.5829</v>
      </c>
      <c r="J47" s="303"/>
      <c r="K47" s="435">
        <f>I48+I49+I50+I51+I21</f>
        <v>757.54</v>
      </c>
      <c r="AB47" s="12"/>
      <c r="AC47" s="12"/>
      <c r="AD47" s="12"/>
      <c r="AE47" s="12"/>
    </row>
    <row r="48" spans="1:31" s="1" customFormat="1" ht="15" hidden="1" customHeight="1">
      <c r="A48" s="297" t="s">
        <v>900</v>
      </c>
      <c r="B48" s="380" t="s">
        <v>1004</v>
      </c>
      <c r="C48" s="606">
        <v>0</v>
      </c>
      <c r="D48" s="606">
        <v>0</v>
      </c>
      <c r="E48" s="815"/>
      <c r="F48" s="815">
        <f>(34.83+33.23+28.71)*2.8/1.2*0.55</f>
        <v>124.18816666666669</v>
      </c>
      <c r="G48" s="815">
        <f>(14.47+8.71+7.23)*2.8/1.2*0.55+F48</f>
        <v>163.21433333333334</v>
      </c>
      <c r="H48" s="815">
        <f>G48+(7.83+7.23+9.47)*2.8/1.2*0.55</f>
        <v>194.69450000000001</v>
      </c>
      <c r="I48" s="815">
        <f>H48+(13.59+26.23+30.47)*0.55*2.8/1.2</f>
        <v>284.89999999999998</v>
      </c>
      <c r="J48" s="303"/>
      <c r="K48" s="1">
        <f>21/46</f>
        <v>0.45652173913043476</v>
      </c>
      <c r="AB48" s="12"/>
      <c r="AC48" s="12"/>
      <c r="AD48" s="12"/>
      <c r="AE48" s="12"/>
    </row>
    <row r="49" spans="1:31" s="1" customFormat="1" ht="15" hidden="1" customHeight="1">
      <c r="A49" s="297" t="s">
        <v>901</v>
      </c>
      <c r="B49" s="398" t="s">
        <v>1005</v>
      </c>
      <c r="C49" s="606">
        <v>0</v>
      </c>
      <c r="D49" s="606">
        <v>0</v>
      </c>
      <c r="E49" s="815"/>
      <c r="F49" s="815">
        <f>(1.44+1.84+1.52)*2.8/1.2</f>
        <v>11.200000000000001</v>
      </c>
      <c r="G49" s="815">
        <f>F49+(1.68+1.52+1.84)*2.8/1.2</f>
        <v>22.96</v>
      </c>
      <c r="H49" s="815">
        <f>G49+(1.84+1.68+1.6)*2.8/1.2</f>
        <v>34.906666666666666</v>
      </c>
      <c r="I49" s="815">
        <f>H49+(1.6+1.84+1.68)*2.8/1.2</f>
        <v>46.853333333333332</v>
      </c>
      <c r="J49" s="303"/>
      <c r="AB49" s="12"/>
      <c r="AC49" s="12"/>
      <c r="AD49" s="12"/>
      <c r="AE49" s="12"/>
    </row>
    <row r="50" spans="1:31" s="1" customFormat="1" ht="15" hidden="1" customHeight="1">
      <c r="A50" s="297" t="s">
        <v>902</v>
      </c>
      <c r="B50" s="380" t="s">
        <v>1006</v>
      </c>
      <c r="C50" s="606">
        <v>0</v>
      </c>
      <c r="D50" s="606">
        <v>0</v>
      </c>
      <c r="E50" s="815"/>
      <c r="F50" s="815">
        <f>(0.73+0.93+0.77)*2.8/1.2</f>
        <v>5.6700000000000008</v>
      </c>
      <c r="G50" s="815">
        <f>F50+(0.85+0.77+0.93)*2.8/1.2</f>
        <v>11.620000000000001</v>
      </c>
      <c r="H50" s="815">
        <f>G50+(0.93+0.85+0.73)*2.8/1.2</f>
        <v>17.476666666666667</v>
      </c>
      <c r="I50" s="815">
        <f>H50+(0.81+0.93+0.85)*2.8/1.2</f>
        <v>23.52</v>
      </c>
      <c r="J50" s="303"/>
      <c r="AB50" s="12"/>
      <c r="AC50" s="12"/>
      <c r="AD50" s="12"/>
      <c r="AE50" s="12"/>
    </row>
    <row r="51" spans="1:31" s="1" customFormat="1" ht="15" hidden="1" customHeight="1">
      <c r="A51" s="297" t="s">
        <v>903</v>
      </c>
      <c r="B51" s="398" t="s">
        <v>1007</v>
      </c>
      <c r="C51" s="606">
        <v>0</v>
      </c>
      <c r="D51" s="606">
        <v>0</v>
      </c>
      <c r="E51" s="815"/>
      <c r="F51" s="815">
        <f>(2.5*3+0.3*3)*2</f>
        <v>16.8</v>
      </c>
      <c r="G51" s="815">
        <f>F51+(2+1.1+1.1+0.4+0.4+0.4)*2.8/1.2</f>
        <v>29.400000000000006</v>
      </c>
      <c r="H51" s="815">
        <f>G51+(1.1*3+0.4*3)*2.8/1.2</f>
        <v>39.900000000000006</v>
      </c>
      <c r="I51" s="815">
        <f>H51+(2.5*3+0.4*2+0.3)*2.8/1.2</f>
        <v>59.966666666666676</v>
      </c>
      <c r="J51" s="303"/>
      <c r="AB51" s="12"/>
      <c r="AC51" s="12"/>
      <c r="AD51" s="12"/>
      <c r="AE51" s="12"/>
    </row>
    <row r="52" spans="1:31" s="1" customFormat="1" ht="15" hidden="1" customHeight="1">
      <c r="A52" s="297" t="s">
        <v>922</v>
      </c>
      <c r="B52" s="380" t="s">
        <v>1008</v>
      </c>
      <c r="C52" s="606">
        <v>0</v>
      </c>
      <c r="D52" s="606">
        <v>0</v>
      </c>
      <c r="E52" s="815"/>
      <c r="F52" s="815">
        <f>(F48+F49+F50+F51)/2*0.045</f>
        <v>3.5518087500000002</v>
      </c>
      <c r="G52" s="815">
        <f>(G48+G49+G50+G51)/2*0.045</f>
        <v>5.1118725000000005</v>
      </c>
      <c r="H52" s="815">
        <f>(H48+H49+H50+H51)/2*0.045</f>
        <v>6.4570012500000002</v>
      </c>
      <c r="I52" s="815">
        <f>(I48+I49+I50+I51)/2*0.045</f>
        <v>9.3429000000000002</v>
      </c>
      <c r="J52" s="383"/>
      <c r="AB52" s="12"/>
      <c r="AC52" s="12"/>
      <c r="AD52" s="12"/>
      <c r="AE52" s="12"/>
    </row>
    <row r="53" spans="1:31" s="1" customFormat="1" ht="38.25" hidden="1" customHeight="1">
      <c r="A53" s="407" t="s">
        <v>906</v>
      </c>
      <c r="B53" s="398" t="s">
        <v>1009</v>
      </c>
      <c r="C53" s="606">
        <v>0</v>
      </c>
      <c r="D53" s="606">
        <v>0</v>
      </c>
      <c r="E53" s="814"/>
      <c r="F53" s="814">
        <f>F54+F55+F56</f>
        <v>163.52389600000001</v>
      </c>
      <c r="G53" s="814">
        <f>G54+G55+G56</f>
        <v>172.35827866666665</v>
      </c>
      <c r="H53" s="814">
        <f>H54+H55+H56</f>
        <v>172.35827866666665</v>
      </c>
      <c r="I53" s="814">
        <f>I54+I55+I56</f>
        <v>323.02875999999998</v>
      </c>
      <c r="J53" s="303"/>
      <c r="AB53" s="12"/>
      <c r="AC53" s="12"/>
      <c r="AD53" s="12"/>
      <c r="AE53" s="12"/>
    </row>
    <row r="54" spans="1:31" s="1" customFormat="1" ht="9.75" hidden="1" customHeight="1">
      <c r="A54" s="297" t="s">
        <v>907</v>
      </c>
      <c r="B54" s="380" t="s">
        <v>1010</v>
      </c>
      <c r="C54" s="606">
        <v>0</v>
      </c>
      <c r="D54" s="606">
        <v>0</v>
      </c>
      <c r="E54" s="815"/>
      <c r="F54" s="815">
        <f>(1.23+1.06+0.91)*1466.8/1000</f>
        <v>4.6937600000000002</v>
      </c>
      <c r="G54" s="815">
        <f>F54+0.13*1466.8/1000</f>
        <v>4.8844440000000002</v>
      </c>
      <c r="H54" s="815">
        <f>G54</f>
        <v>4.8844440000000002</v>
      </c>
      <c r="I54" s="815">
        <f>H54+(0.19+0.83+1.11)*1466.8/1000</f>
        <v>8.0087279999999996</v>
      </c>
      <c r="J54" s="303"/>
      <c r="AB54" s="12"/>
      <c r="AC54" s="12"/>
      <c r="AD54" s="12"/>
      <c r="AE54" s="12"/>
    </row>
    <row r="55" spans="1:31" s="1" customFormat="1" ht="9.75" hidden="1" customHeight="1">
      <c r="A55" s="297" t="s">
        <v>908</v>
      </c>
      <c r="B55" s="398" t="s">
        <v>1011</v>
      </c>
      <c r="C55" s="606">
        <v>0</v>
      </c>
      <c r="D55" s="606">
        <v>0</v>
      </c>
      <c r="E55" s="815"/>
      <c r="F55" s="815">
        <f>(2.3+2+1.72)*1466.8/1000</f>
        <v>8.8301359999999978</v>
      </c>
      <c r="G55" s="815">
        <f>F55+0.24*1466.8/1000</f>
        <v>9.1821679999999972</v>
      </c>
      <c r="H55" s="815">
        <f>G55</f>
        <v>9.1821679999999972</v>
      </c>
      <c r="I55" s="815">
        <f>H55+(0.35+1.55+2.08)*1466.8/1000</f>
        <v>15.020031999999997</v>
      </c>
      <c r="J55" s="303"/>
      <c r="AB55" s="12"/>
      <c r="AC55" s="12"/>
      <c r="AD55" s="12"/>
      <c r="AE55" s="12"/>
    </row>
    <row r="56" spans="1:31" s="1" customFormat="1" ht="37.5" hidden="1" customHeight="1">
      <c r="A56" s="297" t="s">
        <v>909</v>
      </c>
      <c r="B56" s="380" t="s">
        <v>1012</v>
      </c>
      <c r="C56" s="606">
        <v>0</v>
      </c>
      <c r="D56" s="606">
        <v>0</v>
      </c>
      <c r="E56" s="815"/>
      <c r="F56" s="815">
        <v>150</v>
      </c>
      <c r="G56" s="815">
        <f>F56+199/1.2/6*0.5*0.6</f>
        <v>158.29166666666666</v>
      </c>
      <c r="H56" s="815">
        <f>G56</f>
        <v>158.29166666666666</v>
      </c>
      <c r="I56" s="815">
        <v>300</v>
      </c>
      <c r="J56" s="303"/>
      <c r="AB56" s="12"/>
      <c r="AC56" s="12"/>
      <c r="AD56" s="12"/>
      <c r="AE56" s="12"/>
    </row>
    <row r="57" spans="1:31" s="1" customFormat="1" ht="38.25" hidden="1" customHeight="1">
      <c r="A57" s="408" t="s">
        <v>904</v>
      </c>
      <c r="B57" s="398" t="s">
        <v>1013</v>
      </c>
      <c r="C57" s="606">
        <v>0</v>
      </c>
      <c r="D57" s="606">
        <v>0</v>
      </c>
      <c r="E57" s="816"/>
      <c r="F57" s="816">
        <f>((432+235+223)*0.55+141.495+59.5+109.1+17+11+14+1+1+21+10+10+11)*(7.56+4.98)/1000</f>
        <v>11.230761299999999</v>
      </c>
      <c r="G57" s="816">
        <f>F57+((1323+1019)*0.55+47.402+139.777+110.215+24+30+10+2+9+10)*(7.56+4.98)/1000</f>
        <v>32.178756059999998</v>
      </c>
      <c r="H57" s="816">
        <f>G57+((721+627+142)*0.55+76+74+80.7+23+27+41+18+9+6+17+13+13)*(7.56+4.98)/1000</f>
        <v>47.44244406</v>
      </c>
      <c r="I57" s="816">
        <f>H57+(1000*3*0.55+16*3+25*3+7*3+17*3)*(7.56+4.98)/1000</f>
        <v>70.578744060000005</v>
      </c>
      <c r="J57" s="303"/>
      <c r="AB57" s="12"/>
      <c r="AC57" s="12"/>
      <c r="AD57" s="12"/>
      <c r="AE57" s="12"/>
    </row>
    <row r="58" spans="1:31" s="1" customFormat="1" ht="38.25" hidden="1" customHeight="1">
      <c r="A58" s="297" t="s">
        <v>930</v>
      </c>
      <c r="B58" s="380" t="s">
        <v>1014</v>
      </c>
      <c r="C58" s="606">
        <v>0</v>
      </c>
      <c r="D58" s="606">
        <v>0</v>
      </c>
      <c r="E58" s="815"/>
      <c r="F58" s="815">
        <f>353.21/55.8/1.2*3*(55.8+96.8)/1000</f>
        <v>2.414867652329749</v>
      </c>
      <c r="G58" s="815">
        <f>F58+F58</f>
        <v>4.829735304659498</v>
      </c>
      <c r="H58" s="815">
        <f>G58+F58</f>
        <v>7.2446029569892474</v>
      </c>
      <c r="I58" s="815">
        <f>H58+F58</f>
        <v>9.6594706093189959</v>
      </c>
      <c r="J58" s="303"/>
      <c r="AB58" s="12"/>
      <c r="AC58" s="12"/>
      <c r="AD58" s="12"/>
      <c r="AE58" s="12"/>
    </row>
    <row r="59" spans="1:31" s="1" customFormat="1" ht="38.25" customHeight="1">
      <c r="A59" s="290" t="s">
        <v>703</v>
      </c>
      <c r="B59" s="398" t="s">
        <v>1003</v>
      </c>
      <c r="C59" s="606">
        <v>0</v>
      </c>
      <c r="D59" s="606">
        <v>0</v>
      </c>
      <c r="E59" s="183">
        <f>119/3*4</f>
        <v>158.66666666666666</v>
      </c>
      <c r="F59" s="183">
        <f>K59/12*2/1000</f>
        <v>40.277777777777779</v>
      </c>
      <c r="G59" s="183">
        <f>F59+K59/1000/12*3</f>
        <v>100.69444444444446</v>
      </c>
      <c r="H59" s="183">
        <f>K59/1000/12*5+G59</f>
        <v>201.38888888888891</v>
      </c>
      <c r="I59" s="183">
        <f>K59/1000</f>
        <v>241.66666666666669</v>
      </c>
      <c r="J59" s="287"/>
      <c r="K59" s="1">
        <f>290000/1.2</f>
        <v>241666.66666666669</v>
      </c>
      <c r="AB59" s="12"/>
      <c r="AC59" s="12"/>
      <c r="AD59" s="12"/>
      <c r="AE59" s="12"/>
    </row>
    <row r="60" spans="1:31" s="1" customFormat="1" ht="38.25" customHeight="1">
      <c r="A60" s="449" t="s">
        <v>704</v>
      </c>
      <c r="B60" s="446" t="s">
        <v>1004</v>
      </c>
      <c r="C60" s="606">
        <v>0</v>
      </c>
      <c r="D60" s="606">
        <v>0</v>
      </c>
      <c r="E60" s="183">
        <f>12283.2*12/1000</f>
        <v>147.39840000000001</v>
      </c>
      <c r="F60" s="183">
        <f>F61</f>
        <v>36.849600000000002</v>
      </c>
      <c r="G60" s="183">
        <f>G61</f>
        <v>77.384160000000008</v>
      </c>
      <c r="H60" s="183">
        <f>H61</f>
        <v>116.07624</v>
      </c>
      <c r="I60" s="183">
        <f>I61</f>
        <v>155.24736480000001</v>
      </c>
      <c r="J60" s="287"/>
      <c r="K60" s="1" t="s">
        <v>896</v>
      </c>
      <c r="AB60" s="12"/>
      <c r="AC60" s="12"/>
      <c r="AD60" s="12"/>
      <c r="AE60" s="12"/>
    </row>
    <row r="61" spans="1:31" s="1" customFormat="1" ht="38.25" hidden="1" customHeight="1">
      <c r="A61" s="381" t="s">
        <v>897</v>
      </c>
      <c r="B61" s="382"/>
      <c r="C61" s="606">
        <v>0</v>
      </c>
      <c r="D61" s="606">
        <v>0</v>
      </c>
      <c r="E61" s="183"/>
      <c r="F61" s="183">
        <f>12283.2*3/1000</f>
        <v>36.849600000000002</v>
      </c>
      <c r="G61" s="183">
        <f>F61*2*1.05</f>
        <v>77.384160000000008</v>
      </c>
      <c r="H61" s="183">
        <f>F61*3*1.05</f>
        <v>116.07624</v>
      </c>
      <c r="I61" s="183">
        <f>H61*1.02+F61</f>
        <v>155.24736480000001</v>
      </c>
      <c r="J61" s="299"/>
      <c r="K61" s="1" t="s">
        <v>898</v>
      </c>
      <c r="M61" s="1">
        <f>F61*4</f>
        <v>147.39840000000001</v>
      </c>
      <c r="AB61" s="12"/>
      <c r="AC61" s="12"/>
      <c r="AD61" s="12"/>
      <c r="AE61" s="12"/>
    </row>
    <row r="62" spans="1:31" s="1" customFormat="1" ht="38.25" customHeight="1">
      <c r="A62" s="292" t="s">
        <v>709</v>
      </c>
      <c r="B62" s="293" t="s">
        <v>1005</v>
      </c>
      <c r="C62" s="606">
        <v>0</v>
      </c>
      <c r="D62" s="606">
        <v>0</v>
      </c>
      <c r="E62" s="183">
        <f>196+56*3</f>
        <v>364</v>
      </c>
      <c r="F62" s="183">
        <f>56*3</f>
        <v>168</v>
      </c>
      <c r="G62" s="183">
        <f>F62+F62</f>
        <v>336</v>
      </c>
      <c r="H62" s="183">
        <f>G62+F62</f>
        <v>504</v>
      </c>
      <c r="I62" s="183">
        <f>H62+F62</f>
        <v>672</v>
      </c>
      <c r="J62" s="295"/>
      <c r="K62" s="1" t="s">
        <v>985</v>
      </c>
      <c r="AB62" s="12"/>
      <c r="AC62" s="12"/>
      <c r="AD62" s="12"/>
      <c r="AE62" s="12"/>
    </row>
    <row r="63" spans="1:31" s="1" customFormat="1" ht="38.25" customHeight="1">
      <c r="A63" s="397" t="s">
        <v>934</v>
      </c>
      <c r="B63" s="398" t="s">
        <v>1006</v>
      </c>
      <c r="C63" s="606">
        <v>0</v>
      </c>
      <c r="D63" s="606">
        <v>0</v>
      </c>
      <c r="E63" s="183">
        <f>10/3*4</f>
        <v>13.333333333333334</v>
      </c>
      <c r="F63" s="183">
        <v>13</v>
      </c>
      <c r="G63" s="183">
        <v>26</v>
      </c>
      <c r="H63" s="183">
        <v>39</v>
      </c>
      <c r="I63" s="183">
        <v>55</v>
      </c>
      <c r="J63" s="287"/>
      <c r="AB63" s="12"/>
      <c r="AC63" s="12"/>
      <c r="AD63" s="12"/>
      <c r="AE63" s="12"/>
    </row>
    <row r="64" spans="1:31" s="1" customFormat="1" ht="38.25" customHeight="1">
      <c r="A64" s="449" t="s">
        <v>921</v>
      </c>
      <c r="B64" s="446" t="s">
        <v>1007</v>
      </c>
      <c r="C64" s="606">
        <v>0</v>
      </c>
      <c r="D64" s="606">
        <v>0</v>
      </c>
      <c r="E64" s="183">
        <f>34+22296.97/1000*1.2*4</f>
        <v>141.02545600000002</v>
      </c>
      <c r="F64" s="183">
        <f>(14910.2/1000-830.24/1000-830.24/1000+8145.69/1000)*1.1</f>
        <v>23.534951000000003</v>
      </c>
      <c r="G64" s="183">
        <f>F64+(8988.85/1000+13373.68/1000+3469.11/1000)*1.1</f>
        <v>51.94975500000001</v>
      </c>
      <c r="H64" s="183">
        <f>G64+(11786.46/1000+7127.14/1000+19754.09/1000)*1.1</f>
        <v>94.484214000000023</v>
      </c>
      <c r="I64" s="183">
        <f>H64+(2874/1000+52467.24/1000+296.51/1000+22296.97/1000)*1.1</f>
        <v>180.21240600000004</v>
      </c>
      <c r="J64" s="287"/>
      <c r="K64" s="1">
        <f>73000/2600</f>
        <v>28.076923076923077</v>
      </c>
      <c r="AB64" s="12"/>
      <c r="AC64" s="12"/>
      <c r="AD64" s="12"/>
      <c r="AE64" s="12"/>
    </row>
    <row r="65" spans="1:31" s="1" customFormat="1" ht="38.25" customHeight="1">
      <c r="A65" s="449" t="s">
        <v>706</v>
      </c>
      <c r="B65" s="446" t="s">
        <v>1008</v>
      </c>
      <c r="C65" s="606">
        <v>0</v>
      </c>
      <c r="D65" s="606">
        <v>0</v>
      </c>
      <c r="E65" s="183">
        <f>55/3*3.7</f>
        <v>67.833333333333329</v>
      </c>
      <c r="F65" s="183">
        <f>E65/4</f>
        <v>16.958333333333332</v>
      </c>
      <c r="G65" s="183">
        <f>F65*2</f>
        <v>33.916666666666664</v>
      </c>
      <c r="H65" s="183">
        <f>F65*3</f>
        <v>50.875</v>
      </c>
      <c r="I65" s="183">
        <f>F65*4</f>
        <v>67.833333333333329</v>
      </c>
      <c r="J65" s="287"/>
      <c r="AB65" s="12">
        <f>F65/5</f>
        <v>3.3916666666666666</v>
      </c>
      <c r="AC65" s="12">
        <f>G65/5</f>
        <v>6.7833333333333332</v>
      </c>
      <c r="AD65" s="12">
        <f>H65/5</f>
        <v>10.175000000000001</v>
      </c>
      <c r="AE65" s="12">
        <f>I65/5</f>
        <v>13.566666666666666</v>
      </c>
    </row>
    <row r="66" spans="1:31" s="1" customFormat="1" ht="38.25" customHeight="1">
      <c r="A66" s="449" t="s">
        <v>666</v>
      </c>
      <c r="B66" s="446" t="s">
        <v>1009</v>
      </c>
      <c r="C66" s="606">
        <v>0</v>
      </c>
      <c r="D66" s="606">
        <v>0</v>
      </c>
      <c r="E66" s="183">
        <f>7/3*4</f>
        <v>9.3333333333333339</v>
      </c>
      <c r="F66" s="183">
        <v>10</v>
      </c>
      <c r="G66" s="183">
        <v>20</v>
      </c>
      <c r="H66" s="183">
        <v>20</v>
      </c>
      <c r="I66" s="183">
        <v>30</v>
      </c>
      <c r="J66" s="287"/>
      <c r="K66" s="1">
        <f>15*560</f>
        <v>8400</v>
      </c>
      <c r="L66" s="1">
        <f>15*560</f>
        <v>8400</v>
      </c>
      <c r="AB66" s="12"/>
      <c r="AC66" s="12"/>
      <c r="AD66" s="12"/>
      <c r="AE66" s="12"/>
    </row>
    <row r="67" spans="1:31" s="1" customFormat="1" ht="38.25" customHeight="1">
      <c r="A67" s="599" t="s">
        <v>1073</v>
      </c>
      <c r="B67" s="600" t="s">
        <v>1080</v>
      </c>
      <c r="C67" s="505">
        <v>0</v>
      </c>
      <c r="D67" s="505">
        <v>0</v>
      </c>
      <c r="E67" s="183">
        <f>SUM(E68:E70)</f>
        <v>0</v>
      </c>
      <c r="F67" s="183">
        <f>SUM(F68:F70)</f>
        <v>30.967749999999999</v>
      </c>
      <c r="G67" s="183">
        <f>SUM(G68:G70)</f>
        <v>1145.2688333333335</v>
      </c>
      <c r="H67" s="183">
        <f>SUM(H68:H70)</f>
        <v>1176.2365833333336</v>
      </c>
      <c r="I67" s="183">
        <f>SUM(I68:I70)</f>
        <v>1207.2043333333336</v>
      </c>
      <c r="J67" s="287"/>
      <c r="K67" s="1" t="s">
        <v>978</v>
      </c>
      <c r="AB67" s="12"/>
      <c r="AC67" s="12"/>
      <c r="AD67" s="12"/>
      <c r="AE67" s="12"/>
    </row>
    <row r="68" spans="1:31" s="1" customFormat="1" ht="38.25" customHeight="1">
      <c r="A68" s="386" t="s">
        <v>931</v>
      </c>
      <c r="B68" s="446" t="s">
        <v>1081</v>
      </c>
      <c r="C68" s="606">
        <v>0</v>
      </c>
      <c r="D68" s="606">
        <v>0</v>
      </c>
      <c r="E68" s="606">
        <v>0</v>
      </c>
      <c r="F68" s="183">
        <f>2600/4*13/1000</f>
        <v>8.4499999999999993</v>
      </c>
      <c r="G68" s="183">
        <f>F68+F68</f>
        <v>16.899999999999999</v>
      </c>
      <c r="H68" s="183">
        <f>F68+G68</f>
        <v>25.349999999999998</v>
      </c>
      <c r="I68" s="183">
        <f>H68+F68</f>
        <v>33.799999999999997</v>
      </c>
      <c r="J68" s="385"/>
      <c r="AB68" s="12"/>
      <c r="AC68" s="12"/>
      <c r="AD68" s="12"/>
      <c r="AE68" s="12"/>
    </row>
    <row r="69" spans="1:31" s="1" customFormat="1" ht="51" customHeight="1">
      <c r="A69" s="397" t="s">
        <v>976</v>
      </c>
      <c r="B69" s="600" t="s">
        <v>1082</v>
      </c>
      <c r="C69" s="606">
        <v>0</v>
      </c>
      <c r="D69" s="606">
        <v>0</v>
      </c>
      <c r="E69" s="606">
        <v>0</v>
      </c>
      <c r="F69" s="183">
        <f>90.071/4</f>
        <v>22.517749999999999</v>
      </c>
      <c r="G69" s="183">
        <f>F69+F69</f>
        <v>45.035499999999999</v>
      </c>
      <c r="H69" s="183">
        <f>F69+G69</f>
        <v>67.553249999999991</v>
      </c>
      <c r="I69" s="183">
        <f>F69+H69</f>
        <v>90.070999999999998</v>
      </c>
      <c r="J69" s="399"/>
      <c r="AB69" s="12"/>
      <c r="AC69" s="12"/>
      <c r="AD69" s="12"/>
      <c r="AE69" s="12"/>
    </row>
    <row r="70" spans="1:31" s="434" customFormat="1" ht="38.25" customHeight="1">
      <c r="A70" s="449" t="s">
        <v>977</v>
      </c>
      <c r="B70" s="600" t="s">
        <v>1083</v>
      </c>
      <c r="C70" s="606">
        <v>0</v>
      </c>
      <c r="D70" s="606">
        <v>0</v>
      </c>
      <c r="E70" s="606">
        <v>0</v>
      </c>
      <c r="F70" s="183">
        <v>0</v>
      </c>
      <c r="G70" s="183">
        <f>1300/1.2</f>
        <v>1083.3333333333335</v>
      </c>
      <c r="H70" s="183">
        <f>G70</f>
        <v>1083.3333333333335</v>
      </c>
      <c r="I70" s="183">
        <f>H70</f>
        <v>1083.3333333333335</v>
      </c>
      <c r="J70" s="445"/>
      <c r="AB70" s="12"/>
      <c r="AC70" s="12"/>
      <c r="AD70" s="12"/>
      <c r="AE70" s="12"/>
    </row>
    <row r="71" spans="1:31" s="1" customFormat="1" ht="38.25" customHeight="1">
      <c r="A71" s="599" t="s">
        <v>707</v>
      </c>
      <c r="B71" s="600" t="s">
        <v>1084</v>
      </c>
      <c r="C71" s="505">
        <v>0</v>
      </c>
      <c r="D71" s="505">
        <v>0</v>
      </c>
      <c r="E71" s="183">
        <f>92/3*4</f>
        <v>122.66666666666667</v>
      </c>
      <c r="F71" s="183">
        <f>700/4*180/1000</f>
        <v>31.5</v>
      </c>
      <c r="G71" s="183">
        <f>F71*2</f>
        <v>63</v>
      </c>
      <c r="H71" s="183">
        <f>G71+F71</f>
        <v>94.5</v>
      </c>
      <c r="I71" s="183">
        <f>H71+F71</f>
        <v>126</v>
      </c>
      <c r="J71" s="287"/>
      <c r="K71" s="301"/>
      <c r="L71" s="301" t="s">
        <v>732</v>
      </c>
      <c r="M71" s="301"/>
      <c r="N71" s="301"/>
      <c r="O71" s="301"/>
      <c r="AB71" s="12"/>
      <c r="AC71" s="12"/>
      <c r="AD71" s="12"/>
      <c r="AE71" s="12"/>
    </row>
    <row r="72" spans="1:31" s="1" customFormat="1" ht="38.25" customHeight="1">
      <c r="A72" s="599" t="s">
        <v>929</v>
      </c>
      <c r="B72" s="600" t="s">
        <v>1085</v>
      </c>
      <c r="C72" s="505">
        <v>0</v>
      </c>
      <c r="D72" s="505">
        <v>0</v>
      </c>
      <c r="E72" s="183">
        <v>0</v>
      </c>
      <c r="F72" s="183">
        <f>3415/1000/1.2</f>
        <v>2.8458333333333337</v>
      </c>
      <c r="G72" s="183">
        <f>F72</f>
        <v>2.8458333333333337</v>
      </c>
      <c r="H72" s="183">
        <f>G72</f>
        <v>2.8458333333333337</v>
      </c>
      <c r="I72" s="183">
        <f>H72</f>
        <v>2.8458333333333337</v>
      </c>
      <c r="J72" s="385"/>
      <c r="K72" s="301"/>
      <c r="L72" s="301"/>
      <c r="M72" s="301"/>
      <c r="N72" s="301"/>
      <c r="O72" s="301"/>
      <c r="AB72" s="12"/>
      <c r="AC72" s="12"/>
      <c r="AD72" s="12"/>
      <c r="AE72" s="12"/>
    </row>
    <row r="73" spans="1:31" s="1" customFormat="1" ht="38.25" customHeight="1">
      <c r="A73" s="599" t="s">
        <v>733</v>
      </c>
      <c r="B73" s="600" t="s">
        <v>1086</v>
      </c>
      <c r="C73" s="505">
        <v>0</v>
      </c>
      <c r="D73" s="505">
        <v>0</v>
      </c>
      <c r="E73" s="183">
        <v>29</v>
      </c>
      <c r="F73" s="505">
        <f>L73/9/1000*3.1</f>
        <v>10.083611111111111</v>
      </c>
      <c r="G73" s="505">
        <f>F73+F73</f>
        <v>20.167222222222222</v>
      </c>
      <c r="H73" s="505">
        <f>G73+F73</f>
        <v>30.250833333333333</v>
      </c>
      <c r="I73" s="505">
        <f>H73</f>
        <v>30.250833333333333</v>
      </c>
      <c r="J73" s="295"/>
      <c r="K73" s="301" t="s">
        <v>731</v>
      </c>
      <c r="L73" s="301">
        <f>8647+20628</f>
        <v>29275</v>
      </c>
      <c r="M73" s="301"/>
      <c r="N73" s="301"/>
      <c r="O73" s="301"/>
      <c r="AB73" s="12"/>
      <c r="AC73" s="12"/>
      <c r="AD73" s="12"/>
      <c r="AE73" s="12"/>
    </row>
    <row r="74" spans="1:31" s="1" customFormat="1" ht="38.25" customHeight="1">
      <c r="A74" s="599" t="s">
        <v>925</v>
      </c>
      <c r="B74" s="600" t="s">
        <v>1087</v>
      </c>
      <c r="C74" s="505">
        <v>0</v>
      </c>
      <c r="D74" s="505">
        <v>0</v>
      </c>
      <c r="E74" s="183">
        <v>0</v>
      </c>
      <c r="F74" s="183">
        <f>49/1.2</f>
        <v>40.833333333333336</v>
      </c>
      <c r="G74" s="183">
        <f>F74+F74</f>
        <v>81.666666666666671</v>
      </c>
      <c r="H74" s="505">
        <f>158</f>
        <v>158</v>
      </c>
      <c r="I74" s="505">
        <f>H74</f>
        <v>158</v>
      </c>
      <c r="J74" s="385"/>
      <c r="K74" s="384"/>
      <c r="L74" s="384"/>
      <c r="M74" s="384"/>
      <c r="N74" s="384"/>
      <c r="O74" s="384"/>
      <c r="AB74" s="12"/>
      <c r="AC74" s="12"/>
      <c r="AD74" s="12"/>
      <c r="AE74" s="12"/>
    </row>
    <row r="75" spans="1:31" s="12" customFormat="1" ht="38.25" customHeight="1">
      <c r="A75" s="599" t="s">
        <v>917</v>
      </c>
      <c r="B75" s="600" t="s">
        <v>1088</v>
      </c>
      <c r="C75" s="505">
        <v>0</v>
      </c>
      <c r="D75" s="505">
        <v>0</v>
      </c>
      <c r="E75" s="183">
        <f>SUM(E76:E81)</f>
        <v>0</v>
      </c>
      <c r="F75" s="183">
        <f>SUM(F76:F81)</f>
        <v>92.520833333333343</v>
      </c>
      <c r="G75" s="183">
        <f>SUM(G76:G81)</f>
        <v>185.04166666666669</v>
      </c>
      <c r="H75" s="183">
        <f>SUM(H76:H81)</f>
        <v>277.5625</v>
      </c>
      <c r="I75" s="183">
        <f>SUM(I76:I81)</f>
        <v>370.08333333333337</v>
      </c>
      <c r="J75" s="146"/>
      <c r="K75" s="601">
        <f>I75*1.2</f>
        <v>444.1</v>
      </c>
      <c r="L75" s="601"/>
      <c r="M75" s="601">
        <f>115/1.2</f>
        <v>95.833333333333343</v>
      </c>
      <c r="N75" s="601"/>
      <c r="O75" s="601"/>
    </row>
    <row r="76" spans="1:31" s="1" customFormat="1" ht="38.25" customHeight="1">
      <c r="A76" s="599" t="s">
        <v>913</v>
      </c>
      <c r="B76" s="600" t="s">
        <v>1090</v>
      </c>
      <c r="C76" s="606">
        <v>0</v>
      </c>
      <c r="D76" s="606">
        <v>0</v>
      </c>
      <c r="E76" s="606">
        <v>0</v>
      </c>
      <c r="F76" s="505">
        <f t="shared" ref="F76:F81" si="6">I76/4</f>
        <v>3.125</v>
      </c>
      <c r="G76" s="505">
        <f t="shared" ref="G76:G81" si="7">I76/4*2</f>
        <v>6.25</v>
      </c>
      <c r="H76" s="505">
        <f t="shared" ref="H76:H81" si="8">I76/4*3</f>
        <v>9.375</v>
      </c>
      <c r="I76" s="505">
        <f>AB76</f>
        <v>12.5</v>
      </c>
      <c r="J76" s="299"/>
      <c r="K76" s="603">
        <f t="shared" ref="K76:K81" si="9">I76*1.2</f>
        <v>15</v>
      </c>
      <c r="L76" s="298"/>
      <c r="M76" s="298"/>
      <c r="N76" s="298"/>
      <c r="O76" s="298"/>
      <c r="AA76" s="1">
        <v>15</v>
      </c>
      <c r="AB76" s="12">
        <f t="shared" ref="AB76:AB81" si="10">AA76/1.2</f>
        <v>12.5</v>
      </c>
      <c r="AC76" s="12"/>
      <c r="AD76" s="12"/>
      <c r="AE76" s="12"/>
    </row>
    <row r="77" spans="1:31" s="1" customFormat="1" ht="38.25" customHeight="1">
      <c r="A77" s="599" t="s">
        <v>914</v>
      </c>
      <c r="B77" s="600" t="s">
        <v>1091</v>
      </c>
      <c r="C77" s="606">
        <v>0</v>
      </c>
      <c r="D77" s="606">
        <v>0</v>
      </c>
      <c r="E77" s="606">
        <v>0</v>
      </c>
      <c r="F77" s="505">
        <f t="shared" si="6"/>
        <v>11.458333333333334</v>
      </c>
      <c r="G77" s="505">
        <f t="shared" si="7"/>
        <v>22.916666666666668</v>
      </c>
      <c r="H77" s="505">
        <f t="shared" si="8"/>
        <v>34.375</v>
      </c>
      <c r="I77" s="505">
        <f>AB77</f>
        <v>45.833333333333336</v>
      </c>
      <c r="J77" s="303"/>
      <c r="K77" s="603">
        <f t="shared" si="9"/>
        <v>55</v>
      </c>
      <c r="L77" s="302"/>
      <c r="M77" s="302"/>
      <c r="N77" s="302"/>
      <c r="O77" s="302"/>
      <c r="AA77" s="1">
        <v>55</v>
      </c>
      <c r="AB77" s="12">
        <f t="shared" si="10"/>
        <v>45.833333333333336</v>
      </c>
      <c r="AC77" s="12"/>
      <c r="AD77" s="12"/>
      <c r="AE77" s="12"/>
    </row>
    <row r="78" spans="1:31" s="1" customFormat="1" ht="38.25" customHeight="1">
      <c r="A78" s="599" t="s">
        <v>915</v>
      </c>
      <c r="B78" s="600" t="s">
        <v>1092</v>
      </c>
      <c r="C78" s="606">
        <v>0</v>
      </c>
      <c r="D78" s="606">
        <v>0</v>
      </c>
      <c r="E78" s="606">
        <v>0</v>
      </c>
      <c r="F78" s="505">
        <f t="shared" si="6"/>
        <v>1.875</v>
      </c>
      <c r="G78" s="505">
        <f t="shared" si="7"/>
        <v>3.75</v>
      </c>
      <c r="H78" s="505">
        <f t="shared" si="8"/>
        <v>5.625</v>
      </c>
      <c r="I78" s="505">
        <f>AB78</f>
        <v>7.5</v>
      </c>
      <c r="J78" s="303"/>
      <c r="K78" s="603">
        <f t="shared" si="9"/>
        <v>9</v>
      </c>
      <c r="L78" s="302"/>
      <c r="M78" s="302"/>
      <c r="N78" s="302"/>
      <c r="O78" s="302"/>
      <c r="AA78" s="1">
        <v>9</v>
      </c>
      <c r="AB78" s="12">
        <f t="shared" si="10"/>
        <v>7.5</v>
      </c>
      <c r="AC78" s="12"/>
      <c r="AD78" s="12"/>
      <c r="AE78" s="12"/>
    </row>
    <row r="79" spans="1:31" s="1" customFormat="1" ht="38.25" customHeight="1">
      <c r="A79" s="599" t="s">
        <v>916</v>
      </c>
      <c r="B79" s="600" t="s">
        <v>1093</v>
      </c>
      <c r="C79" s="606">
        <v>0</v>
      </c>
      <c r="D79" s="606">
        <v>0</v>
      </c>
      <c r="E79" s="606">
        <v>0</v>
      </c>
      <c r="F79" s="505">
        <f t="shared" si="6"/>
        <v>2.291666666666667</v>
      </c>
      <c r="G79" s="505">
        <f t="shared" si="7"/>
        <v>4.5833333333333339</v>
      </c>
      <c r="H79" s="505">
        <f t="shared" si="8"/>
        <v>6.8750000000000009</v>
      </c>
      <c r="I79" s="505">
        <f>AB79</f>
        <v>9.1666666666666679</v>
      </c>
      <c r="J79" s="303"/>
      <c r="K79" s="603">
        <f t="shared" si="9"/>
        <v>11.000000000000002</v>
      </c>
      <c r="L79" s="302"/>
      <c r="M79" s="302"/>
      <c r="N79" s="302"/>
      <c r="O79" s="302"/>
      <c r="AA79" s="1">
        <v>11</v>
      </c>
      <c r="AB79" s="12">
        <f t="shared" si="10"/>
        <v>9.1666666666666679</v>
      </c>
      <c r="AC79" s="12"/>
      <c r="AD79" s="12"/>
      <c r="AE79" s="12"/>
    </row>
    <row r="80" spans="1:31" s="1" customFormat="1" ht="38.25" customHeight="1">
      <c r="A80" s="599" t="s">
        <v>918</v>
      </c>
      <c r="B80" s="600" t="s">
        <v>1094</v>
      </c>
      <c r="C80" s="606">
        <v>0</v>
      </c>
      <c r="D80" s="606">
        <v>0</v>
      </c>
      <c r="E80" s="606">
        <v>0</v>
      </c>
      <c r="F80" s="505">
        <f t="shared" si="6"/>
        <v>0.41666666666666669</v>
      </c>
      <c r="G80" s="505">
        <f t="shared" si="7"/>
        <v>0.83333333333333337</v>
      </c>
      <c r="H80" s="505">
        <f t="shared" si="8"/>
        <v>1.25</v>
      </c>
      <c r="I80" s="505">
        <f>AB80</f>
        <v>1.6666666666666667</v>
      </c>
      <c r="J80" s="303"/>
      <c r="K80" s="603">
        <f t="shared" si="9"/>
        <v>2</v>
      </c>
      <c r="L80" s="302"/>
      <c r="M80" s="302"/>
      <c r="N80" s="302"/>
      <c r="O80" s="302"/>
      <c r="Q80" s="1">
        <v>2</v>
      </c>
      <c r="AA80" s="1">
        <v>2</v>
      </c>
      <c r="AB80" s="12">
        <f t="shared" si="10"/>
        <v>1.6666666666666667</v>
      </c>
      <c r="AC80" s="12"/>
      <c r="AD80" s="12"/>
      <c r="AE80" s="12"/>
    </row>
    <row r="81" spans="1:31" s="1" customFormat="1" ht="132" customHeight="1">
      <c r="A81" s="599" t="s">
        <v>1106</v>
      </c>
      <c r="B81" s="600" t="s">
        <v>1095</v>
      </c>
      <c r="C81" s="606">
        <v>0</v>
      </c>
      <c r="D81" s="606">
        <v>0</v>
      </c>
      <c r="E81" s="606">
        <v>0</v>
      </c>
      <c r="F81" s="505">
        <f t="shared" si="6"/>
        <v>73.354166666666671</v>
      </c>
      <c r="G81" s="505">
        <f t="shared" si="7"/>
        <v>146.70833333333334</v>
      </c>
      <c r="H81" s="505">
        <f t="shared" si="8"/>
        <v>220.0625</v>
      </c>
      <c r="I81" s="505">
        <f>T81/1.2</f>
        <v>293.41666666666669</v>
      </c>
      <c r="J81" s="602"/>
      <c r="K81" s="603">
        <f t="shared" si="9"/>
        <v>352.1</v>
      </c>
      <c r="L81" s="598">
        <v>7.5</v>
      </c>
      <c r="M81" s="598">
        <v>42</v>
      </c>
      <c r="N81" s="598">
        <v>16.600000000000001</v>
      </c>
      <c r="O81" s="598">
        <v>14</v>
      </c>
      <c r="P81" s="1">
        <v>14</v>
      </c>
      <c r="Q81" s="1">
        <v>250</v>
      </c>
      <c r="R81" s="1">
        <v>5</v>
      </c>
      <c r="S81" s="1">
        <v>3</v>
      </c>
      <c r="T81" s="1">
        <f>SUM(L81:S81)</f>
        <v>352.1</v>
      </c>
      <c r="AA81" s="1">
        <v>62.5</v>
      </c>
      <c r="AB81" s="12">
        <f t="shared" si="10"/>
        <v>52.083333333333336</v>
      </c>
      <c r="AC81" s="12"/>
      <c r="AD81" s="12"/>
      <c r="AE81" s="12"/>
    </row>
    <row r="82" spans="1:31" s="5" customFormat="1" ht="25.5" customHeight="1">
      <c r="A82" s="161" t="s">
        <v>24</v>
      </c>
      <c r="B82" s="213">
        <v>1020</v>
      </c>
      <c r="C82" s="195">
        <f t="shared" ref="C82:I82" si="11">C7-C13</f>
        <v>18230</v>
      </c>
      <c r="D82" s="508">
        <f t="shared" si="11"/>
        <v>19927</v>
      </c>
      <c r="E82" s="195">
        <f t="shared" si="11"/>
        <v>12941.838597333262</v>
      </c>
      <c r="F82" s="195">
        <f t="shared" si="11"/>
        <v>14011.14081611576</v>
      </c>
      <c r="G82" s="195">
        <f t="shared" si="11"/>
        <v>13749.49422403684</v>
      </c>
      <c r="H82" s="195">
        <f t="shared" si="11"/>
        <v>13556.047727373341</v>
      </c>
      <c r="I82" s="195">
        <f t="shared" si="11"/>
        <v>22738.346685502795</v>
      </c>
      <c r="J82" s="146"/>
      <c r="O82" s="294"/>
      <c r="AB82" s="12"/>
      <c r="AC82" s="12"/>
      <c r="AD82" s="12"/>
      <c r="AE82" s="12"/>
    </row>
    <row r="83" spans="1:31" ht="45.75" customHeight="1">
      <c r="A83" s="269" t="s">
        <v>1109</v>
      </c>
      <c r="B83" s="162">
        <v>1030</v>
      </c>
      <c r="C83" s="505">
        <f t="shared" ref="C83:I83" si="12">C84+C85</f>
        <v>5051</v>
      </c>
      <c r="D83" s="505">
        <f t="shared" si="12"/>
        <v>1</v>
      </c>
      <c r="E83" s="505">
        <f t="shared" si="12"/>
        <v>85982.177534722228</v>
      </c>
      <c r="F83" s="505">
        <f t="shared" si="12"/>
        <v>24525.232604166667</v>
      </c>
      <c r="G83" s="505">
        <f t="shared" si="12"/>
        <v>50277.437194333332</v>
      </c>
      <c r="H83" s="505">
        <f t="shared" si="12"/>
        <v>76029.641784499996</v>
      </c>
      <c r="I83" s="505">
        <f t="shared" si="12"/>
        <v>101781.84637466667</v>
      </c>
      <c r="J83" s="145"/>
      <c r="K83" s="2" t="s">
        <v>708</v>
      </c>
      <c r="AB83" s="12"/>
      <c r="AC83" s="12"/>
      <c r="AD83" s="12"/>
      <c r="AE83" s="12"/>
    </row>
    <row r="84" spans="1:31" s="396" customFormat="1" ht="32.25" customHeight="1">
      <c r="A84" s="269" t="s">
        <v>1062</v>
      </c>
      <c r="B84" s="162" t="s">
        <v>417</v>
      </c>
      <c r="C84" s="183">
        <v>5051</v>
      </c>
      <c r="D84" s="276">
        <v>1</v>
      </c>
      <c r="E84" s="183">
        <f>(61302/3*4)+22876.498/1.2/240+301834.86/240</f>
        <v>83073.077534722222</v>
      </c>
      <c r="F84" s="183">
        <f>(61302/3)+22876.498/1.2/240*3+301834.86/240*3+80</f>
        <v>24525.232604166667</v>
      </c>
      <c r="G84" s="183">
        <f>F84+F84</f>
        <v>49050.465208333335</v>
      </c>
      <c r="H84" s="183">
        <f>G84+F84</f>
        <v>73575.697812500002</v>
      </c>
      <c r="I84" s="183">
        <f>H84+F84</f>
        <v>98100.93041666667</v>
      </c>
      <c r="J84" s="399"/>
      <c r="AB84" s="12"/>
      <c r="AC84" s="12"/>
      <c r="AD84" s="12"/>
      <c r="AE84" s="12"/>
    </row>
    <row r="85" spans="1:31" s="396" customFormat="1" ht="24.75" customHeight="1">
      <c r="A85" s="269" t="s">
        <v>1016</v>
      </c>
      <c r="B85" s="162" t="s">
        <v>1063</v>
      </c>
      <c r="C85" s="183">
        <v>0</v>
      </c>
      <c r="D85" s="183">
        <v>0</v>
      </c>
      <c r="E85" s="183">
        <v>2909.1</v>
      </c>
      <c r="F85" s="183">
        <f>F158</f>
        <v>0</v>
      </c>
      <c r="G85" s="183">
        <f>G158</f>
        <v>1226.9719859999998</v>
      </c>
      <c r="H85" s="183">
        <f>H158</f>
        <v>2453.9439719999996</v>
      </c>
      <c r="I85" s="183">
        <f>I158</f>
        <v>3680.9159579999996</v>
      </c>
      <c r="J85" s="399"/>
      <c r="AB85" s="12"/>
      <c r="AC85" s="12"/>
      <c r="AD85" s="12"/>
      <c r="AE85" s="12"/>
    </row>
    <row r="86" spans="1:31" ht="20.100000000000001" customHeight="1">
      <c r="A86" s="69" t="s">
        <v>233</v>
      </c>
      <c r="B86" s="162">
        <v>1031</v>
      </c>
      <c r="C86" s="183">
        <v>0</v>
      </c>
      <c r="D86" s="183">
        <v>0</v>
      </c>
      <c r="E86" s="183">
        <v>0</v>
      </c>
      <c r="F86" s="183">
        <v>0</v>
      </c>
      <c r="G86" s="183">
        <v>0</v>
      </c>
      <c r="H86" s="183">
        <v>0</v>
      </c>
      <c r="I86" s="183">
        <v>0</v>
      </c>
      <c r="J86" s="145"/>
      <c r="AB86" s="12"/>
      <c r="AC86" s="12"/>
      <c r="AD86" s="12"/>
      <c r="AE86" s="12"/>
    </row>
    <row r="87" spans="1:31" ht="52.5" customHeight="1">
      <c r="A87" s="161" t="s">
        <v>240</v>
      </c>
      <c r="B87" s="162">
        <v>1040</v>
      </c>
      <c r="C87" s="506">
        <f>C88+SUM(C94:C112)+C116</f>
        <v>30849</v>
      </c>
      <c r="D87" s="506">
        <f>D88+SUM(D94:D112)+D116</f>
        <v>10309</v>
      </c>
      <c r="E87" s="506">
        <f>E88+E94+E95+E96+E97+E98+E99+E100+E101+E102+E103+E104+E105+E106+E107+E108+E109+E110+E111+E112+E116</f>
        <v>16771.232960000001</v>
      </c>
      <c r="F87" s="506">
        <f>F88+F94+F95+F96+F97+F98+F99+F100+F101+F102+F103+F104+F105+F106+F107+F108+F109+F110+F111+F112+F116</f>
        <v>2775.2422325500002</v>
      </c>
      <c r="G87" s="506">
        <f>G88+G94+G95+G96+G97+G98+G99+G100+G101+G102+G103+G104+G105+G106+G107+G108+G109+G110+G111+G112+G116</f>
        <v>5452.801802226667</v>
      </c>
      <c r="H87" s="506">
        <f>H88+H94+H95+H96+H97+H98+H99+H100+H101+H102+H103+H104+H105+H106+H107+H108+H109+H110+H111+H112+H116</f>
        <v>8272.5898848100005</v>
      </c>
      <c r="I87" s="506">
        <f>I88+I94+I95+I96+I97+I98+I99+I100+I101+I102+I103+I104+I105+I106+I107+I108+I109+I110+I111+I112+I116</f>
        <v>10944.318239393335</v>
      </c>
      <c r="J87" s="494"/>
      <c r="K87" s="286">
        <f>J87-C87</f>
        <v>-30849</v>
      </c>
      <c r="AB87" s="12"/>
      <c r="AC87" s="12"/>
      <c r="AD87" s="12"/>
      <c r="AE87" s="12"/>
    </row>
    <row r="88" spans="1:31" ht="37.5">
      <c r="A88" s="69" t="s">
        <v>121</v>
      </c>
      <c r="B88" s="162">
        <v>1041</v>
      </c>
      <c r="C88" s="505">
        <v>870</v>
      </c>
      <c r="D88" s="505">
        <v>870</v>
      </c>
      <c r="E88" s="505">
        <v>877</v>
      </c>
      <c r="F88" s="505">
        <f>F89+F90+F91+F92+F93</f>
        <v>304.75070300000004</v>
      </c>
      <c r="G88" s="505">
        <f>G89+G90+G91+G92+G93</f>
        <v>609.50140600000009</v>
      </c>
      <c r="H88" s="505">
        <f>H89+H90+H91+H92+H93</f>
        <v>918.00880619999987</v>
      </c>
      <c r="I88" s="505">
        <f>I89+I90+I91+I92+I93</f>
        <v>1228.0789898</v>
      </c>
      <c r="J88" s="145"/>
      <c r="AB88" s="12"/>
      <c r="AC88" s="12"/>
      <c r="AD88" s="12"/>
      <c r="AE88" s="12"/>
    </row>
    <row r="89" spans="1:31" s="426" customFormat="1" hidden="1">
      <c r="A89" s="427" t="s">
        <v>1041</v>
      </c>
      <c r="B89" s="162" t="s">
        <v>1039</v>
      </c>
      <c r="C89" s="505">
        <v>195</v>
      </c>
      <c r="D89" s="505">
        <v>195</v>
      </c>
      <c r="E89" s="505">
        <f>195+7</f>
        <v>202</v>
      </c>
      <c r="F89" s="505">
        <f>I89/4</f>
        <v>116.175</v>
      </c>
      <c r="G89" s="505">
        <f>I89/4*2</f>
        <v>232.35</v>
      </c>
      <c r="H89" s="505">
        <f>I89/4*3</f>
        <v>348.52499999999998</v>
      </c>
      <c r="I89" s="505">
        <f>464.7</f>
        <v>464.7</v>
      </c>
      <c r="J89" s="429"/>
      <c r="AB89" s="12"/>
      <c r="AC89" s="12"/>
      <c r="AD89" s="12"/>
      <c r="AE89" s="12"/>
    </row>
    <row r="90" spans="1:31" s="647" customFormat="1" hidden="1">
      <c r="A90" s="642" t="s">
        <v>1042</v>
      </c>
      <c r="B90" s="645" t="s">
        <v>1040</v>
      </c>
      <c r="C90" s="643">
        <v>497</v>
      </c>
      <c r="D90" s="643">
        <v>497</v>
      </c>
      <c r="E90" s="643">
        <v>497</v>
      </c>
      <c r="F90" s="643">
        <f>ФОП!U48/1000+ФОП!U50/1000</f>
        <v>76.981650000000002</v>
      </c>
      <c r="G90" s="643">
        <f>ФОП!X48/1000+ФОП!X50/1000+F90</f>
        <v>153.9633</v>
      </c>
      <c r="H90" s="643">
        <f>G90+ФОП!AC48/1000+ФОП!AC50/1000</f>
        <v>234.02420999999998</v>
      </c>
      <c r="I90" s="643">
        <f>H90+ФОП!AH48/1000+ФОП!AH50/1000</f>
        <v>315.36608999999999</v>
      </c>
      <c r="J90" s="646"/>
      <c r="AB90" s="644">
        <f t="shared" ref="AB90:AE92" si="13">F90/5</f>
        <v>15.396330000000001</v>
      </c>
      <c r="AC90" s="644">
        <f t="shared" si="13"/>
        <v>30.792660000000001</v>
      </c>
      <c r="AD90" s="644">
        <f t="shared" si="13"/>
        <v>46.804841999999994</v>
      </c>
      <c r="AE90" s="644">
        <f t="shared" si="13"/>
        <v>63.073217999999997</v>
      </c>
    </row>
    <row r="91" spans="1:31" s="647" customFormat="1" hidden="1">
      <c r="A91" s="642" t="s">
        <v>1043</v>
      </c>
      <c r="B91" s="645" t="s">
        <v>1074</v>
      </c>
      <c r="C91" s="643">
        <v>109</v>
      </c>
      <c r="D91" s="643">
        <v>109</v>
      </c>
      <c r="E91" s="643">
        <v>109</v>
      </c>
      <c r="F91" s="643">
        <f>F90*0.22</f>
        <v>16.935963000000001</v>
      </c>
      <c r="G91" s="643">
        <f>G90*0.22</f>
        <v>33.871926000000002</v>
      </c>
      <c r="H91" s="643">
        <f>H90*0.22</f>
        <v>51.485326199999996</v>
      </c>
      <c r="I91" s="643">
        <f>I90*0.22</f>
        <v>69.380539799999994</v>
      </c>
      <c r="J91" s="646"/>
      <c r="AB91" s="644">
        <f t="shared" si="13"/>
        <v>3.3871926000000001</v>
      </c>
      <c r="AC91" s="644">
        <f t="shared" si="13"/>
        <v>6.7743852000000002</v>
      </c>
      <c r="AD91" s="644">
        <f t="shared" si="13"/>
        <v>10.297065239999998</v>
      </c>
      <c r="AE91" s="644">
        <f t="shared" si="13"/>
        <v>13.876107959999999</v>
      </c>
    </row>
    <row r="92" spans="1:31" s="426" customFormat="1" hidden="1">
      <c r="A92" s="427" t="s">
        <v>214</v>
      </c>
      <c r="B92" s="162" t="s">
        <v>1075</v>
      </c>
      <c r="C92" s="505">
        <v>69</v>
      </c>
      <c r="D92" s="505">
        <v>69</v>
      </c>
      <c r="E92" s="505">
        <v>69</v>
      </c>
      <c r="F92" s="505">
        <f>I92/4</f>
        <v>71.682180000000002</v>
      </c>
      <c r="G92" s="505">
        <f>I92/4*2</f>
        <v>143.36436</v>
      </c>
      <c r="H92" s="505">
        <f>I92/4*3</f>
        <v>215.04653999999999</v>
      </c>
      <c r="I92" s="505">
        <f>286.72872</f>
        <v>286.72872000000001</v>
      </c>
      <c r="J92" s="429"/>
      <c r="AB92" s="12">
        <f t="shared" si="13"/>
        <v>14.336436000000001</v>
      </c>
      <c r="AC92" s="12">
        <f t="shared" si="13"/>
        <v>28.672872000000002</v>
      </c>
      <c r="AD92" s="12">
        <f t="shared" si="13"/>
        <v>43.009307999999997</v>
      </c>
      <c r="AE92" s="12">
        <f t="shared" si="13"/>
        <v>57.345744000000003</v>
      </c>
    </row>
    <row r="93" spans="1:31" s="426" customFormat="1" hidden="1">
      <c r="A93" s="427" t="s">
        <v>1044</v>
      </c>
      <c r="B93" s="162" t="s">
        <v>1076</v>
      </c>
      <c r="C93" s="505">
        <v>0</v>
      </c>
      <c r="D93" s="505">
        <v>0</v>
      </c>
      <c r="E93" s="505">
        <v>0</v>
      </c>
      <c r="F93" s="505">
        <f>I93/4</f>
        <v>22.975909999999999</v>
      </c>
      <c r="G93" s="505">
        <f>I93/4*2</f>
        <v>45.951819999999998</v>
      </c>
      <c r="H93" s="505">
        <f>I93/4*3</f>
        <v>68.927729999999997</v>
      </c>
      <c r="I93" s="505">
        <v>91.903639999999996</v>
      </c>
      <c r="J93" s="429"/>
      <c r="AB93" s="12"/>
      <c r="AC93" s="12"/>
      <c r="AD93" s="12"/>
      <c r="AE93" s="12"/>
    </row>
    <row r="94" spans="1:31" ht="40.5" customHeight="1">
      <c r="A94" s="69" t="s">
        <v>223</v>
      </c>
      <c r="B94" s="162">
        <v>1042</v>
      </c>
      <c r="C94" s="183">
        <v>0</v>
      </c>
      <c r="D94" s="276">
        <v>0</v>
      </c>
      <c r="E94" s="183">
        <v>0</v>
      </c>
      <c r="F94" s="183">
        <v>0</v>
      </c>
      <c r="G94" s="183">
        <v>0</v>
      </c>
      <c r="H94" s="183">
        <v>0</v>
      </c>
      <c r="I94" s="183">
        <v>0</v>
      </c>
      <c r="J94" s="145"/>
      <c r="AB94" s="12"/>
      <c r="AC94" s="12"/>
      <c r="AD94" s="12"/>
      <c r="AE94" s="12"/>
    </row>
    <row r="95" spans="1:31" ht="30" customHeight="1">
      <c r="A95" s="69" t="s">
        <v>66</v>
      </c>
      <c r="B95" s="162">
        <v>1043</v>
      </c>
      <c r="C95" s="183">
        <v>0</v>
      </c>
      <c r="D95" s="276">
        <v>0</v>
      </c>
      <c r="E95" s="183">
        <v>0</v>
      </c>
      <c r="F95" s="183">
        <v>0</v>
      </c>
      <c r="G95" s="183">
        <v>0</v>
      </c>
      <c r="H95" s="183">
        <v>0</v>
      </c>
      <c r="I95" s="183">
        <v>0</v>
      </c>
      <c r="J95" s="145"/>
      <c r="AB95" s="12"/>
      <c r="AC95" s="12"/>
      <c r="AD95" s="12"/>
      <c r="AE95" s="12"/>
    </row>
    <row r="96" spans="1:31" ht="41.25" customHeight="1">
      <c r="A96" s="69" t="s">
        <v>22</v>
      </c>
      <c r="B96" s="162">
        <v>1044</v>
      </c>
      <c r="C96" s="183">
        <v>0</v>
      </c>
      <c r="D96" s="276">
        <v>0</v>
      </c>
      <c r="E96" s="183">
        <v>0</v>
      </c>
      <c r="F96" s="183">
        <v>0</v>
      </c>
      <c r="G96" s="183">
        <v>0</v>
      </c>
      <c r="H96" s="183">
        <v>0</v>
      </c>
      <c r="I96" s="183">
        <v>0</v>
      </c>
      <c r="J96" s="145"/>
      <c r="AB96" s="12"/>
      <c r="AC96" s="12"/>
      <c r="AD96" s="12"/>
      <c r="AE96" s="12"/>
    </row>
    <row r="97" spans="1:31" ht="34.5" customHeight="1">
      <c r="A97" s="69" t="s">
        <v>23</v>
      </c>
      <c r="B97" s="162">
        <v>1045</v>
      </c>
      <c r="C97" s="183">
        <v>0</v>
      </c>
      <c r="D97" s="276">
        <v>83</v>
      </c>
      <c r="E97" s="183">
        <v>0</v>
      </c>
      <c r="F97" s="183">
        <v>0</v>
      </c>
      <c r="G97" s="183">
        <v>0</v>
      </c>
      <c r="H97" s="183">
        <v>100</v>
      </c>
      <c r="I97" s="183">
        <v>200</v>
      </c>
      <c r="J97" s="145"/>
      <c r="AA97" s="196"/>
      <c r="AB97" s="196"/>
      <c r="AC97" s="196"/>
      <c r="AD97" s="196"/>
      <c r="AE97" s="196">
        <f>J100+J90</f>
        <v>0</v>
      </c>
    </row>
    <row r="98" spans="1:31" s="1" customFormat="1" ht="30" customHeight="1">
      <c r="A98" s="69" t="s">
        <v>41</v>
      </c>
      <c r="B98" s="162">
        <v>1046</v>
      </c>
      <c r="C98" s="183">
        <v>4</v>
      </c>
      <c r="D98" s="276"/>
      <c r="E98" s="183">
        <v>0</v>
      </c>
      <c r="F98" s="183">
        <v>0</v>
      </c>
      <c r="G98" s="505">
        <v>0</v>
      </c>
      <c r="H98" s="505">
        <v>0</v>
      </c>
      <c r="I98" s="505">
        <v>0</v>
      </c>
      <c r="J98" s="145"/>
      <c r="K98" s="1">
        <f>4.543</f>
        <v>4.5430000000000001</v>
      </c>
      <c r="AB98" s="12"/>
      <c r="AC98" s="12"/>
      <c r="AD98" s="12"/>
      <c r="AE98" s="12"/>
    </row>
    <row r="99" spans="1:31" s="1" customFormat="1" ht="33" customHeight="1">
      <c r="A99" s="69" t="s">
        <v>42</v>
      </c>
      <c r="B99" s="162">
        <v>1047</v>
      </c>
      <c r="C99" s="183">
        <v>27</v>
      </c>
      <c r="D99" s="276">
        <v>32</v>
      </c>
      <c r="E99" s="183">
        <f>49/3*4</f>
        <v>65.333333333333329</v>
      </c>
      <c r="F99" s="183">
        <f>70/4</f>
        <v>17.5</v>
      </c>
      <c r="G99" s="183">
        <f>F99*2</f>
        <v>35</v>
      </c>
      <c r="H99" s="183">
        <f>F99*3</f>
        <v>52.5</v>
      </c>
      <c r="I99" s="183">
        <f>F99*4</f>
        <v>70</v>
      </c>
      <c r="J99" s="145"/>
      <c r="K99" s="435">
        <f>F101+F91</f>
        <v>258.32315999999997</v>
      </c>
      <c r="AB99" s="12"/>
      <c r="AC99" s="12"/>
      <c r="AD99" s="12"/>
      <c r="AE99" s="12"/>
    </row>
    <row r="100" spans="1:31" s="1" customFormat="1" ht="37.5" customHeight="1">
      <c r="A100" s="817" t="s">
        <v>43</v>
      </c>
      <c r="B100" s="162">
        <v>1048</v>
      </c>
      <c r="C100" s="183">
        <v>22602</v>
      </c>
      <c r="D100" s="183">
        <v>6089</v>
      </c>
      <c r="E100" s="183">
        <f>7182/3*4</f>
        <v>9576</v>
      </c>
      <c r="F100" s="183">
        <f>ФОП!U184/1000-F90</f>
        <v>1126.9628400000001</v>
      </c>
      <c r="G100" s="183">
        <f>ФОП!U184/1000+ФОП!X184/1000-G90</f>
        <v>2253.9256800000003</v>
      </c>
      <c r="H100" s="183">
        <f>ФОП!U184/1000+ФОП!X184/1000+ФОП!AC184/1000-H90</f>
        <v>3425.9670300000002</v>
      </c>
      <c r="I100" s="183">
        <f>ФОП!U184/1000+ФОП!X184/1000+ФОП!AC184/1000+ФОП!AH184/1000-I90</f>
        <v>4616.7610199999999</v>
      </c>
      <c r="J100" s="820"/>
      <c r="AB100" s="12">
        <f t="shared" ref="AB100:AE101" si="14">F100/5</f>
        <v>225.39256800000004</v>
      </c>
      <c r="AC100" s="12">
        <f t="shared" si="14"/>
        <v>450.78513600000008</v>
      </c>
      <c r="AD100" s="12">
        <f t="shared" si="14"/>
        <v>685.1934060000001</v>
      </c>
      <c r="AE100" s="12">
        <f t="shared" si="14"/>
        <v>923.35220400000003</v>
      </c>
    </row>
    <row r="101" spans="1:31" s="1" customFormat="1" ht="32.25" customHeight="1">
      <c r="A101" s="817" t="s">
        <v>44</v>
      </c>
      <c r="B101" s="162">
        <v>1049</v>
      </c>
      <c r="C101" s="183">
        <v>5015</v>
      </c>
      <c r="D101" s="183">
        <v>1340</v>
      </c>
      <c r="E101" s="183">
        <f>E100*0.22*0.96+E100*0.08*0.04</f>
        <v>2053.0944</v>
      </c>
      <c r="F101" s="183">
        <f>ФОП!U186/1000-F91</f>
        <v>241.38719699999996</v>
      </c>
      <c r="G101" s="183">
        <f>ФОП!U186/1000+ФОП!X186/1000-G91</f>
        <v>482.77439399999992</v>
      </c>
      <c r="H101" s="183">
        <f>ФОП!U186/1000+ФОП!X186/1000+ФОП!AC186/1000-H91</f>
        <v>733.81704379999985</v>
      </c>
      <c r="I101" s="183">
        <f>ФОП!U186/1000+ФОП!X186/1000+ФОП!AC186/1000+ФОП!AH186/1000-I91</f>
        <v>988.87639020000006</v>
      </c>
      <c r="J101" s="820"/>
      <c r="K101" s="301" t="s">
        <v>710</v>
      </c>
      <c r="L101" s="301" t="s">
        <v>711</v>
      </c>
      <c r="M101" s="301" t="s">
        <v>712</v>
      </c>
      <c r="N101" s="301" t="s">
        <v>713</v>
      </c>
      <c r="O101" s="301"/>
      <c r="P101" s="301" t="s">
        <v>714</v>
      </c>
      <c r="Q101" s="301" t="s">
        <v>715</v>
      </c>
      <c r="R101" s="301" t="s">
        <v>716</v>
      </c>
      <c r="S101" s="301" t="s">
        <v>717</v>
      </c>
      <c r="T101" s="301" t="s">
        <v>718</v>
      </c>
      <c r="U101" s="301" t="s">
        <v>719</v>
      </c>
      <c r="V101" s="301"/>
      <c r="AB101" s="12">
        <f t="shared" si="14"/>
        <v>48.277439399999992</v>
      </c>
      <c r="AC101" s="12">
        <f t="shared" si="14"/>
        <v>96.554878799999983</v>
      </c>
      <c r="AD101" s="12">
        <f t="shared" si="14"/>
        <v>146.76340875999998</v>
      </c>
      <c r="AE101" s="12">
        <f t="shared" si="14"/>
        <v>197.77527804000002</v>
      </c>
    </row>
    <row r="102" spans="1:31" s="1" customFormat="1" ht="37.5">
      <c r="A102" s="492" t="s">
        <v>45</v>
      </c>
      <c r="B102" s="162">
        <v>1050</v>
      </c>
      <c r="C102" s="183">
        <v>16</v>
      </c>
      <c r="D102" s="276">
        <v>1052</v>
      </c>
      <c r="E102" s="183">
        <f>(693-K102/1000*5)/9*12+K102/1000*8</f>
        <v>949.23889333333329</v>
      </c>
      <c r="F102" s="183">
        <f>G102/2</f>
        <v>86.666666666666671</v>
      </c>
      <c r="G102" s="183">
        <f>H102/3*2</f>
        <v>173.33333333333334</v>
      </c>
      <c r="H102" s="183">
        <v>260</v>
      </c>
      <c r="I102" s="183">
        <f>H102/3*4</f>
        <v>346.66666666666669</v>
      </c>
      <c r="J102" s="145"/>
      <c r="K102" s="301">
        <v>18929.169999999998</v>
      </c>
      <c r="L102" s="301">
        <v>79407.05</v>
      </c>
      <c r="M102" s="301">
        <v>51743.65</v>
      </c>
      <c r="N102" s="301">
        <v>19358.259999999998</v>
      </c>
      <c r="O102" s="301"/>
      <c r="P102" s="301">
        <v>16087.61</v>
      </c>
      <c r="Q102" s="301">
        <v>91551.92</v>
      </c>
      <c r="R102" s="301">
        <v>27149.15</v>
      </c>
      <c r="S102" s="301">
        <v>8927.9500000000007</v>
      </c>
      <c r="T102" s="301">
        <v>21063.78</v>
      </c>
      <c r="U102" s="301">
        <v>21063.78</v>
      </c>
      <c r="V102" s="301"/>
      <c r="AA102" s="610" t="s">
        <v>1099</v>
      </c>
      <c r="AB102" s="12">
        <f t="shared" ref="AB102:AB107" si="15">F102/5</f>
        <v>17.333333333333336</v>
      </c>
      <c r="AC102" s="12">
        <f t="shared" ref="AC102:AC107" si="16">G102/5</f>
        <v>34.666666666666671</v>
      </c>
      <c r="AD102" s="12">
        <f t="shared" ref="AD102:AD107" si="17">H102/5</f>
        <v>52</v>
      </c>
      <c r="AE102" s="12">
        <f t="shared" ref="AE102:AE107" si="18">I102/5</f>
        <v>69.333333333333343</v>
      </c>
    </row>
    <row r="103" spans="1:31" s="1" customFormat="1" ht="56.25">
      <c r="A103" s="492" t="s">
        <v>46</v>
      </c>
      <c r="B103" s="162">
        <v>1051</v>
      </c>
      <c r="C103" s="183">
        <v>0</v>
      </c>
      <c r="D103" s="276">
        <v>12</v>
      </c>
      <c r="E103" s="183">
        <v>0</v>
      </c>
      <c r="F103" s="183">
        <v>0</v>
      </c>
      <c r="G103" s="183">
        <v>0</v>
      </c>
      <c r="H103" s="183">
        <v>0</v>
      </c>
      <c r="I103" s="183">
        <v>0</v>
      </c>
      <c r="J103" s="295"/>
      <c r="AB103" s="12">
        <f t="shared" si="15"/>
        <v>0</v>
      </c>
      <c r="AC103" s="12">
        <f t="shared" si="16"/>
        <v>0</v>
      </c>
      <c r="AD103" s="12">
        <f t="shared" si="17"/>
        <v>0</v>
      </c>
      <c r="AE103" s="12">
        <f t="shared" si="18"/>
        <v>0</v>
      </c>
    </row>
    <row r="104" spans="1:31" s="1" customFormat="1" ht="37.5">
      <c r="A104" s="69" t="s">
        <v>47</v>
      </c>
      <c r="B104" s="162">
        <v>1052</v>
      </c>
      <c r="C104" s="183">
        <v>219</v>
      </c>
      <c r="D104" s="276">
        <v>0</v>
      </c>
      <c r="E104" s="634">
        <v>0</v>
      </c>
      <c r="F104" s="183">
        <v>0</v>
      </c>
      <c r="G104" s="183">
        <v>0</v>
      </c>
      <c r="H104" s="183">
        <v>0</v>
      </c>
      <c r="I104" s="183">
        <v>0</v>
      </c>
      <c r="AB104" s="12">
        <f t="shared" si="15"/>
        <v>0</v>
      </c>
      <c r="AC104" s="12">
        <f t="shared" si="16"/>
        <v>0</v>
      </c>
      <c r="AD104" s="12">
        <f t="shared" si="17"/>
        <v>0</v>
      </c>
      <c r="AE104" s="12">
        <f t="shared" si="18"/>
        <v>0</v>
      </c>
    </row>
    <row r="105" spans="1:31" s="1" customFormat="1" ht="37.5">
      <c r="A105" s="69" t="s">
        <v>48</v>
      </c>
      <c r="B105" s="162">
        <v>1053</v>
      </c>
      <c r="C105" s="183">
        <v>0</v>
      </c>
      <c r="D105" s="276">
        <v>0</v>
      </c>
      <c r="E105" s="183">
        <v>0</v>
      </c>
      <c r="F105" s="183">
        <v>0</v>
      </c>
      <c r="G105" s="505">
        <v>0</v>
      </c>
      <c r="H105" s="505">
        <v>0</v>
      </c>
      <c r="I105" s="505">
        <v>0</v>
      </c>
      <c r="J105" s="145"/>
      <c r="AB105" s="12">
        <f t="shared" si="15"/>
        <v>0</v>
      </c>
      <c r="AC105" s="12">
        <f t="shared" si="16"/>
        <v>0</v>
      </c>
      <c r="AD105" s="12">
        <f t="shared" si="17"/>
        <v>0</v>
      </c>
      <c r="AE105" s="12">
        <f t="shared" si="18"/>
        <v>0</v>
      </c>
    </row>
    <row r="106" spans="1:31" s="1" customFormat="1" ht="30.75" customHeight="1">
      <c r="A106" s="69" t="s">
        <v>49</v>
      </c>
      <c r="B106" s="162">
        <v>1054</v>
      </c>
      <c r="C106" s="183">
        <v>0</v>
      </c>
      <c r="D106" s="276">
        <v>0</v>
      </c>
      <c r="E106" s="183">
        <v>0</v>
      </c>
      <c r="F106" s="183">
        <v>0</v>
      </c>
      <c r="G106" s="183">
        <v>0</v>
      </c>
      <c r="H106" s="183">
        <v>0</v>
      </c>
      <c r="I106" s="183">
        <v>0</v>
      </c>
      <c r="J106" s="145"/>
      <c r="K106" s="1" t="s">
        <v>721</v>
      </c>
      <c r="L106" s="1" t="s">
        <v>722</v>
      </c>
      <c r="M106" s="1" t="s">
        <v>723</v>
      </c>
      <c r="P106" s="1" t="s">
        <v>724</v>
      </c>
      <c r="Q106" s="1" t="s">
        <v>722</v>
      </c>
      <c r="R106" s="1" t="s">
        <v>723</v>
      </c>
      <c r="S106" s="1" t="s">
        <v>725</v>
      </c>
      <c r="T106" s="1" t="s">
        <v>726</v>
      </c>
      <c r="U106" s="1" t="s">
        <v>727</v>
      </c>
      <c r="V106" s="1" t="s">
        <v>712</v>
      </c>
      <c r="W106" s="1" t="s">
        <v>729</v>
      </c>
      <c r="X106" s="1" t="s">
        <v>730</v>
      </c>
      <c r="Z106" s="1" t="s">
        <v>972</v>
      </c>
      <c r="AB106" s="12">
        <f t="shared" si="15"/>
        <v>0</v>
      </c>
      <c r="AC106" s="12">
        <f t="shared" si="16"/>
        <v>0</v>
      </c>
      <c r="AD106" s="12">
        <f t="shared" si="17"/>
        <v>0</v>
      </c>
      <c r="AE106" s="12">
        <f t="shared" si="18"/>
        <v>0</v>
      </c>
    </row>
    <row r="107" spans="1:31" s="1" customFormat="1" ht="30.75" customHeight="1">
      <c r="A107" s="69" t="s">
        <v>70</v>
      </c>
      <c r="B107" s="162">
        <v>1055</v>
      </c>
      <c r="C107" s="183">
        <v>95</v>
      </c>
      <c r="D107" s="276">
        <v>250</v>
      </c>
      <c r="E107" s="183">
        <f>408+(K107+L107+M107)/1000</f>
        <v>444.83299999999997</v>
      </c>
      <c r="F107" s="183">
        <f>(P107*3+Q107+R107*3+S107*3+T107+U107*3+Z107)/1000</f>
        <v>37.133000000000003</v>
      </c>
      <c r="G107" s="183">
        <f>F107*2</f>
        <v>74.266000000000005</v>
      </c>
      <c r="H107" s="183">
        <f>F107*3</f>
        <v>111.399</v>
      </c>
      <c r="I107" s="183">
        <f>F107*4</f>
        <v>148.53200000000001</v>
      </c>
      <c r="J107" s="145"/>
      <c r="K107" s="1">
        <v>11000</v>
      </c>
      <c r="L107" s="1">
        <v>833</v>
      </c>
      <c r="M107" s="1">
        <v>25000</v>
      </c>
      <c r="O107" s="1" t="s">
        <v>728</v>
      </c>
      <c r="P107" s="1">
        <v>0</v>
      </c>
      <c r="Q107" s="1">
        <v>833</v>
      </c>
      <c r="R107" s="1">
        <f>25000/3</f>
        <v>8333.3333333333339</v>
      </c>
      <c r="S107" s="1">
        <f>1000/3</f>
        <v>333.33333333333331</v>
      </c>
      <c r="T107" s="1">
        <v>800</v>
      </c>
      <c r="U107" s="1">
        <f>20000/12</f>
        <v>1666.6666666666667</v>
      </c>
      <c r="Z107" s="1">
        <v>4500</v>
      </c>
      <c r="AB107" s="12">
        <f t="shared" si="15"/>
        <v>7.4266000000000005</v>
      </c>
      <c r="AC107" s="12">
        <f t="shared" si="16"/>
        <v>14.853200000000001</v>
      </c>
      <c r="AD107" s="12">
        <f t="shared" si="17"/>
        <v>22.279800000000002</v>
      </c>
      <c r="AE107" s="12">
        <f t="shared" si="18"/>
        <v>29.706400000000002</v>
      </c>
    </row>
    <row r="108" spans="1:31" s="1" customFormat="1" ht="20.100000000000001" customHeight="1">
      <c r="A108" s="69" t="s">
        <v>50</v>
      </c>
      <c r="B108" s="162">
        <v>1056</v>
      </c>
      <c r="C108" s="183">
        <v>0</v>
      </c>
      <c r="D108" s="276">
        <v>0</v>
      </c>
      <c r="E108" s="183">
        <v>0</v>
      </c>
      <c r="F108" s="183">
        <f>P108*3/1000</f>
        <v>49.75</v>
      </c>
      <c r="G108" s="505">
        <f>F108*2</f>
        <v>99.5</v>
      </c>
      <c r="H108" s="505">
        <f>F108*3</f>
        <v>149.25</v>
      </c>
      <c r="I108" s="505">
        <f>F108*4</f>
        <v>199</v>
      </c>
      <c r="J108" s="145"/>
      <c r="P108" s="1">
        <f>199000/12</f>
        <v>16583.333333333332</v>
      </c>
      <c r="AB108" s="12">
        <f>F108/5</f>
        <v>9.9499999999999993</v>
      </c>
      <c r="AC108" s="12">
        <f>G108/5</f>
        <v>19.899999999999999</v>
      </c>
      <c r="AD108" s="12">
        <f>H108/5</f>
        <v>29.85</v>
      </c>
      <c r="AE108" s="12">
        <f>I108/5</f>
        <v>39.799999999999997</v>
      </c>
    </row>
    <row r="109" spans="1:31" s="1" customFormat="1" ht="20.100000000000001" customHeight="1">
      <c r="A109" s="386" t="s">
        <v>51</v>
      </c>
      <c r="B109" s="162">
        <v>1057</v>
      </c>
      <c r="C109" s="183">
        <v>0</v>
      </c>
      <c r="D109" s="183">
        <v>0</v>
      </c>
      <c r="E109" s="183">
        <v>0</v>
      </c>
      <c r="F109" s="183">
        <v>15</v>
      </c>
      <c r="G109" s="183">
        <f>F109</f>
        <v>15</v>
      </c>
      <c r="H109" s="183">
        <f>G109</f>
        <v>15</v>
      </c>
      <c r="I109" s="183">
        <f>H109</f>
        <v>15</v>
      </c>
      <c r="J109" s="145"/>
      <c r="K109" s="1" t="s">
        <v>924</v>
      </c>
      <c r="AB109" s="12"/>
      <c r="AC109" s="12"/>
      <c r="AD109" s="12"/>
      <c r="AE109" s="12"/>
    </row>
    <row r="110" spans="1:31" s="1" customFormat="1" ht="37.5">
      <c r="A110" s="69" t="s">
        <v>52</v>
      </c>
      <c r="B110" s="162">
        <v>1058</v>
      </c>
      <c r="C110" s="183">
        <v>28</v>
      </c>
      <c r="D110" s="276">
        <v>25</v>
      </c>
      <c r="E110" s="183">
        <f>54/3*4</f>
        <v>72</v>
      </c>
      <c r="F110" s="183">
        <v>19</v>
      </c>
      <c r="G110" s="183">
        <v>21</v>
      </c>
      <c r="H110" s="183">
        <v>23</v>
      </c>
      <c r="I110" s="183">
        <v>25</v>
      </c>
      <c r="J110" s="145"/>
      <c r="AB110" s="12"/>
      <c r="AC110" s="12"/>
      <c r="AD110" s="12"/>
      <c r="AE110" s="12"/>
    </row>
    <row r="111" spans="1:31" s="1" customFormat="1" ht="50.25" customHeight="1">
      <c r="A111" s="69" t="s">
        <v>53</v>
      </c>
      <c r="B111" s="162">
        <v>1059</v>
      </c>
      <c r="C111" s="183">
        <v>0</v>
      </c>
      <c r="D111" s="276">
        <v>0</v>
      </c>
      <c r="E111" s="183">
        <v>3</v>
      </c>
      <c r="F111" s="183">
        <f>6</f>
        <v>6</v>
      </c>
      <c r="G111" s="183">
        <f>F111*2</f>
        <v>12</v>
      </c>
      <c r="H111" s="183">
        <f>F111*3</f>
        <v>18</v>
      </c>
      <c r="I111" s="183">
        <f>F111*4</f>
        <v>24</v>
      </c>
      <c r="J111" s="145"/>
      <c r="AB111" s="12"/>
      <c r="AC111" s="12"/>
      <c r="AD111" s="12"/>
      <c r="AE111" s="12"/>
    </row>
    <row r="112" spans="1:31" s="12" customFormat="1" ht="81" customHeight="1">
      <c r="A112" s="599" t="s">
        <v>83</v>
      </c>
      <c r="B112" s="162">
        <v>1060</v>
      </c>
      <c r="C112" s="183">
        <v>735</v>
      </c>
      <c r="D112" s="183">
        <v>256</v>
      </c>
      <c r="E112" s="183">
        <f>E113+E114</f>
        <v>1114.6666666666667</v>
      </c>
      <c r="F112" s="183">
        <f>F113+F114</f>
        <v>386.66666666666669</v>
      </c>
      <c r="G112" s="183">
        <f>G113+G114</f>
        <v>773.33333333333337</v>
      </c>
      <c r="H112" s="183">
        <f>H113+H114</f>
        <v>1160</v>
      </c>
      <c r="I112" s="183">
        <f>I113+I114</f>
        <v>1346.6666666666667</v>
      </c>
      <c r="J112" s="146"/>
      <c r="K112" s="12">
        <v>5.9720000000000004</v>
      </c>
      <c r="L112" s="12">
        <f>93.47008</f>
        <v>93.470079999999996</v>
      </c>
    </row>
    <row r="113" spans="1:31" s="1" customFormat="1" ht="32.25" customHeight="1">
      <c r="A113" s="599" t="s">
        <v>980</v>
      </c>
      <c r="B113" s="162" t="s">
        <v>1045</v>
      </c>
      <c r="C113" s="183">
        <v>0</v>
      </c>
      <c r="D113" s="183">
        <v>0</v>
      </c>
      <c r="E113" s="183">
        <f>836/3*4</f>
        <v>1114.6666666666667</v>
      </c>
      <c r="F113" s="183">
        <f>35/3*4/4</f>
        <v>11.666666666666666</v>
      </c>
      <c r="G113" s="183">
        <f>F113+F113</f>
        <v>23.333333333333332</v>
      </c>
      <c r="H113" s="183">
        <f>G113+F113</f>
        <v>35</v>
      </c>
      <c r="I113" s="183">
        <f>H113+F113</f>
        <v>46.666666666666664</v>
      </c>
      <c r="J113" s="399"/>
      <c r="AB113" s="12"/>
      <c r="AC113" s="12"/>
      <c r="AD113" s="12"/>
      <c r="AE113" s="12"/>
    </row>
    <row r="114" spans="1:31" s="1" customFormat="1" ht="45" customHeight="1">
      <c r="A114" s="599" t="s">
        <v>54</v>
      </c>
      <c r="B114" s="162" t="s">
        <v>1077</v>
      </c>
      <c r="C114" s="183">
        <v>0</v>
      </c>
      <c r="D114" s="276">
        <v>0</v>
      </c>
      <c r="E114" s="183">
        <v>0</v>
      </c>
      <c r="F114" s="183">
        <f>F115</f>
        <v>375</v>
      </c>
      <c r="G114" s="183">
        <f>G115</f>
        <v>750</v>
      </c>
      <c r="H114" s="183">
        <f>H115</f>
        <v>1125</v>
      </c>
      <c r="I114" s="183">
        <f>I115</f>
        <v>1300</v>
      </c>
      <c r="J114" s="145"/>
      <c r="AB114" s="12"/>
      <c r="AC114" s="12"/>
      <c r="AD114" s="12"/>
      <c r="AE114" s="12"/>
    </row>
    <row r="115" spans="1:31" s="1" customFormat="1" ht="45" hidden="1" customHeight="1">
      <c r="A115" s="599" t="s">
        <v>979</v>
      </c>
      <c r="B115" s="162"/>
      <c r="C115" s="183"/>
      <c r="D115" s="276"/>
      <c r="E115" s="183"/>
      <c r="F115" s="183">
        <f>1500000/4/1000</f>
        <v>375</v>
      </c>
      <c r="G115" s="183">
        <f>F115+F115</f>
        <v>750</v>
      </c>
      <c r="H115" s="183">
        <f>G115+F115</f>
        <v>1125</v>
      </c>
      <c r="I115" s="183">
        <f>F115+H115-200</f>
        <v>1300</v>
      </c>
      <c r="J115" s="399"/>
      <c r="AB115" s="12"/>
      <c r="AC115" s="12"/>
      <c r="AD115" s="12"/>
      <c r="AE115" s="12"/>
    </row>
    <row r="116" spans="1:31" s="12" customFormat="1">
      <c r="A116" s="599" t="s">
        <v>667</v>
      </c>
      <c r="B116" s="162">
        <v>1061</v>
      </c>
      <c r="C116" s="505">
        <f>C117+C118+C119+C120+C121+C126+C127+C128+C129+C130+C131+C132</f>
        <v>1238</v>
      </c>
      <c r="D116" s="276">
        <v>300</v>
      </c>
      <c r="E116" s="505">
        <f>E117+E118+E119+E121+E126+E128+E129+E130</f>
        <v>1616.0666666666666</v>
      </c>
      <c r="F116" s="505">
        <f>F117+F118+F119+F121+F126+F128+F129+F130</f>
        <v>484.42515921666666</v>
      </c>
      <c r="G116" s="505">
        <f>G117+G118+G119+G121+G126+G128+G129+G130</f>
        <v>903.16765555999996</v>
      </c>
      <c r="H116" s="505">
        <f>H117+H118+H119+H121+H126+H128+H129+H130</f>
        <v>1305.6480048099997</v>
      </c>
      <c r="I116" s="505">
        <f>I117+I118+I119+I121+I126+I128+I129+I130</f>
        <v>1735.73650606</v>
      </c>
      <c r="J116" s="146"/>
    </row>
    <row r="117" spans="1:31" s="1" customFormat="1" ht="35.25" customHeight="1">
      <c r="A117" s="810" t="s">
        <v>1138</v>
      </c>
      <c r="B117" s="162" t="s">
        <v>1096</v>
      </c>
      <c r="C117" s="183">
        <v>961</v>
      </c>
      <c r="D117" s="276">
        <v>300</v>
      </c>
      <c r="E117" s="183">
        <f>719/3*4</f>
        <v>958.66666666666663</v>
      </c>
      <c r="F117" s="183">
        <f>E117/4+60</f>
        <v>299.66666666666663</v>
      </c>
      <c r="G117" s="183">
        <f>F117+F117</f>
        <v>599.33333333333326</v>
      </c>
      <c r="H117" s="183">
        <f>G117+F117</f>
        <v>898.99999999999989</v>
      </c>
      <c r="I117" s="183">
        <f>H117+F117-90</f>
        <v>1108.6666666666665</v>
      </c>
      <c r="J117" s="270"/>
      <c r="AB117" s="12">
        <f>F117/5</f>
        <v>59.933333333333323</v>
      </c>
      <c r="AC117" s="12">
        <f>G117/5</f>
        <v>119.86666666666665</v>
      </c>
      <c r="AD117" s="12">
        <f>H117/5</f>
        <v>179.79999999999998</v>
      </c>
      <c r="AE117" s="12">
        <f>I117/5</f>
        <v>221.73333333333329</v>
      </c>
    </row>
    <row r="118" spans="1:31" s="1" customFormat="1" ht="27.75" customHeight="1">
      <c r="A118" s="599" t="s">
        <v>666</v>
      </c>
      <c r="B118" s="162" t="s">
        <v>1046</v>
      </c>
      <c r="C118" s="183">
        <v>277</v>
      </c>
      <c r="D118" s="276">
        <v>0</v>
      </c>
      <c r="E118" s="183">
        <f>52/3*4</f>
        <v>69.333333333333329</v>
      </c>
      <c r="F118" s="183">
        <f>25/4</f>
        <v>6.25</v>
      </c>
      <c r="G118" s="183">
        <v>12</v>
      </c>
      <c r="H118" s="183">
        <f>G118+F118</f>
        <v>18.25</v>
      </c>
      <c r="I118" s="183">
        <f>H118+F118</f>
        <v>24.5</v>
      </c>
      <c r="J118" s="270"/>
      <c r="AB118" s="12">
        <f t="shared" ref="AB118:AB153" si="19">F118/5</f>
        <v>1.25</v>
      </c>
      <c r="AC118" s="12">
        <f t="shared" ref="AC118:AC153" si="20">G118/5</f>
        <v>2.4</v>
      </c>
      <c r="AD118" s="12">
        <f t="shared" ref="AD118:AD153" si="21">H118/5</f>
        <v>3.65</v>
      </c>
      <c r="AE118" s="12">
        <f t="shared" ref="AE118:AE153" si="22">I118/5</f>
        <v>4.9000000000000004</v>
      </c>
    </row>
    <row r="119" spans="1:31" s="1" customFormat="1" ht="27.75" customHeight="1">
      <c r="A119" s="599" t="s">
        <v>981</v>
      </c>
      <c r="B119" s="162" t="s">
        <v>1097</v>
      </c>
      <c r="C119" s="183">
        <v>0</v>
      </c>
      <c r="D119" s="276">
        <v>0</v>
      </c>
      <c r="E119" s="183">
        <v>0</v>
      </c>
      <c r="F119" s="183">
        <v>6</v>
      </c>
      <c r="G119" s="183">
        <v>6</v>
      </c>
      <c r="H119" s="183">
        <v>6</v>
      </c>
      <c r="I119" s="183">
        <v>6</v>
      </c>
      <c r="J119" s="284"/>
      <c r="K119" s="1">
        <v>33.346499999999999</v>
      </c>
      <c r="AB119" s="12">
        <f t="shared" si="19"/>
        <v>1.2</v>
      </c>
      <c r="AC119" s="12">
        <f t="shared" si="20"/>
        <v>1.2</v>
      </c>
      <c r="AD119" s="12">
        <f t="shared" si="21"/>
        <v>1.2</v>
      </c>
      <c r="AE119" s="12">
        <f t="shared" si="22"/>
        <v>1.2</v>
      </c>
    </row>
    <row r="120" spans="1:31" s="1" customFormat="1" ht="27.75" hidden="1" customHeight="1">
      <c r="A120" s="599" t="s">
        <v>690</v>
      </c>
      <c r="B120" s="162"/>
      <c r="C120" s="183">
        <v>0</v>
      </c>
      <c r="D120" s="276">
        <v>0</v>
      </c>
      <c r="E120" s="183"/>
      <c r="F120" s="183"/>
      <c r="G120" s="183"/>
      <c r="H120" s="183"/>
      <c r="I120" s="183"/>
      <c r="J120" s="284"/>
      <c r="K120" s="1">
        <f>0.91773+3.06282</f>
        <v>3.98055</v>
      </c>
      <c r="AB120" s="12">
        <f t="shared" si="19"/>
        <v>0</v>
      </c>
      <c r="AC120" s="12">
        <f t="shared" si="20"/>
        <v>0</v>
      </c>
      <c r="AD120" s="12">
        <f t="shared" si="21"/>
        <v>0</v>
      </c>
      <c r="AE120" s="12">
        <f t="shared" si="22"/>
        <v>0</v>
      </c>
    </row>
    <row r="121" spans="1:31" s="1" customFormat="1" ht="27.75" customHeight="1">
      <c r="A121" s="599" t="s">
        <v>691</v>
      </c>
      <c r="B121" s="162" t="s">
        <v>1098</v>
      </c>
      <c r="C121" s="183">
        <v>0</v>
      </c>
      <c r="D121" s="276">
        <v>0</v>
      </c>
      <c r="E121" s="183">
        <f>291/3*4</f>
        <v>388</v>
      </c>
      <c r="F121" s="183">
        <f>F122+F123+F124+F125</f>
        <v>115.67605921666667</v>
      </c>
      <c r="G121" s="183">
        <f>G122+G123+G124+G125</f>
        <v>172.16945556000002</v>
      </c>
      <c r="H121" s="183">
        <f>H122+H123+H124+H125</f>
        <v>211.90070480999998</v>
      </c>
      <c r="I121" s="183">
        <f>I122+I123+I124+I125</f>
        <v>369.24010605999996</v>
      </c>
      <c r="J121" s="284"/>
      <c r="AB121" s="12">
        <f t="shared" si="19"/>
        <v>23.135211843333334</v>
      </c>
      <c r="AC121" s="12">
        <f t="shared" si="20"/>
        <v>34.433891112000005</v>
      </c>
      <c r="AD121" s="12">
        <f t="shared" si="21"/>
        <v>42.380140961999999</v>
      </c>
      <c r="AE121" s="12">
        <f t="shared" si="22"/>
        <v>73.848021211999992</v>
      </c>
    </row>
    <row r="122" spans="1:31" s="1" customFormat="1" ht="27.75" hidden="1" customHeight="1">
      <c r="A122" s="599" t="s">
        <v>910</v>
      </c>
      <c r="B122" s="162"/>
      <c r="C122" s="183"/>
      <c r="D122" s="276">
        <v>0</v>
      </c>
      <c r="E122" s="183"/>
      <c r="F122" s="183">
        <f>(34.83+33.23+28.71)*2.8/1.2*0.45</f>
        <v>101.60850000000001</v>
      </c>
      <c r="G122" s="183">
        <f>(14.47+8.71+7.23)*2.8/1.2*0.45+F122</f>
        <v>133.53900000000002</v>
      </c>
      <c r="H122" s="183">
        <f>G122+(7.83+7.23+9.47)*2.8/1.2*0.45</f>
        <v>159.2955</v>
      </c>
      <c r="I122" s="183">
        <f>H122+(13.59+26.23+30.47)*0.45*2.8/1.2</f>
        <v>233.1</v>
      </c>
      <c r="J122" s="303"/>
      <c r="K122" s="435">
        <f>I122+K47</f>
        <v>990.64</v>
      </c>
      <c r="AB122" s="12">
        <f t="shared" si="19"/>
        <v>20.3217</v>
      </c>
      <c r="AC122" s="12">
        <f t="shared" si="20"/>
        <v>26.707800000000002</v>
      </c>
      <c r="AD122" s="12">
        <f t="shared" si="21"/>
        <v>31.859100000000002</v>
      </c>
      <c r="AE122" s="12">
        <f t="shared" si="22"/>
        <v>46.62</v>
      </c>
    </row>
    <row r="123" spans="1:31" s="1" customFormat="1" ht="27.75" hidden="1" customHeight="1">
      <c r="A123" s="599" t="s">
        <v>923</v>
      </c>
      <c r="B123" s="162"/>
      <c r="C123" s="183"/>
      <c r="D123" s="276">
        <v>0</v>
      </c>
      <c r="E123" s="183"/>
      <c r="F123" s="183">
        <f>F122/2*0.045</f>
        <v>2.2861912499999999</v>
      </c>
      <c r="G123" s="183">
        <f>G122/2*0.045</f>
        <v>3.0046275000000002</v>
      </c>
      <c r="H123" s="183">
        <f>H122/2*0.045</f>
        <v>3.5841487499999998</v>
      </c>
      <c r="I123" s="183">
        <f>I122/2*0.045</f>
        <v>5.2447499999999998</v>
      </c>
      <c r="J123" s="383"/>
      <c r="AB123" s="12">
        <f t="shared" si="19"/>
        <v>0.45723824999999996</v>
      </c>
      <c r="AC123" s="12">
        <f t="shared" si="20"/>
        <v>0.6009255</v>
      </c>
      <c r="AD123" s="12">
        <f t="shared" si="21"/>
        <v>0.71682974999999993</v>
      </c>
      <c r="AE123" s="12">
        <f t="shared" si="22"/>
        <v>1.04895</v>
      </c>
    </row>
    <row r="124" spans="1:31" s="1" customFormat="1" ht="27.75" hidden="1" customHeight="1">
      <c r="A124" s="599" t="s">
        <v>912</v>
      </c>
      <c r="B124" s="162"/>
      <c r="C124" s="183"/>
      <c r="D124" s="276">
        <v>0</v>
      </c>
      <c r="E124" s="183"/>
      <c r="F124" s="183">
        <f>10/1.2/6*3*0.4</f>
        <v>1.666666666666667</v>
      </c>
      <c r="G124" s="183">
        <f>F124+210/1.2/6*0.5*0.4</f>
        <v>7.5000000000000009</v>
      </c>
      <c r="H124" s="183">
        <f>G124</f>
        <v>7.5000000000000009</v>
      </c>
      <c r="I124" s="183">
        <f>210/1.2*0.4</f>
        <v>70</v>
      </c>
      <c r="J124" s="303"/>
      <c r="AB124" s="12">
        <f t="shared" si="19"/>
        <v>0.33333333333333337</v>
      </c>
      <c r="AC124" s="12">
        <f t="shared" si="20"/>
        <v>1.5000000000000002</v>
      </c>
      <c r="AD124" s="12">
        <f t="shared" si="21"/>
        <v>1.5000000000000002</v>
      </c>
      <c r="AE124" s="12">
        <f t="shared" si="22"/>
        <v>14</v>
      </c>
    </row>
    <row r="125" spans="1:31" s="1" customFormat="1" ht="27.75" hidden="1" customHeight="1">
      <c r="A125" s="599" t="s">
        <v>911</v>
      </c>
      <c r="B125" s="162"/>
      <c r="C125" s="183"/>
      <c r="D125" s="276">
        <v>0</v>
      </c>
      <c r="E125" s="183"/>
      <c r="F125" s="183">
        <f>((432+235+223)*0.45+141.495+59.5+109.1+17+11+14+1+1+21+10+10+11)*(7.56+4.98)/1000</f>
        <v>10.114701299999998</v>
      </c>
      <c r="G125" s="183">
        <f>F125+((1323+1019)*0.45+47.402+139.777+110.215+24+30+10+2+9+10)*(7.56+4.98)/1000</f>
        <v>28.125828059999996</v>
      </c>
      <c r="H125" s="183">
        <f>G125+((721+627+142)*0.45+76+74+80.7+23+27+41+18+9+6+17+13+13)*(7.56+4.98)/1000</f>
        <v>41.521056059999992</v>
      </c>
      <c r="I125" s="183">
        <f>H125+(1000*3*0.45+16*3+25*3+7*3+17*3)*(7.56+4.98)/1000</f>
        <v>60.89535605999999</v>
      </c>
      <c r="J125" s="303"/>
      <c r="AB125" s="12">
        <f t="shared" si="19"/>
        <v>2.0229402599999995</v>
      </c>
      <c r="AC125" s="12">
        <f t="shared" si="20"/>
        <v>5.6251656119999991</v>
      </c>
      <c r="AD125" s="12">
        <f t="shared" si="21"/>
        <v>8.3042112119999985</v>
      </c>
      <c r="AE125" s="12">
        <f t="shared" si="22"/>
        <v>12.179071211999998</v>
      </c>
    </row>
    <row r="126" spans="1:31" s="1" customFormat="1" ht="27.75" customHeight="1">
      <c r="A126" s="599" t="s">
        <v>692</v>
      </c>
      <c r="B126" s="162" t="s">
        <v>1127</v>
      </c>
      <c r="C126" s="183">
        <v>0</v>
      </c>
      <c r="D126" s="276">
        <v>0</v>
      </c>
      <c r="E126" s="183">
        <v>0</v>
      </c>
      <c r="F126" s="183">
        <f>36000*0.4/1000/4</f>
        <v>3.6</v>
      </c>
      <c r="G126" s="183">
        <f>F126+F126</f>
        <v>7.2</v>
      </c>
      <c r="H126" s="183">
        <f>G126+F126</f>
        <v>10.8</v>
      </c>
      <c r="I126" s="183">
        <f>H126+F126</f>
        <v>14.4</v>
      </c>
      <c r="J126" s="284"/>
      <c r="AB126" s="12">
        <f t="shared" si="19"/>
        <v>0.72</v>
      </c>
      <c r="AC126" s="12">
        <f t="shared" si="20"/>
        <v>1.44</v>
      </c>
      <c r="AD126" s="12">
        <f t="shared" si="21"/>
        <v>2.16</v>
      </c>
      <c r="AE126" s="12">
        <f t="shared" si="22"/>
        <v>2.88</v>
      </c>
    </row>
    <row r="127" spans="1:31" s="1" customFormat="1" ht="27.75" hidden="1" customHeight="1">
      <c r="A127" s="599" t="s">
        <v>1066</v>
      </c>
      <c r="B127" s="162" t="s">
        <v>1067</v>
      </c>
      <c r="C127" s="183">
        <v>0</v>
      </c>
      <c r="D127" s="276">
        <v>0</v>
      </c>
      <c r="E127" s="183"/>
      <c r="F127" s="183"/>
      <c r="G127" s="183"/>
      <c r="H127" s="183"/>
      <c r="I127" s="183"/>
      <c r="J127" s="284"/>
      <c r="AB127" s="12">
        <f t="shared" si="19"/>
        <v>0</v>
      </c>
      <c r="AC127" s="12">
        <f t="shared" si="20"/>
        <v>0</v>
      </c>
      <c r="AD127" s="12">
        <f t="shared" si="21"/>
        <v>0</v>
      </c>
      <c r="AE127" s="12">
        <f t="shared" si="22"/>
        <v>0</v>
      </c>
    </row>
    <row r="128" spans="1:31" s="1" customFormat="1" ht="27.75" customHeight="1">
      <c r="A128" s="599" t="s">
        <v>982</v>
      </c>
      <c r="B128" s="162" t="s">
        <v>1128</v>
      </c>
      <c r="C128" s="183">
        <v>0</v>
      </c>
      <c r="D128" s="276">
        <v>0</v>
      </c>
      <c r="E128" s="183">
        <f>(15.3+3.5)/3*4</f>
        <v>25.066666666666666</v>
      </c>
      <c r="F128" s="183">
        <f>E128/4*1.1</f>
        <v>6.8933333333333335</v>
      </c>
      <c r="G128" s="183">
        <f>F128+F128</f>
        <v>13.786666666666667</v>
      </c>
      <c r="H128" s="183">
        <f>G128+F128</f>
        <v>20.68</v>
      </c>
      <c r="I128" s="183">
        <f>H128+F128</f>
        <v>27.573333333333334</v>
      </c>
      <c r="J128" s="284"/>
      <c r="AB128" s="12">
        <f t="shared" si="19"/>
        <v>1.3786666666666667</v>
      </c>
      <c r="AC128" s="12">
        <f t="shared" si="20"/>
        <v>2.7573333333333334</v>
      </c>
      <c r="AD128" s="12">
        <f t="shared" si="21"/>
        <v>4.1360000000000001</v>
      </c>
      <c r="AE128" s="12">
        <f t="shared" si="22"/>
        <v>5.5146666666666668</v>
      </c>
    </row>
    <row r="129" spans="1:31" s="1" customFormat="1" ht="27.75" customHeight="1">
      <c r="A129" s="599" t="s">
        <v>664</v>
      </c>
      <c r="B129" s="162" t="s">
        <v>1129</v>
      </c>
      <c r="C129" s="183">
        <v>0</v>
      </c>
      <c r="D129" s="276">
        <v>0</v>
      </c>
      <c r="E129" s="183">
        <v>0</v>
      </c>
      <c r="F129" s="183">
        <v>0</v>
      </c>
      <c r="G129" s="183">
        <v>0</v>
      </c>
      <c r="H129" s="183">
        <v>0</v>
      </c>
      <c r="I129" s="183">
        <v>0</v>
      </c>
      <c r="J129" s="284"/>
      <c r="K129" s="1">
        <f>1.68519+0.6459</f>
        <v>2.3310900000000001</v>
      </c>
      <c r="AB129" s="12">
        <f t="shared" si="19"/>
        <v>0</v>
      </c>
      <c r="AC129" s="12">
        <f t="shared" si="20"/>
        <v>0</v>
      </c>
      <c r="AD129" s="12">
        <f t="shared" si="21"/>
        <v>0</v>
      </c>
      <c r="AE129" s="12">
        <f t="shared" si="22"/>
        <v>0</v>
      </c>
    </row>
    <row r="130" spans="1:31" s="12" customFormat="1" ht="27.75" customHeight="1">
      <c r="A130" s="641" t="s">
        <v>1135</v>
      </c>
      <c r="B130" s="162" t="s">
        <v>1130</v>
      </c>
      <c r="C130" s="183">
        <v>0</v>
      </c>
      <c r="D130" s="183">
        <v>0</v>
      </c>
      <c r="E130" s="183">
        <f>E131+E133+E134</f>
        <v>175</v>
      </c>
      <c r="F130" s="183">
        <f>F131+F133+F134</f>
        <v>46.339100000000002</v>
      </c>
      <c r="G130" s="183">
        <f>G131+G133+G134</f>
        <v>92.678200000000004</v>
      </c>
      <c r="H130" s="183">
        <f>H131+H133+H134</f>
        <v>139.01730000000001</v>
      </c>
      <c r="I130" s="183">
        <f>I131+I133+I134</f>
        <v>185.35640000000001</v>
      </c>
      <c r="J130" s="146"/>
      <c r="AB130" s="12">
        <f t="shared" si="19"/>
        <v>9.2678200000000004</v>
      </c>
      <c r="AC130" s="12">
        <f t="shared" si="20"/>
        <v>18.535640000000001</v>
      </c>
      <c r="AD130" s="12">
        <f t="shared" si="21"/>
        <v>27.803460000000001</v>
      </c>
      <c r="AE130" s="12">
        <f t="shared" si="22"/>
        <v>37.071280000000002</v>
      </c>
    </row>
    <row r="131" spans="1:31" s="1" customFormat="1" ht="27.75" hidden="1" customHeight="1">
      <c r="A131" s="599" t="s">
        <v>695</v>
      </c>
      <c r="B131" s="162" t="s">
        <v>1131</v>
      </c>
      <c r="C131" s="183">
        <v>0</v>
      </c>
      <c r="D131" s="276">
        <v>0</v>
      </c>
      <c r="E131" s="183">
        <v>0</v>
      </c>
      <c r="F131" s="183">
        <v>0</v>
      </c>
      <c r="G131" s="183">
        <v>0</v>
      </c>
      <c r="H131" s="183">
        <v>0</v>
      </c>
      <c r="I131" s="183">
        <v>0</v>
      </c>
      <c r="J131" s="287"/>
      <c r="AB131" s="12">
        <f t="shared" si="19"/>
        <v>0</v>
      </c>
      <c r="AC131" s="12">
        <f t="shared" si="20"/>
        <v>0</v>
      </c>
      <c r="AD131" s="12">
        <f t="shared" si="21"/>
        <v>0</v>
      </c>
      <c r="AE131" s="12">
        <f t="shared" si="22"/>
        <v>0</v>
      </c>
    </row>
    <row r="132" spans="1:31" s="1" customFormat="1" ht="27.75" hidden="1" customHeight="1">
      <c r="A132" s="599"/>
      <c r="B132" s="162" t="s">
        <v>1132</v>
      </c>
      <c r="C132" s="183">
        <v>0</v>
      </c>
      <c r="D132" s="276">
        <v>0</v>
      </c>
      <c r="E132" s="183"/>
      <c r="F132" s="183"/>
      <c r="G132" s="183"/>
      <c r="H132" s="183"/>
      <c r="I132" s="183"/>
      <c r="J132" s="287"/>
      <c r="AB132" s="12">
        <f t="shared" si="19"/>
        <v>0</v>
      </c>
      <c r="AC132" s="12">
        <f t="shared" si="20"/>
        <v>0</v>
      </c>
      <c r="AD132" s="12">
        <f t="shared" si="21"/>
        <v>0</v>
      </c>
      <c r="AE132" s="12">
        <f t="shared" si="22"/>
        <v>0</v>
      </c>
    </row>
    <row r="133" spans="1:31" s="1" customFormat="1" ht="27.75" hidden="1" customHeight="1">
      <c r="A133" s="599" t="s">
        <v>933</v>
      </c>
      <c r="B133" s="162" t="s">
        <v>1133</v>
      </c>
      <c r="C133" s="183">
        <v>0</v>
      </c>
      <c r="D133" s="276">
        <v>0</v>
      </c>
      <c r="E133" s="183">
        <f>125</f>
        <v>125</v>
      </c>
      <c r="F133" s="183">
        <f>94017.3/3/1000</f>
        <v>31.339100000000002</v>
      </c>
      <c r="G133" s="183">
        <f>F133+F133</f>
        <v>62.678200000000004</v>
      </c>
      <c r="H133" s="183">
        <f>F133+G133</f>
        <v>94.017300000000006</v>
      </c>
      <c r="I133" s="183">
        <f>F133+H133</f>
        <v>125.35640000000001</v>
      </c>
      <c r="J133" s="385"/>
      <c r="AB133" s="12">
        <f t="shared" si="19"/>
        <v>6.2678200000000004</v>
      </c>
      <c r="AC133" s="12">
        <f t="shared" si="20"/>
        <v>12.535640000000001</v>
      </c>
      <c r="AD133" s="12">
        <f t="shared" si="21"/>
        <v>18.803460000000001</v>
      </c>
      <c r="AE133" s="12">
        <f t="shared" si="22"/>
        <v>25.071280000000002</v>
      </c>
    </row>
    <row r="134" spans="1:31" s="1" customFormat="1" ht="27.75" hidden="1" customHeight="1">
      <c r="A134" s="599" t="s">
        <v>932</v>
      </c>
      <c r="B134" s="162" t="s">
        <v>1134</v>
      </c>
      <c r="C134" s="183">
        <v>0</v>
      </c>
      <c r="D134" s="276">
        <v>0</v>
      </c>
      <c r="E134" s="183">
        <v>50</v>
      </c>
      <c r="F134" s="183">
        <f>60/4</f>
        <v>15</v>
      </c>
      <c r="G134" s="183">
        <f>F134+F134</f>
        <v>30</v>
      </c>
      <c r="H134" s="183">
        <f>G134+F134</f>
        <v>45</v>
      </c>
      <c r="I134" s="183">
        <f>H134+F134</f>
        <v>60</v>
      </c>
      <c r="J134" s="303"/>
      <c r="AB134" s="12">
        <f t="shared" si="19"/>
        <v>3</v>
      </c>
      <c r="AC134" s="12">
        <f t="shared" si="20"/>
        <v>6</v>
      </c>
      <c r="AD134" s="12">
        <f t="shared" si="21"/>
        <v>9</v>
      </c>
      <c r="AE134" s="12">
        <f t="shared" si="22"/>
        <v>12</v>
      </c>
    </row>
    <row r="135" spans="1:31" s="491" customFormat="1" ht="20.100000000000001" customHeight="1">
      <c r="A135" s="161" t="s">
        <v>241</v>
      </c>
      <c r="B135" s="213">
        <v>1070</v>
      </c>
      <c r="C135" s="195">
        <f>SUM(C136:C141)</f>
        <v>0</v>
      </c>
      <c r="D135" s="508">
        <v>0</v>
      </c>
      <c r="E135" s="436">
        <f>SUM(E136:E141)</f>
        <v>0</v>
      </c>
      <c r="F135" s="436">
        <f>SUM(F136:F141)</f>
        <v>0</v>
      </c>
      <c r="G135" s="436">
        <f>SUM(G136:G141)</f>
        <v>0</v>
      </c>
      <c r="H135" s="436">
        <f>SUM(H136:H141)</f>
        <v>0</v>
      </c>
      <c r="I135" s="436">
        <f>SUM(I136:I141)</f>
        <v>0</v>
      </c>
      <c r="J135" s="146"/>
      <c r="AB135" s="12">
        <f t="shared" si="19"/>
        <v>0</v>
      </c>
      <c r="AC135" s="12">
        <f t="shared" si="20"/>
        <v>0</v>
      </c>
      <c r="AD135" s="12">
        <f t="shared" si="21"/>
        <v>0</v>
      </c>
      <c r="AE135" s="12">
        <f t="shared" si="22"/>
        <v>0</v>
      </c>
    </row>
    <row r="136" spans="1:31" s="1" customFormat="1" ht="20.100000000000001" customHeight="1">
      <c r="A136" s="69" t="s">
        <v>201</v>
      </c>
      <c r="B136" s="162">
        <v>1071</v>
      </c>
      <c r="C136" s="183">
        <v>0</v>
      </c>
      <c r="D136" s="276">
        <v>0</v>
      </c>
      <c r="E136" s="183">
        <v>0</v>
      </c>
      <c r="F136" s="183">
        <v>0</v>
      </c>
      <c r="G136" s="183">
        <v>0</v>
      </c>
      <c r="H136" s="183">
        <v>0</v>
      </c>
      <c r="I136" s="183">
        <v>0</v>
      </c>
      <c r="J136" s="145"/>
      <c r="AB136" s="12">
        <f t="shared" si="19"/>
        <v>0</v>
      </c>
      <c r="AC136" s="12">
        <f t="shared" si="20"/>
        <v>0</v>
      </c>
      <c r="AD136" s="12">
        <f t="shared" si="21"/>
        <v>0</v>
      </c>
      <c r="AE136" s="12">
        <f t="shared" si="22"/>
        <v>0</v>
      </c>
    </row>
    <row r="137" spans="1:31" s="1" customFormat="1" ht="20.100000000000001" customHeight="1">
      <c r="A137" s="69" t="s">
        <v>202</v>
      </c>
      <c r="B137" s="162">
        <v>1072</v>
      </c>
      <c r="C137" s="183">
        <v>0</v>
      </c>
      <c r="D137" s="276">
        <v>0</v>
      </c>
      <c r="E137" s="183">
        <v>0</v>
      </c>
      <c r="F137" s="183">
        <v>0</v>
      </c>
      <c r="G137" s="183">
        <v>0</v>
      </c>
      <c r="H137" s="183">
        <v>0</v>
      </c>
      <c r="I137" s="183">
        <v>0</v>
      </c>
      <c r="J137" s="145"/>
      <c r="AB137" s="12">
        <f t="shared" si="19"/>
        <v>0</v>
      </c>
      <c r="AC137" s="12">
        <f t="shared" si="20"/>
        <v>0</v>
      </c>
      <c r="AD137" s="12">
        <f t="shared" si="21"/>
        <v>0</v>
      </c>
      <c r="AE137" s="12">
        <f t="shared" si="22"/>
        <v>0</v>
      </c>
    </row>
    <row r="138" spans="1:31" s="1" customFormat="1" ht="20.100000000000001" customHeight="1">
      <c r="A138" s="69" t="s">
        <v>43</v>
      </c>
      <c r="B138" s="162">
        <v>1073</v>
      </c>
      <c r="C138" s="183">
        <v>0</v>
      </c>
      <c r="D138" s="276">
        <v>0</v>
      </c>
      <c r="E138" s="183">
        <v>0</v>
      </c>
      <c r="F138" s="183">
        <v>0</v>
      </c>
      <c r="G138" s="183">
        <v>0</v>
      </c>
      <c r="H138" s="183">
        <v>0</v>
      </c>
      <c r="I138" s="183">
        <v>0</v>
      </c>
      <c r="J138" s="145"/>
      <c r="AB138" s="12">
        <f t="shared" si="19"/>
        <v>0</v>
      </c>
      <c r="AC138" s="12">
        <f t="shared" si="20"/>
        <v>0</v>
      </c>
      <c r="AD138" s="12">
        <f t="shared" si="21"/>
        <v>0</v>
      </c>
      <c r="AE138" s="12">
        <f t="shared" si="22"/>
        <v>0</v>
      </c>
    </row>
    <row r="139" spans="1:31" s="1" customFormat="1" ht="37.5">
      <c r="A139" s="69" t="s">
        <v>67</v>
      </c>
      <c r="B139" s="162">
        <v>1074</v>
      </c>
      <c r="C139" s="183">
        <v>0</v>
      </c>
      <c r="D139" s="276">
        <v>0</v>
      </c>
      <c r="E139" s="183">
        <v>0</v>
      </c>
      <c r="F139" s="183">
        <v>0</v>
      </c>
      <c r="G139" s="183">
        <v>0</v>
      </c>
      <c r="H139" s="183">
        <v>0</v>
      </c>
      <c r="I139" s="183">
        <v>0</v>
      </c>
      <c r="J139" s="145"/>
      <c r="AB139" s="12">
        <f t="shared" si="19"/>
        <v>0</v>
      </c>
      <c r="AC139" s="12">
        <f t="shared" si="20"/>
        <v>0</v>
      </c>
      <c r="AD139" s="12">
        <f t="shared" si="21"/>
        <v>0</v>
      </c>
      <c r="AE139" s="12">
        <f t="shared" si="22"/>
        <v>0</v>
      </c>
    </row>
    <row r="140" spans="1:31" s="1" customFormat="1" ht="20.100000000000001" customHeight="1">
      <c r="A140" s="69" t="s">
        <v>86</v>
      </c>
      <c r="B140" s="162">
        <v>1075</v>
      </c>
      <c r="C140" s="183">
        <v>0</v>
      </c>
      <c r="D140" s="276">
        <v>0</v>
      </c>
      <c r="E140" s="183">
        <v>0</v>
      </c>
      <c r="F140" s="183">
        <v>0</v>
      </c>
      <c r="G140" s="183">
        <v>0</v>
      </c>
      <c r="H140" s="183">
        <v>0</v>
      </c>
      <c r="I140" s="183">
        <v>0</v>
      </c>
      <c r="J140" s="145"/>
      <c r="AB140" s="12">
        <f t="shared" si="19"/>
        <v>0</v>
      </c>
      <c r="AC140" s="12">
        <f t="shared" si="20"/>
        <v>0</v>
      </c>
      <c r="AD140" s="12">
        <f t="shared" si="21"/>
        <v>0</v>
      </c>
      <c r="AE140" s="12">
        <f t="shared" si="22"/>
        <v>0</v>
      </c>
    </row>
    <row r="141" spans="1:31" s="1" customFormat="1" ht="20.100000000000001" customHeight="1">
      <c r="A141" s="69" t="s">
        <v>137</v>
      </c>
      <c r="B141" s="162">
        <v>1076</v>
      </c>
      <c r="C141" s="183">
        <v>0</v>
      </c>
      <c r="D141" s="276">
        <v>0</v>
      </c>
      <c r="E141" s="183">
        <v>0</v>
      </c>
      <c r="F141" s="183">
        <v>0</v>
      </c>
      <c r="G141" s="183">
        <v>0</v>
      </c>
      <c r="H141" s="183">
        <v>0</v>
      </c>
      <c r="I141" s="183">
        <v>0</v>
      </c>
      <c r="J141" s="145"/>
      <c r="AB141" s="12">
        <f t="shared" si="19"/>
        <v>0</v>
      </c>
      <c r="AC141" s="12">
        <f t="shared" si="20"/>
        <v>0</v>
      </c>
      <c r="AD141" s="12">
        <f t="shared" si="21"/>
        <v>0</v>
      </c>
      <c r="AE141" s="12">
        <f t="shared" si="22"/>
        <v>0</v>
      </c>
    </row>
    <row r="142" spans="1:31" s="1" customFormat="1" ht="20.100000000000001" customHeight="1">
      <c r="A142" s="69" t="s">
        <v>44</v>
      </c>
      <c r="B142" s="181" t="s">
        <v>403</v>
      </c>
      <c r="C142" s="183">
        <v>0</v>
      </c>
      <c r="D142" s="276">
        <v>0</v>
      </c>
      <c r="E142" s="183">
        <v>0</v>
      </c>
      <c r="F142" s="183">
        <v>0</v>
      </c>
      <c r="G142" s="183">
        <v>0</v>
      </c>
      <c r="H142" s="183">
        <v>0</v>
      </c>
      <c r="I142" s="183">
        <v>0</v>
      </c>
      <c r="J142" s="145"/>
      <c r="AB142" s="12">
        <f t="shared" si="19"/>
        <v>0</v>
      </c>
      <c r="AC142" s="12">
        <f t="shared" si="20"/>
        <v>0</v>
      </c>
      <c r="AD142" s="12">
        <f t="shared" si="21"/>
        <v>0</v>
      </c>
      <c r="AE142" s="12">
        <f t="shared" si="22"/>
        <v>0</v>
      </c>
    </row>
    <row r="143" spans="1:31" s="12" customFormat="1" ht="37.5">
      <c r="A143" s="501" t="s">
        <v>88</v>
      </c>
      <c r="B143" s="213">
        <v>1080</v>
      </c>
      <c r="C143" s="195">
        <f t="shared" ref="C143:I143" si="23">SUM(C145:C150)</f>
        <v>5637</v>
      </c>
      <c r="D143" s="508">
        <f t="shared" si="23"/>
        <v>60928</v>
      </c>
      <c r="E143" s="436">
        <f t="shared" si="23"/>
        <v>130809.94083305556</v>
      </c>
      <c r="F143" s="436">
        <f t="shared" si="23"/>
        <v>24700.232604166667</v>
      </c>
      <c r="G143" s="436">
        <f t="shared" si="23"/>
        <v>50627.437194333332</v>
      </c>
      <c r="H143" s="436">
        <f t="shared" si="23"/>
        <v>76554.641784499996</v>
      </c>
      <c r="I143" s="436">
        <f t="shared" si="23"/>
        <v>102481.84637466667</v>
      </c>
      <c r="J143" s="146"/>
    </row>
    <row r="144" spans="1:31" s="1" customFormat="1" ht="42" hidden="1" customHeight="1">
      <c r="A144" s="214"/>
      <c r="B144" s="162"/>
      <c r="C144" s="208"/>
      <c r="D144" s="275"/>
      <c r="E144" s="607"/>
      <c r="F144" s="208"/>
      <c r="G144" s="208"/>
      <c r="H144" s="208"/>
      <c r="I144" s="208"/>
      <c r="J144" s="145"/>
      <c r="AB144" s="12">
        <f t="shared" si="19"/>
        <v>0</v>
      </c>
      <c r="AC144" s="12">
        <f t="shared" si="20"/>
        <v>0</v>
      </c>
      <c r="AD144" s="12">
        <f t="shared" si="21"/>
        <v>0</v>
      </c>
      <c r="AE144" s="12">
        <f t="shared" si="22"/>
        <v>0</v>
      </c>
    </row>
    <row r="145" spans="1:31" s="1" customFormat="1" ht="20.100000000000001" customHeight="1">
      <c r="A145" s="69" t="s">
        <v>77</v>
      </c>
      <c r="B145" s="162" t="s">
        <v>645</v>
      </c>
      <c r="C145" s="183">
        <v>0</v>
      </c>
      <c r="D145" s="276">
        <v>0</v>
      </c>
      <c r="E145" s="183">
        <v>0</v>
      </c>
      <c r="F145" s="183">
        <v>0</v>
      </c>
      <c r="G145" s="183">
        <v>0</v>
      </c>
      <c r="H145" s="183">
        <v>0</v>
      </c>
      <c r="I145" s="183">
        <v>0</v>
      </c>
      <c r="J145" s="145"/>
      <c r="AB145" s="12">
        <f t="shared" si="19"/>
        <v>0</v>
      </c>
      <c r="AC145" s="12">
        <f t="shared" si="20"/>
        <v>0</v>
      </c>
      <c r="AD145" s="12">
        <f t="shared" si="21"/>
        <v>0</v>
      </c>
      <c r="AE145" s="12">
        <f t="shared" si="22"/>
        <v>0</v>
      </c>
    </row>
    <row r="146" spans="1:31" s="1" customFormat="1" ht="63.75" customHeight="1">
      <c r="A146" s="69" t="s">
        <v>650</v>
      </c>
      <c r="B146" s="162" t="s">
        <v>983</v>
      </c>
      <c r="C146" s="183">
        <v>0</v>
      </c>
      <c r="D146" s="276">
        <v>0</v>
      </c>
      <c r="E146" s="183">
        <v>0</v>
      </c>
      <c r="F146" s="183">
        <v>0</v>
      </c>
      <c r="G146" s="183">
        <v>0</v>
      </c>
      <c r="H146" s="183">
        <v>0</v>
      </c>
      <c r="I146" s="183">
        <v>0</v>
      </c>
      <c r="J146" s="145"/>
      <c r="AB146" s="12">
        <f t="shared" si="19"/>
        <v>0</v>
      </c>
      <c r="AC146" s="12">
        <f t="shared" si="20"/>
        <v>0</v>
      </c>
      <c r="AD146" s="12">
        <f t="shared" si="21"/>
        <v>0</v>
      </c>
      <c r="AE146" s="12">
        <f t="shared" si="22"/>
        <v>0</v>
      </c>
    </row>
    <row r="147" spans="1:31" s="1" customFormat="1">
      <c r="A147" s="69" t="s">
        <v>55</v>
      </c>
      <c r="B147" s="162">
        <v>1082</v>
      </c>
      <c r="C147" s="183">
        <v>0</v>
      </c>
      <c r="D147" s="276">
        <v>0</v>
      </c>
      <c r="E147" s="183">
        <v>0</v>
      </c>
      <c r="F147" s="183">
        <v>0</v>
      </c>
      <c r="G147" s="183">
        <v>0</v>
      </c>
      <c r="H147" s="183">
        <v>0</v>
      </c>
      <c r="I147" s="183">
        <v>0</v>
      </c>
      <c r="J147" s="145"/>
      <c r="AB147" s="12">
        <f t="shared" si="19"/>
        <v>0</v>
      </c>
      <c r="AC147" s="12">
        <f t="shared" si="20"/>
        <v>0</v>
      </c>
      <c r="AD147" s="12">
        <f t="shared" si="21"/>
        <v>0</v>
      </c>
      <c r="AE147" s="12">
        <f t="shared" si="22"/>
        <v>0</v>
      </c>
    </row>
    <row r="148" spans="1:31" s="1" customFormat="1" ht="37.5">
      <c r="A148" s="69" t="s">
        <v>65</v>
      </c>
      <c r="B148" s="162">
        <v>1083</v>
      </c>
      <c r="C148" s="183">
        <v>0</v>
      </c>
      <c r="D148" s="276">
        <v>0</v>
      </c>
      <c r="E148" s="183">
        <v>0</v>
      </c>
      <c r="F148" s="183">
        <v>0</v>
      </c>
      <c r="G148" s="183">
        <v>0</v>
      </c>
      <c r="H148" s="183">
        <v>0</v>
      </c>
      <c r="I148" s="183">
        <v>0</v>
      </c>
      <c r="J148" s="145"/>
      <c r="AB148" s="12">
        <f t="shared" si="19"/>
        <v>0</v>
      </c>
      <c r="AC148" s="12">
        <f t="shared" si="20"/>
        <v>0</v>
      </c>
      <c r="AD148" s="12">
        <f t="shared" si="21"/>
        <v>0</v>
      </c>
      <c r="AE148" s="12">
        <f t="shared" si="22"/>
        <v>0</v>
      </c>
    </row>
    <row r="149" spans="1:31" s="1" customFormat="1" ht="20.100000000000001" customHeight="1">
      <c r="A149" s="69" t="s">
        <v>233</v>
      </c>
      <c r="B149" s="162">
        <v>1084</v>
      </c>
      <c r="C149" s="183">
        <v>0</v>
      </c>
      <c r="D149" s="276">
        <v>0</v>
      </c>
      <c r="E149" s="183">
        <v>0</v>
      </c>
      <c r="F149" s="183">
        <v>0</v>
      </c>
      <c r="G149" s="183">
        <v>0</v>
      </c>
      <c r="H149" s="183">
        <v>0</v>
      </c>
      <c r="I149" s="183">
        <v>0</v>
      </c>
      <c r="J149" s="145"/>
      <c r="AB149" s="12">
        <f t="shared" si="19"/>
        <v>0</v>
      </c>
      <c r="AC149" s="12">
        <f t="shared" si="20"/>
        <v>0</v>
      </c>
      <c r="AD149" s="12">
        <f t="shared" si="21"/>
        <v>0</v>
      </c>
      <c r="AE149" s="12">
        <f t="shared" si="22"/>
        <v>0</v>
      </c>
    </row>
    <row r="150" spans="1:31" s="1" customFormat="1" ht="60" customHeight="1">
      <c r="A150" s="272" t="s">
        <v>671</v>
      </c>
      <c r="B150" s="162">
        <v>1085</v>
      </c>
      <c r="C150" s="183">
        <f t="shared" ref="C150:I150" si="24">C151+C152+C153+C154+C155+C156+C158</f>
        <v>5637</v>
      </c>
      <c r="D150" s="183">
        <f t="shared" si="24"/>
        <v>60928</v>
      </c>
      <c r="E150" s="183">
        <f t="shared" si="24"/>
        <v>130809.94083305556</v>
      </c>
      <c r="F150" s="183">
        <f t="shared" si="24"/>
        <v>24700.232604166667</v>
      </c>
      <c r="G150" s="183">
        <f t="shared" si="24"/>
        <v>50627.437194333332</v>
      </c>
      <c r="H150" s="183">
        <f t="shared" si="24"/>
        <v>76554.641784499996</v>
      </c>
      <c r="I150" s="183">
        <f t="shared" si="24"/>
        <v>102481.84637466667</v>
      </c>
      <c r="J150" s="494"/>
      <c r="AB150" s="12"/>
      <c r="AC150" s="12"/>
      <c r="AD150" s="12"/>
      <c r="AE150" s="12"/>
    </row>
    <row r="151" spans="1:31" s="1" customFormat="1" ht="38.25" customHeight="1">
      <c r="A151" s="69" t="s">
        <v>669</v>
      </c>
      <c r="B151" s="181" t="s">
        <v>454</v>
      </c>
      <c r="C151" s="183">
        <v>5107</v>
      </c>
      <c r="D151" s="276">
        <v>60136</v>
      </c>
      <c r="E151" s="183">
        <f>E83</f>
        <v>85982.177534722228</v>
      </c>
      <c r="F151" s="183">
        <f>F84</f>
        <v>24525.232604166667</v>
      </c>
      <c r="G151" s="183">
        <f>G84</f>
        <v>49050.465208333335</v>
      </c>
      <c r="H151" s="183">
        <f>H84</f>
        <v>73575.697812500002</v>
      </c>
      <c r="I151" s="183">
        <f>I84</f>
        <v>98100.93041666667</v>
      </c>
      <c r="J151" s="145"/>
      <c r="AB151" s="12"/>
      <c r="AC151" s="12"/>
      <c r="AD151" s="12"/>
      <c r="AE151" s="12"/>
    </row>
    <row r="152" spans="1:31" s="1" customFormat="1" ht="38.25" customHeight="1">
      <c r="A152" s="290" t="s">
        <v>697</v>
      </c>
      <c r="B152" s="289" t="s">
        <v>668</v>
      </c>
      <c r="C152" s="183">
        <v>0</v>
      </c>
      <c r="D152" s="276"/>
      <c r="E152" s="183">
        <f>40686</f>
        <v>40686</v>
      </c>
      <c r="F152" s="183">
        <v>0</v>
      </c>
      <c r="G152" s="183">
        <v>0</v>
      </c>
      <c r="H152" s="183">
        <v>0</v>
      </c>
      <c r="I152" s="183">
        <v>0</v>
      </c>
      <c r="J152" s="287"/>
      <c r="AB152" s="12"/>
      <c r="AC152" s="12"/>
      <c r="AD152" s="12"/>
      <c r="AE152" s="12"/>
    </row>
    <row r="153" spans="1:31" s="1" customFormat="1" ht="38.25" customHeight="1">
      <c r="A153" s="449" t="s">
        <v>670</v>
      </c>
      <c r="B153" s="448" t="s">
        <v>674</v>
      </c>
      <c r="C153" s="183">
        <v>530</v>
      </c>
      <c r="D153" s="183">
        <v>792</v>
      </c>
      <c r="E153" s="183">
        <f>487/3*4</f>
        <v>649.33333333333337</v>
      </c>
      <c r="F153" s="183">
        <f>700/4</f>
        <v>175</v>
      </c>
      <c r="G153" s="183">
        <f>F153+F153</f>
        <v>350</v>
      </c>
      <c r="H153" s="183">
        <f>F153+G153</f>
        <v>525</v>
      </c>
      <c r="I153" s="183">
        <f>H153+F153</f>
        <v>700</v>
      </c>
      <c r="J153" s="270"/>
      <c r="AB153" s="12">
        <f t="shared" si="19"/>
        <v>35</v>
      </c>
      <c r="AC153" s="12">
        <f t="shared" si="20"/>
        <v>70</v>
      </c>
      <c r="AD153" s="12">
        <f t="shared" si="21"/>
        <v>105</v>
      </c>
      <c r="AE153" s="12">
        <f t="shared" si="22"/>
        <v>140</v>
      </c>
    </row>
    <row r="154" spans="1:31" s="1" customFormat="1" ht="38.25" customHeight="1">
      <c r="A154" s="817" t="s">
        <v>675</v>
      </c>
      <c r="B154" s="818" t="s">
        <v>699</v>
      </c>
      <c r="C154" s="183"/>
      <c r="D154" s="183"/>
      <c r="E154" s="183">
        <v>5</v>
      </c>
      <c r="F154" s="183">
        <v>0</v>
      </c>
      <c r="G154" s="183">
        <v>0</v>
      </c>
      <c r="H154" s="183">
        <v>0</v>
      </c>
      <c r="I154" s="183">
        <v>0</v>
      </c>
      <c r="J154" s="820"/>
      <c r="AB154" s="12">
        <f t="shared" ref="AB154:AE156" si="25">F154/5</f>
        <v>0</v>
      </c>
      <c r="AC154" s="12">
        <f t="shared" si="25"/>
        <v>0</v>
      </c>
      <c r="AD154" s="12">
        <f t="shared" si="25"/>
        <v>0</v>
      </c>
      <c r="AE154" s="12">
        <f t="shared" si="25"/>
        <v>0</v>
      </c>
    </row>
    <row r="155" spans="1:31" s="1" customFormat="1" ht="38.25" customHeight="1">
      <c r="A155" s="817" t="s">
        <v>698</v>
      </c>
      <c r="B155" s="818" t="s">
        <v>700</v>
      </c>
      <c r="C155" s="183">
        <v>0</v>
      </c>
      <c r="D155" s="183"/>
      <c r="E155" s="183">
        <f>113/3*4</f>
        <v>150.66666666666666</v>
      </c>
      <c r="F155" s="183">
        <v>0</v>
      </c>
      <c r="G155" s="183">
        <v>0</v>
      </c>
      <c r="H155" s="183">
        <f>F155+G155</f>
        <v>0</v>
      </c>
      <c r="I155" s="183">
        <f>F155+H155</f>
        <v>0</v>
      </c>
      <c r="J155" s="820"/>
      <c r="AB155" s="12">
        <f t="shared" si="25"/>
        <v>0</v>
      </c>
      <c r="AC155" s="12">
        <f t="shared" si="25"/>
        <v>0</v>
      </c>
      <c r="AD155" s="12">
        <f t="shared" si="25"/>
        <v>0</v>
      </c>
      <c r="AE155" s="12">
        <f t="shared" si="25"/>
        <v>0</v>
      </c>
    </row>
    <row r="156" spans="1:31" s="1" customFormat="1" ht="38.25" customHeight="1">
      <c r="A156" s="817" t="s">
        <v>984</v>
      </c>
      <c r="B156" s="818" t="s">
        <v>701</v>
      </c>
      <c r="C156" s="183">
        <v>0</v>
      </c>
      <c r="D156" s="183"/>
      <c r="E156" s="183">
        <f>202/3*4</f>
        <v>269.33333333333331</v>
      </c>
      <c r="F156" s="183">
        <v>0</v>
      </c>
      <c r="G156" s="183">
        <v>0</v>
      </c>
      <c r="H156" s="183">
        <v>0</v>
      </c>
      <c r="I156" s="183">
        <f>H156+F156</f>
        <v>0</v>
      </c>
      <c r="J156" s="820"/>
      <c r="AB156" s="12">
        <f t="shared" si="25"/>
        <v>0</v>
      </c>
      <c r="AC156" s="12">
        <f t="shared" si="25"/>
        <v>0</v>
      </c>
      <c r="AD156" s="12">
        <f t="shared" si="25"/>
        <v>0</v>
      </c>
      <c r="AE156" s="12">
        <f t="shared" si="25"/>
        <v>0</v>
      </c>
    </row>
    <row r="157" spans="1:31" s="1" customFormat="1" ht="38.25" hidden="1" customHeight="1">
      <c r="A157" s="817" t="s">
        <v>696</v>
      </c>
      <c r="B157" s="818" t="s">
        <v>702</v>
      </c>
      <c r="C157" s="183">
        <v>0</v>
      </c>
      <c r="D157" s="183"/>
      <c r="E157" s="183"/>
      <c r="F157" s="183"/>
      <c r="G157" s="183"/>
      <c r="H157" s="183"/>
      <c r="I157" s="183"/>
      <c r="J157" s="820"/>
    </row>
    <row r="158" spans="1:31" s="1" customFormat="1" ht="38.25" customHeight="1">
      <c r="A158" s="817" t="s">
        <v>1141</v>
      </c>
      <c r="B158" s="818" t="s">
        <v>702</v>
      </c>
      <c r="C158" s="183"/>
      <c r="D158" s="183"/>
      <c r="E158" s="183">
        <f>3067429.965/1000</f>
        <v>3067.4299649999998</v>
      </c>
      <c r="F158" s="183">
        <v>0</v>
      </c>
      <c r="G158" s="183">
        <f>E158/3*1.2</f>
        <v>1226.9719859999998</v>
      </c>
      <c r="H158" s="183">
        <f>G158+G158</f>
        <v>2453.9439719999996</v>
      </c>
      <c r="I158" s="183">
        <f>H158+G158</f>
        <v>3680.9159579999996</v>
      </c>
      <c r="J158" s="820"/>
    </row>
    <row r="159" spans="1:31" s="5" customFormat="1" ht="37.5">
      <c r="A159" s="161" t="s">
        <v>4</v>
      </c>
      <c r="B159" s="213">
        <v>1100</v>
      </c>
      <c r="C159" s="185">
        <f t="shared" ref="C159:I159" si="26">C82+C83-C87-C135-C143</f>
        <v>-13205</v>
      </c>
      <c r="D159" s="275">
        <f t="shared" si="26"/>
        <v>-51309</v>
      </c>
      <c r="E159" s="208">
        <f t="shared" si="26"/>
        <v>-48657.157661000063</v>
      </c>
      <c r="F159" s="185">
        <f t="shared" si="26"/>
        <v>11060.898583565759</v>
      </c>
      <c r="G159" s="185">
        <f t="shared" si="26"/>
        <v>7946.6924218101703</v>
      </c>
      <c r="H159" s="185">
        <f t="shared" si="26"/>
        <v>4758.4578425633372</v>
      </c>
      <c r="I159" s="185">
        <f t="shared" si="26"/>
        <v>11094.028446109456</v>
      </c>
      <c r="J159" s="146"/>
      <c r="O159" s="294"/>
    </row>
    <row r="160" spans="1:31">
      <c r="A160" s="69" t="s">
        <v>123</v>
      </c>
      <c r="B160" s="162">
        <v>1110</v>
      </c>
      <c r="C160" s="183">
        <v>0</v>
      </c>
      <c r="D160" s="276"/>
      <c r="E160" s="183"/>
      <c r="F160" s="183"/>
      <c r="G160" s="183"/>
      <c r="H160" s="183"/>
      <c r="I160" s="183"/>
      <c r="J160" s="145"/>
    </row>
    <row r="161" spans="1:15" ht="20.100000000000001" customHeight="1">
      <c r="A161" s="269" t="s">
        <v>658</v>
      </c>
      <c r="B161" s="162">
        <v>1120</v>
      </c>
      <c r="C161" s="183">
        <f>C162+C163+C164</f>
        <v>370</v>
      </c>
      <c r="D161" s="505">
        <f t="shared" ref="D161:I161" si="27">D162+D163+D164</f>
        <v>650</v>
      </c>
      <c r="E161" s="505">
        <f t="shared" si="27"/>
        <v>718</v>
      </c>
      <c r="F161" s="505">
        <f t="shared" si="27"/>
        <v>50</v>
      </c>
      <c r="G161" s="505">
        <f t="shared" si="27"/>
        <v>50</v>
      </c>
      <c r="H161" s="505">
        <f t="shared" si="27"/>
        <v>50</v>
      </c>
      <c r="I161" s="505">
        <f t="shared" si="27"/>
        <v>50</v>
      </c>
      <c r="J161" s="494"/>
    </row>
    <row r="162" spans="1:15" s="489" customFormat="1" ht="20.100000000000001" customHeight="1">
      <c r="A162" s="269" t="s">
        <v>1107</v>
      </c>
      <c r="B162" s="162" t="s">
        <v>418</v>
      </c>
      <c r="C162" s="505">
        <v>370</v>
      </c>
      <c r="D162" s="276">
        <v>650</v>
      </c>
      <c r="E162" s="183">
        <v>718</v>
      </c>
      <c r="F162" s="183">
        <v>50</v>
      </c>
      <c r="G162" s="505">
        <v>50</v>
      </c>
      <c r="H162" s="505">
        <v>50</v>
      </c>
      <c r="I162" s="505">
        <v>50</v>
      </c>
      <c r="J162" s="490"/>
    </row>
    <row r="163" spans="1:15" ht="20.100000000000001" customHeight="1">
      <c r="A163" s="69" t="s">
        <v>419</v>
      </c>
      <c r="B163" s="162" t="s">
        <v>647</v>
      </c>
      <c r="C163" s="505">
        <v>0</v>
      </c>
      <c r="D163" s="276">
        <v>0</v>
      </c>
      <c r="E163" s="276">
        <v>0</v>
      </c>
      <c r="F163" s="276">
        <v>0</v>
      </c>
      <c r="G163" s="276">
        <v>0</v>
      </c>
      <c r="H163" s="276">
        <v>0</v>
      </c>
      <c r="I163" s="276">
        <v>0</v>
      </c>
      <c r="J163" s="145"/>
    </row>
    <row r="164" spans="1:15" ht="20.100000000000001" customHeight="1">
      <c r="A164" s="69" t="s">
        <v>646</v>
      </c>
      <c r="B164" s="162" t="s">
        <v>1068</v>
      </c>
      <c r="C164" s="505">
        <v>0</v>
      </c>
      <c r="D164" s="276">
        <v>0</v>
      </c>
      <c r="E164" s="276">
        <v>0</v>
      </c>
      <c r="F164" s="276">
        <v>0</v>
      </c>
      <c r="G164" s="276">
        <v>0</v>
      </c>
      <c r="H164" s="276">
        <v>0</v>
      </c>
      <c r="I164" s="276">
        <v>0</v>
      </c>
      <c r="J164" s="145"/>
    </row>
    <row r="165" spans="1:15">
      <c r="A165" s="69" t="s">
        <v>125</v>
      </c>
      <c r="B165" s="162">
        <v>1130</v>
      </c>
      <c r="C165" s="183">
        <v>0</v>
      </c>
      <c r="D165" s="276">
        <v>0</v>
      </c>
      <c r="E165" s="276">
        <v>0</v>
      </c>
      <c r="F165" s="276">
        <v>0</v>
      </c>
      <c r="G165" s="276">
        <v>0</v>
      </c>
      <c r="H165" s="276">
        <v>0</v>
      </c>
      <c r="I165" s="276">
        <v>0</v>
      </c>
      <c r="J165" s="145"/>
    </row>
    <row r="166" spans="1:15" ht="33" customHeight="1">
      <c r="A166" s="69" t="s">
        <v>124</v>
      </c>
      <c r="B166" s="162">
        <v>1140</v>
      </c>
      <c r="C166" s="183">
        <v>0</v>
      </c>
      <c r="D166" s="276">
        <v>3248</v>
      </c>
      <c r="E166" s="183">
        <f>E167+E168</f>
        <v>2015</v>
      </c>
      <c r="F166" s="183">
        <f>F167+F168</f>
        <v>599.44000000000005</v>
      </c>
      <c r="G166" s="183">
        <f>G167+G168</f>
        <v>1527.44</v>
      </c>
      <c r="H166" s="183">
        <f>H167+H168</f>
        <v>1527.44</v>
      </c>
      <c r="I166" s="183">
        <f>I167+I168</f>
        <v>1527.44</v>
      </c>
      <c r="J166" s="145"/>
    </row>
    <row r="167" spans="1:15" s="821" customFormat="1" ht="35.25" customHeight="1">
      <c r="A167" s="817" t="s">
        <v>657</v>
      </c>
      <c r="B167" s="162" t="s">
        <v>648</v>
      </c>
      <c r="C167" s="183">
        <v>0</v>
      </c>
      <c r="D167" s="183">
        <v>2237</v>
      </c>
      <c r="E167" s="183">
        <v>2015</v>
      </c>
      <c r="F167" s="183">
        <v>599.44000000000005</v>
      </c>
      <c r="G167" s="183">
        <f>67+F167</f>
        <v>666.44</v>
      </c>
      <c r="H167" s="183">
        <f>G167</f>
        <v>666.44</v>
      </c>
      <c r="I167" s="183">
        <f>H167</f>
        <v>666.44</v>
      </c>
      <c r="J167" s="820"/>
      <c r="K167" s="821">
        <v>830</v>
      </c>
    </row>
    <row r="168" spans="1:15" s="821" customFormat="1" ht="53.25" customHeight="1">
      <c r="A168" s="817" t="s">
        <v>1028</v>
      </c>
      <c r="B168" s="162" t="s">
        <v>651</v>
      </c>
      <c r="C168" s="183">
        <v>0</v>
      </c>
      <c r="D168" s="183">
        <v>1011</v>
      </c>
      <c r="E168" s="183">
        <v>0</v>
      </c>
      <c r="F168" s="183">
        <v>0</v>
      </c>
      <c r="G168" s="183">
        <v>861</v>
      </c>
      <c r="H168" s="183">
        <f>G168</f>
        <v>861</v>
      </c>
      <c r="I168" s="183">
        <f>H168</f>
        <v>861</v>
      </c>
      <c r="J168" s="820"/>
      <c r="K168" s="821" t="s">
        <v>1017</v>
      </c>
    </row>
    <row r="169" spans="1:15" ht="44.25" customHeight="1">
      <c r="A169" s="69" t="s">
        <v>234</v>
      </c>
      <c r="B169" s="162">
        <v>1150</v>
      </c>
      <c r="C169" s="183">
        <v>36154</v>
      </c>
      <c r="D169" s="276">
        <v>60136</v>
      </c>
      <c r="E169" s="183">
        <v>0</v>
      </c>
      <c r="F169" s="183">
        <f>F171+F172+F173+F174</f>
        <v>0</v>
      </c>
      <c r="G169" s="183">
        <f>G171+G172+G173+G174</f>
        <v>0</v>
      </c>
      <c r="H169" s="183">
        <f>H171+H172+H173+H174</f>
        <v>0</v>
      </c>
      <c r="I169" s="183">
        <f>I171+I172+I173+I174</f>
        <v>0</v>
      </c>
      <c r="J169" s="145"/>
    </row>
    <row r="170" spans="1:15" ht="40.5" customHeight="1">
      <c r="A170" s="272" t="s">
        <v>659</v>
      </c>
      <c r="B170" s="162" t="s">
        <v>420</v>
      </c>
      <c r="C170" s="183">
        <v>36154</v>
      </c>
      <c r="D170" s="276">
        <v>60136</v>
      </c>
      <c r="E170" s="183">
        <v>0</v>
      </c>
      <c r="F170" s="183">
        <v>0</v>
      </c>
      <c r="G170" s="183">
        <v>0</v>
      </c>
      <c r="H170" s="183">
        <v>0</v>
      </c>
      <c r="I170" s="183">
        <v>0</v>
      </c>
      <c r="J170" s="145"/>
    </row>
    <row r="171" spans="1:15" ht="30.75" customHeight="1">
      <c r="A171" s="69" t="s">
        <v>233</v>
      </c>
      <c r="B171" s="162">
        <v>1151</v>
      </c>
      <c r="C171" s="183">
        <v>0</v>
      </c>
      <c r="D171" s="276">
        <v>0</v>
      </c>
      <c r="E171" s="183">
        <v>0</v>
      </c>
      <c r="F171" s="183">
        <v>0</v>
      </c>
      <c r="G171" s="183">
        <v>0</v>
      </c>
      <c r="H171" s="183">
        <v>0</v>
      </c>
      <c r="I171" s="183">
        <v>0</v>
      </c>
      <c r="J171" s="145"/>
    </row>
    <row r="172" spans="1:15">
      <c r="A172" s="69" t="s">
        <v>235</v>
      </c>
      <c r="B172" s="162">
        <v>1160</v>
      </c>
      <c r="C172" s="183">
        <v>36186</v>
      </c>
      <c r="D172" s="276">
        <v>0</v>
      </c>
      <c r="E172" s="183">
        <v>0</v>
      </c>
      <c r="F172" s="183">
        <v>0</v>
      </c>
      <c r="G172" s="183">
        <v>0</v>
      </c>
      <c r="H172" s="183">
        <v>0</v>
      </c>
      <c r="I172" s="183">
        <v>0</v>
      </c>
      <c r="J172" s="145"/>
    </row>
    <row r="173" spans="1:15">
      <c r="A173" s="69" t="s">
        <v>214</v>
      </c>
      <c r="B173" s="162" t="s">
        <v>421</v>
      </c>
      <c r="C173" s="183">
        <v>36154</v>
      </c>
      <c r="D173" s="276">
        <v>0</v>
      </c>
      <c r="E173" s="183">
        <v>0</v>
      </c>
      <c r="F173" s="183">
        <v>0</v>
      </c>
      <c r="G173" s="183">
        <v>0</v>
      </c>
      <c r="H173" s="183">
        <v>0</v>
      </c>
      <c r="I173" s="183">
        <v>0</v>
      </c>
      <c r="J173" s="145"/>
    </row>
    <row r="174" spans="1:15" ht="20.100000000000001" customHeight="1">
      <c r="A174" s="69" t="s">
        <v>233</v>
      </c>
      <c r="B174" s="162">
        <v>1161</v>
      </c>
      <c r="C174" s="183">
        <v>0</v>
      </c>
      <c r="D174" s="276">
        <v>0</v>
      </c>
      <c r="E174" s="183">
        <v>0</v>
      </c>
      <c r="F174" s="183">
        <v>0</v>
      </c>
      <c r="G174" s="183">
        <v>0</v>
      </c>
      <c r="H174" s="183">
        <v>0</v>
      </c>
      <c r="I174" s="183">
        <v>0</v>
      </c>
      <c r="J174" s="145"/>
    </row>
    <row r="175" spans="1:15" s="5" customFormat="1">
      <c r="A175" s="161" t="s">
        <v>107</v>
      </c>
      <c r="B175" s="213">
        <v>1170</v>
      </c>
      <c r="C175" s="182">
        <f t="shared" ref="C175:I175" si="28">C159+C160+C161+C169-C166-C165-C172</f>
        <v>-12867</v>
      </c>
      <c r="D175" s="509">
        <f t="shared" si="28"/>
        <v>6229</v>
      </c>
      <c r="E175" s="182">
        <f t="shared" si="28"/>
        <v>-49954.157661000063</v>
      </c>
      <c r="F175" s="182">
        <f t="shared" si="28"/>
        <v>10511.458583565758</v>
      </c>
      <c r="G175" s="182">
        <f t="shared" si="28"/>
        <v>6469.2524218101698</v>
      </c>
      <c r="H175" s="182">
        <f t="shared" si="28"/>
        <v>3281.0178425633371</v>
      </c>
      <c r="I175" s="182">
        <f t="shared" si="28"/>
        <v>9616.5884461094556</v>
      </c>
      <c r="J175" s="146"/>
      <c r="O175" s="294"/>
    </row>
    <row r="176" spans="1:15" ht="28.5" customHeight="1">
      <c r="A176" s="69" t="s">
        <v>152</v>
      </c>
      <c r="B176" s="162">
        <v>1180</v>
      </c>
      <c r="C176" s="183">
        <v>0</v>
      </c>
      <c r="D176" s="183">
        <v>1121</v>
      </c>
      <c r="E176" s="183">
        <v>0</v>
      </c>
      <c r="F176" s="183">
        <f>ROUND(F175*18%,0)</f>
        <v>1892</v>
      </c>
      <c r="G176" s="183">
        <f>F176</f>
        <v>1892</v>
      </c>
      <c r="H176" s="183">
        <f>G176</f>
        <v>1892</v>
      </c>
      <c r="I176" s="183">
        <f>H176</f>
        <v>1892</v>
      </c>
      <c r="J176" s="145"/>
    </row>
    <row r="177" spans="1:35" ht="37.5">
      <c r="A177" s="69" t="s">
        <v>153</v>
      </c>
      <c r="B177" s="162">
        <v>1190</v>
      </c>
      <c r="C177" s="183">
        <v>0</v>
      </c>
      <c r="D177" s="276">
        <v>0</v>
      </c>
      <c r="E177" s="183">
        <v>0</v>
      </c>
      <c r="F177" s="183">
        <v>0</v>
      </c>
      <c r="G177" s="183">
        <v>0</v>
      </c>
      <c r="H177" s="183">
        <v>0</v>
      </c>
      <c r="I177" s="183">
        <v>0</v>
      </c>
      <c r="J177" s="145"/>
    </row>
    <row r="178" spans="1:35" s="5" customFormat="1" ht="37.5">
      <c r="A178" s="161" t="s">
        <v>108</v>
      </c>
      <c r="B178" s="213">
        <v>1200</v>
      </c>
      <c r="C178" s="182">
        <f t="shared" ref="C178:I178" si="29">C175-C176-C177</f>
        <v>-12867</v>
      </c>
      <c r="D178" s="509">
        <f t="shared" si="29"/>
        <v>5108</v>
      </c>
      <c r="E178" s="187">
        <f t="shared" si="29"/>
        <v>-49954.157661000063</v>
      </c>
      <c r="F178" s="187">
        <f>F175-F176-F177</f>
        <v>8619.4585835657581</v>
      </c>
      <c r="G178" s="187">
        <f t="shared" si="29"/>
        <v>4577.2524218101698</v>
      </c>
      <c r="H178" s="187">
        <f t="shared" si="29"/>
        <v>1389.0178425633371</v>
      </c>
      <c r="I178" s="187">
        <f t="shared" si="29"/>
        <v>7724.5884461094556</v>
      </c>
      <c r="K178" s="273">
        <f>I7*3%</f>
        <v>7202.8863800434665</v>
      </c>
      <c r="O178" s="294"/>
      <c r="AA178" s="516">
        <f>I178/I7*100</f>
        <v>3.2172887528164122</v>
      </c>
    </row>
    <row r="179" spans="1:35">
      <c r="A179" s="69" t="s">
        <v>25</v>
      </c>
      <c r="B179" s="181">
        <v>1201</v>
      </c>
      <c r="C179" s="182">
        <f>SUMIF(C178,"&gt;0")</f>
        <v>0</v>
      </c>
      <c r="D179" s="509">
        <f t="shared" ref="D179:I179" si="30">SUMIF(D178,"&gt;0")</f>
        <v>5108</v>
      </c>
      <c r="E179" s="509">
        <f t="shared" si="30"/>
        <v>0</v>
      </c>
      <c r="F179" s="509">
        <f t="shared" si="30"/>
        <v>8619.4585835657581</v>
      </c>
      <c r="G179" s="509">
        <f t="shared" si="30"/>
        <v>4577.2524218101698</v>
      </c>
      <c r="H179" s="509">
        <f t="shared" si="30"/>
        <v>1389.0178425633371</v>
      </c>
      <c r="I179" s="509">
        <f t="shared" si="30"/>
        <v>7724.5884461094556</v>
      </c>
      <c r="J179" s="145"/>
      <c r="K179" s="431">
        <f>I179/I7</f>
        <v>3.2172887528164121E-2</v>
      </c>
      <c r="L179" s="2">
        <f>I7*2%</f>
        <v>4801.924253362311</v>
      </c>
      <c r="AA179" s="517">
        <f>I7*3%</f>
        <v>7202.8863800434665</v>
      </c>
    </row>
    <row r="180" spans="1:35">
      <c r="A180" s="69" t="s">
        <v>26</v>
      </c>
      <c r="B180" s="181">
        <v>1202</v>
      </c>
      <c r="C180" s="182">
        <f>SUMIF(C178,"&lt;0")</f>
        <v>-12867</v>
      </c>
      <c r="D180" s="509">
        <f t="shared" ref="D180:I180" si="31">SUMIF(D178,"&lt;0")</f>
        <v>0</v>
      </c>
      <c r="E180" s="187">
        <f t="shared" si="31"/>
        <v>-49954.157661000063</v>
      </c>
      <c r="F180" s="187">
        <f t="shared" si="31"/>
        <v>0</v>
      </c>
      <c r="G180" s="182">
        <f t="shared" si="31"/>
        <v>0</v>
      </c>
      <c r="H180" s="182">
        <f t="shared" si="31"/>
        <v>0</v>
      </c>
      <c r="I180" s="182">
        <f t="shared" si="31"/>
        <v>0</v>
      </c>
      <c r="J180" s="145"/>
    </row>
    <row r="181" spans="1:35" ht="19.5" customHeight="1">
      <c r="A181" s="69" t="s">
        <v>265</v>
      </c>
      <c r="B181" s="162">
        <v>1210</v>
      </c>
      <c r="C181" s="183">
        <v>0</v>
      </c>
      <c r="D181" s="276">
        <v>0</v>
      </c>
      <c r="E181" s="183">
        <v>0</v>
      </c>
      <c r="F181" s="183">
        <v>0</v>
      </c>
      <c r="G181" s="183">
        <v>0</v>
      </c>
      <c r="H181" s="183">
        <v>0</v>
      </c>
      <c r="I181" s="183">
        <v>0</v>
      </c>
      <c r="J181" s="145"/>
    </row>
    <row r="182" spans="1:35" s="5" customFormat="1" ht="20.100000000000001" customHeight="1">
      <c r="A182" s="1073" t="s">
        <v>310</v>
      </c>
      <c r="B182" s="1074"/>
      <c r="C182" s="1074"/>
      <c r="D182" s="1074"/>
      <c r="E182" s="1074"/>
      <c r="F182" s="1074"/>
      <c r="G182" s="1074"/>
      <c r="H182" s="1074"/>
      <c r="I182" s="1074"/>
      <c r="J182" s="1075"/>
      <c r="O182" s="294"/>
    </row>
    <row r="183" spans="1:35" ht="42.75" customHeight="1">
      <c r="A183" s="207" t="s">
        <v>288</v>
      </c>
      <c r="B183" s="95">
        <v>1300</v>
      </c>
      <c r="C183" s="185">
        <f t="shared" ref="C183:I183" si="32">C83-C143</f>
        <v>-586</v>
      </c>
      <c r="D183" s="275">
        <f t="shared" si="32"/>
        <v>-60927</v>
      </c>
      <c r="E183" s="208">
        <f t="shared" si="32"/>
        <v>-44827.763298333331</v>
      </c>
      <c r="F183" s="185">
        <f t="shared" si="32"/>
        <v>-175</v>
      </c>
      <c r="G183" s="185">
        <f t="shared" si="32"/>
        <v>-350</v>
      </c>
      <c r="H183" s="185">
        <f t="shared" si="32"/>
        <v>-525</v>
      </c>
      <c r="I183" s="185">
        <f t="shared" si="32"/>
        <v>-700</v>
      </c>
      <c r="J183" s="145"/>
    </row>
    <row r="184" spans="1:35" ht="75">
      <c r="A184" s="102" t="s">
        <v>282</v>
      </c>
      <c r="B184" s="95">
        <v>1310</v>
      </c>
      <c r="C184" s="185">
        <f t="shared" ref="C184:I184" si="33">C160+C161-C165-C166</f>
        <v>370</v>
      </c>
      <c r="D184" s="275">
        <f t="shared" si="33"/>
        <v>-2598</v>
      </c>
      <c r="E184" s="208">
        <f t="shared" si="33"/>
        <v>-1297</v>
      </c>
      <c r="F184" s="185">
        <f t="shared" si="33"/>
        <v>-549.44000000000005</v>
      </c>
      <c r="G184" s="185">
        <f t="shared" si="33"/>
        <v>-1477.44</v>
      </c>
      <c r="H184" s="185">
        <f t="shared" si="33"/>
        <v>-1477.44</v>
      </c>
      <c r="I184" s="185">
        <f t="shared" si="33"/>
        <v>-1477.44</v>
      </c>
      <c r="J184" s="145"/>
    </row>
    <row r="185" spans="1:35" ht="42.75" customHeight="1">
      <c r="A185" s="207" t="s">
        <v>283</v>
      </c>
      <c r="B185" s="95">
        <v>1320</v>
      </c>
      <c r="C185" s="185">
        <f>C169-C172</f>
        <v>-32</v>
      </c>
      <c r="D185" s="275">
        <f t="shared" ref="D185:I185" si="34">D169-D172</f>
        <v>60136</v>
      </c>
      <c r="E185" s="208">
        <f t="shared" si="34"/>
        <v>0</v>
      </c>
      <c r="F185" s="185">
        <f t="shared" si="34"/>
        <v>0</v>
      </c>
      <c r="G185" s="185">
        <f t="shared" si="34"/>
        <v>0</v>
      </c>
      <c r="H185" s="185">
        <f t="shared" si="34"/>
        <v>0</v>
      </c>
      <c r="I185" s="185">
        <f t="shared" si="34"/>
        <v>0</v>
      </c>
      <c r="J185" s="145"/>
    </row>
    <row r="186" spans="1:35" ht="37.5">
      <c r="A186" s="102" t="s">
        <v>368</v>
      </c>
      <c r="B186" s="206">
        <v>1330</v>
      </c>
      <c r="C186" s="185">
        <f t="shared" ref="C186:I186" si="35">C7+C83+C160+C161+C169</f>
        <v>104850</v>
      </c>
      <c r="D186" s="275">
        <f t="shared" si="35"/>
        <v>231048</v>
      </c>
      <c r="E186" s="208">
        <f t="shared" si="35"/>
        <v>293389.37753472221</v>
      </c>
      <c r="F186" s="185">
        <f t="shared" si="35"/>
        <v>98955.232604166667</v>
      </c>
      <c r="G186" s="185">
        <f t="shared" si="35"/>
        <v>184389.78068159439</v>
      </c>
      <c r="H186" s="185">
        <f t="shared" si="35"/>
        <v>260920.18778594886</v>
      </c>
      <c r="I186" s="185">
        <f t="shared" si="35"/>
        <v>341928.05904278223</v>
      </c>
      <c r="J186" s="145"/>
      <c r="AB186" s="301"/>
      <c r="AC186" s="301"/>
      <c r="AD186" s="301"/>
      <c r="AE186" s="301"/>
    </row>
    <row r="187" spans="1:35" ht="56.25">
      <c r="A187" s="102" t="s">
        <v>369</v>
      </c>
      <c r="B187" s="206">
        <v>1340</v>
      </c>
      <c r="C187" s="185">
        <f t="shared" ref="C187:I187" si="36">C13+C87+C135+C143+C165+C166+C172+C176+C177</f>
        <v>117717</v>
      </c>
      <c r="D187" s="275">
        <f t="shared" si="36"/>
        <v>225940</v>
      </c>
      <c r="E187" s="208">
        <f>E13+E87+E135+E143+E165+E166+E172+E176+E177</f>
        <v>343343.53519572224</v>
      </c>
      <c r="F187" s="185">
        <f t="shared" si="36"/>
        <v>90335.774020600918</v>
      </c>
      <c r="G187" s="185">
        <f t="shared" si="36"/>
        <v>179812.52825978422</v>
      </c>
      <c r="H187" s="185">
        <f t="shared" si="36"/>
        <v>259531.16994338552</v>
      </c>
      <c r="I187" s="185">
        <f t="shared" si="36"/>
        <v>334203.47059667279</v>
      </c>
      <c r="J187" s="145"/>
      <c r="AB187" s="301">
        <f>SUM(AB25:AB186)</f>
        <v>8523.2168557382447</v>
      </c>
      <c r="AC187" s="301">
        <f>SUM(AC25:AC186)</f>
        <v>17235.86004972666</v>
      </c>
      <c r="AD187" s="301">
        <f>SUM(AD25:AD186)</f>
        <v>26144.279263180008</v>
      </c>
      <c r="AE187" s="301">
        <f>SUM(AE25:AE186)</f>
        <v>34265.73097861222</v>
      </c>
    </row>
    <row r="188" spans="1:35" ht="20.100000000000001" customHeight="1">
      <c r="A188" s="1073" t="s">
        <v>182</v>
      </c>
      <c r="B188" s="1074"/>
      <c r="C188" s="1074"/>
      <c r="D188" s="1074"/>
      <c r="E188" s="1074"/>
      <c r="F188" s="1074"/>
      <c r="G188" s="1074"/>
      <c r="H188" s="1074"/>
      <c r="I188" s="1074"/>
      <c r="J188" s="1075"/>
      <c r="AB188" s="495">
        <f>29191711.15/1000</f>
        <v>29191.711149999999</v>
      </c>
    </row>
    <row r="189" spans="1:35" ht="37.5">
      <c r="A189" s="418" t="s">
        <v>284</v>
      </c>
      <c r="B189" s="206">
        <v>1400</v>
      </c>
      <c r="C189" s="208">
        <f t="shared" ref="C189:I189" si="37">C159</f>
        <v>-13205</v>
      </c>
      <c r="D189" s="208">
        <f t="shared" si="37"/>
        <v>-51309</v>
      </c>
      <c r="E189" s="208">
        <f t="shared" si="37"/>
        <v>-48657.157661000063</v>
      </c>
      <c r="F189" s="208">
        <f t="shared" si="37"/>
        <v>11060.898583565759</v>
      </c>
      <c r="G189" s="208">
        <f t="shared" si="37"/>
        <v>7946.6924218101703</v>
      </c>
      <c r="H189" s="208">
        <f t="shared" si="37"/>
        <v>4758.4578425633372</v>
      </c>
      <c r="I189" s="208">
        <f t="shared" si="37"/>
        <v>11094.028446109456</v>
      </c>
      <c r="J189" s="419"/>
      <c r="AB189" s="2" t="s">
        <v>1065</v>
      </c>
      <c r="AF189" s="496">
        <f>763780.868333333/1000</f>
        <v>763.78086833333305</v>
      </c>
      <c r="AG189" s="496">
        <f>763780.868333333/1000</f>
        <v>763.78086833333305</v>
      </c>
      <c r="AH189" s="496">
        <f>763780.868333333/1000</f>
        <v>763.78086833333305</v>
      </c>
      <c r="AI189" s="496">
        <f>763780.868333333/1000</f>
        <v>763.78086833333305</v>
      </c>
    </row>
    <row r="190" spans="1:35">
      <c r="A190" s="418" t="s">
        <v>285</v>
      </c>
      <c r="B190" s="206">
        <v>1401</v>
      </c>
      <c r="C190" s="208">
        <f>C201</f>
        <v>8280</v>
      </c>
      <c r="D190" s="208">
        <f t="shared" ref="D190:I190" si="38">D201</f>
        <v>19861</v>
      </c>
      <c r="E190" s="208">
        <f t="shared" si="38"/>
        <v>106641.2497613889</v>
      </c>
      <c r="F190" s="208">
        <f t="shared" si="38"/>
        <v>29522.107604166667</v>
      </c>
      <c r="G190" s="208">
        <f t="shared" si="38"/>
        <v>58900.850848333335</v>
      </c>
      <c r="H190" s="208">
        <f t="shared" si="38"/>
        <v>88351.276272500007</v>
      </c>
      <c r="I190" s="208">
        <f t="shared" si="38"/>
        <v>117801.70169666667</v>
      </c>
      <c r="J190" s="419"/>
      <c r="AB190" s="2">
        <f>AF189+AG189+AH189</f>
        <v>2291.3426049999989</v>
      </c>
      <c r="AC190" s="2">
        <f>AI189</f>
        <v>763.78086833333305</v>
      </c>
    </row>
    <row r="191" spans="1:35" ht="37.5">
      <c r="A191" s="418" t="s">
        <v>286</v>
      </c>
      <c r="B191" s="206">
        <v>1402</v>
      </c>
      <c r="C191" s="208">
        <f t="shared" ref="C191:I191" si="39">C86</f>
        <v>0</v>
      </c>
      <c r="D191" s="208">
        <f t="shared" si="39"/>
        <v>0</v>
      </c>
      <c r="E191" s="208">
        <f t="shared" si="39"/>
        <v>0</v>
      </c>
      <c r="F191" s="208">
        <f t="shared" si="39"/>
        <v>0</v>
      </c>
      <c r="G191" s="208">
        <f t="shared" si="39"/>
        <v>0</v>
      </c>
      <c r="H191" s="208">
        <f t="shared" si="39"/>
        <v>0</v>
      </c>
      <c r="I191" s="208">
        <f t="shared" si="39"/>
        <v>0</v>
      </c>
      <c r="J191" s="419"/>
      <c r="AB191" s="497">
        <f>AB188-AB187+AB190</f>
        <v>22959.836899261754</v>
      </c>
      <c r="AC191" s="497">
        <f>AB188-AC187+AB190+AC190</f>
        <v>15010.974573606671</v>
      </c>
      <c r="AD191" s="497">
        <f>AB188-AD187+AB190+AC190</f>
        <v>6102.5553601533238</v>
      </c>
      <c r="AE191" s="498">
        <f>AB188-AE187+AB190+AC190</f>
        <v>-2018.8963552788894</v>
      </c>
    </row>
    <row r="192" spans="1:35" ht="37.5">
      <c r="A192" s="418" t="s">
        <v>287</v>
      </c>
      <c r="B192" s="206">
        <v>1403</v>
      </c>
      <c r="C192" s="208">
        <f t="shared" ref="C192:I192" si="40">C149</f>
        <v>0</v>
      </c>
      <c r="D192" s="208">
        <f t="shared" si="40"/>
        <v>0</v>
      </c>
      <c r="E192" s="208">
        <f t="shared" si="40"/>
        <v>0</v>
      </c>
      <c r="F192" s="208">
        <f t="shared" si="40"/>
        <v>0</v>
      </c>
      <c r="G192" s="208">
        <f t="shared" si="40"/>
        <v>0</v>
      </c>
      <c r="H192" s="208">
        <f t="shared" si="40"/>
        <v>0</v>
      </c>
      <c r="I192" s="208">
        <f t="shared" si="40"/>
        <v>0</v>
      </c>
      <c r="J192" s="419"/>
    </row>
    <row r="193" spans="1:28" ht="37.5">
      <c r="A193" s="418" t="s">
        <v>354</v>
      </c>
      <c r="B193" s="206">
        <v>1404</v>
      </c>
      <c r="C193" s="208"/>
      <c r="D193" s="208"/>
      <c r="E193" s="208"/>
      <c r="F193" s="208"/>
      <c r="G193" s="208"/>
      <c r="H193" s="208"/>
      <c r="I193" s="208"/>
      <c r="J193" s="419"/>
    </row>
    <row r="194" spans="1:28" s="5" customFormat="1" ht="20.100000000000001" customHeight="1">
      <c r="A194" s="104" t="s">
        <v>156</v>
      </c>
      <c r="B194" s="209">
        <v>1410</v>
      </c>
      <c r="C194" s="436">
        <f>C189+C190-C191+C192</f>
        <v>-4925</v>
      </c>
      <c r="D194" s="436">
        <f t="shared" ref="D194:I194" si="41">D189+D190-D191+D192</f>
        <v>-31448</v>
      </c>
      <c r="E194" s="436">
        <f t="shared" si="41"/>
        <v>57984.092100388836</v>
      </c>
      <c r="F194" s="436">
        <f t="shared" si="41"/>
        <v>40583.006187732426</v>
      </c>
      <c r="G194" s="436">
        <f t="shared" si="41"/>
        <v>66847.543270143506</v>
      </c>
      <c r="H194" s="436">
        <f t="shared" si="41"/>
        <v>93109.734115063344</v>
      </c>
      <c r="I194" s="436">
        <f t="shared" si="41"/>
        <v>128895.73014277613</v>
      </c>
      <c r="J194" s="146"/>
      <c r="O194" s="294"/>
    </row>
    <row r="195" spans="1:28" ht="20.100000000000001" customHeight="1">
      <c r="A195" s="1073" t="s">
        <v>250</v>
      </c>
      <c r="B195" s="1074"/>
      <c r="C195" s="1074"/>
      <c r="D195" s="1074"/>
      <c r="E195" s="1074"/>
      <c r="F195" s="1074"/>
      <c r="G195" s="1074"/>
      <c r="H195" s="1074"/>
      <c r="I195" s="1074"/>
      <c r="J195" s="1075"/>
    </row>
    <row r="196" spans="1:28" ht="20.100000000000001" customHeight="1">
      <c r="A196" s="8" t="s">
        <v>311</v>
      </c>
      <c r="B196" s="71">
        <v>1500</v>
      </c>
      <c r="C196" s="505">
        <f>C197+C198</f>
        <v>27069</v>
      </c>
      <c r="D196" s="183">
        <v>60760</v>
      </c>
      <c r="E196" s="826">
        <f>E197+E198</f>
        <v>42747.466666666674</v>
      </c>
      <c r="F196" s="183">
        <f>F197+F198</f>
        <v>22568.682503626354</v>
      </c>
      <c r="G196" s="183">
        <f>G197+G198</f>
        <v>42023.805585710921</v>
      </c>
      <c r="H196" s="183">
        <f>H197+H198</f>
        <v>52509.149384462158</v>
      </c>
      <c r="I196" s="183">
        <f>I197+I198</f>
        <v>61576.204528338261</v>
      </c>
      <c r="J196" s="419"/>
    </row>
    <row r="197" spans="1:28">
      <c r="A197" s="8" t="s">
        <v>309</v>
      </c>
      <c r="B197" s="416">
        <v>1501</v>
      </c>
      <c r="C197" s="505">
        <f t="shared" ref="C197:I197" si="42">C14+C211</f>
        <v>13431</v>
      </c>
      <c r="D197" s="183">
        <f t="shared" si="42"/>
        <v>40251</v>
      </c>
      <c r="E197" s="826">
        <f t="shared" si="42"/>
        <v>16851.600000000002</v>
      </c>
      <c r="F197" s="183">
        <f t="shared" si="42"/>
        <v>13952.189883333333</v>
      </c>
      <c r="G197" s="183">
        <f t="shared" si="42"/>
        <v>25297.210583333333</v>
      </c>
      <c r="H197" s="183">
        <f t="shared" si="42"/>
        <v>27670.652000000002</v>
      </c>
      <c r="I197" s="183">
        <f t="shared" si="42"/>
        <v>32464.695</v>
      </c>
      <c r="J197" s="266"/>
    </row>
    <row r="198" spans="1:28">
      <c r="A198" s="8" t="s">
        <v>29</v>
      </c>
      <c r="B198" s="416">
        <v>1502</v>
      </c>
      <c r="C198" s="505">
        <f t="shared" ref="C198:I198" si="43">C20+C21</f>
        <v>13638</v>
      </c>
      <c r="D198" s="183">
        <f t="shared" si="43"/>
        <v>20509</v>
      </c>
      <c r="E198" s="826">
        <f t="shared" si="43"/>
        <v>25895.866666666669</v>
      </c>
      <c r="F198" s="183">
        <f t="shared" si="43"/>
        <v>8616.4926202930219</v>
      </c>
      <c r="G198" s="183">
        <f t="shared" si="43"/>
        <v>16726.595002377588</v>
      </c>
      <c r="H198" s="183">
        <f t="shared" si="43"/>
        <v>24838.497384462153</v>
      </c>
      <c r="I198" s="183">
        <f t="shared" si="43"/>
        <v>29111.509528338262</v>
      </c>
      <c r="J198" s="266"/>
    </row>
    <row r="199" spans="1:28">
      <c r="A199" s="8" t="s">
        <v>5</v>
      </c>
      <c r="B199" s="71">
        <v>1510</v>
      </c>
      <c r="C199" s="505">
        <f>C25+C100+C212</f>
        <v>24774</v>
      </c>
      <c r="D199" s="183">
        <f t="shared" ref="D199:I200" si="44">D25+D100+D212</f>
        <v>30811</v>
      </c>
      <c r="E199" s="826">
        <f>E25+E100+E212</f>
        <v>43943.200000000004</v>
      </c>
      <c r="F199" s="183">
        <f>F25+F100+F212</f>
        <v>13617.95955000001</v>
      </c>
      <c r="G199" s="183">
        <f>G25+G100+G212</f>
        <v>27235.919100000021</v>
      </c>
      <c r="H199" s="183">
        <f>H25+H100+H212</f>
        <v>41398.559890000026</v>
      </c>
      <c r="I199" s="183">
        <f>I25+I100+I212</f>
        <v>55787.49415000002</v>
      </c>
      <c r="J199" s="266"/>
      <c r="AA199" s="2">
        <v>54159</v>
      </c>
      <c r="AB199" s="476">
        <f>I199-AA199</f>
        <v>1628.4941500000205</v>
      </c>
    </row>
    <row r="200" spans="1:28">
      <c r="A200" s="8" t="s">
        <v>6</v>
      </c>
      <c r="B200" s="71">
        <v>1520</v>
      </c>
      <c r="C200" s="505">
        <f>C26+C101+C213</f>
        <v>5396</v>
      </c>
      <c r="D200" s="183">
        <f t="shared" si="44"/>
        <v>6659</v>
      </c>
      <c r="E200" s="826">
        <f t="shared" si="44"/>
        <v>9423.8652800000018</v>
      </c>
      <c r="F200" s="183">
        <f t="shared" si="44"/>
        <v>2921.9239671999972</v>
      </c>
      <c r="G200" s="183">
        <f t="shared" si="44"/>
        <v>5843.8479343999943</v>
      </c>
      <c r="H200" s="183">
        <f t="shared" si="44"/>
        <v>8882.1605937999921</v>
      </c>
      <c r="I200" s="183">
        <f t="shared" si="44"/>
        <v>11969.68607019999</v>
      </c>
      <c r="J200" s="266"/>
      <c r="K200" s="196">
        <f>ROUND(Лист1!C17,0)</f>
        <v>2922</v>
      </c>
      <c r="L200" s="196">
        <f>ROUND(Лист1!D17,0)</f>
        <v>5844</v>
      </c>
      <c r="M200" s="196">
        <f>ROUND(Лист1!E17,0)</f>
        <v>8883</v>
      </c>
      <c r="N200" s="196">
        <f>ROUND(Лист1!F17,0)</f>
        <v>11970</v>
      </c>
      <c r="O200" s="196"/>
      <c r="P200" s="196"/>
      <c r="Q200" s="196"/>
    </row>
    <row r="201" spans="1:28">
      <c r="A201" s="8" t="s">
        <v>7</v>
      </c>
      <c r="B201" s="71">
        <v>1530</v>
      </c>
      <c r="C201" s="505">
        <f>C38+C102+C214</f>
        <v>8280</v>
      </c>
      <c r="D201" s="183">
        <f>D38+D102+D214</f>
        <v>19861</v>
      </c>
      <c r="E201" s="826">
        <f>E38+E102+E151+E214</f>
        <v>106641.2497613889</v>
      </c>
      <c r="F201" s="183">
        <f>F38+F102+F151+F214</f>
        <v>29522.107604166667</v>
      </c>
      <c r="G201" s="183">
        <f>G38+G102+G151+G214</f>
        <v>58900.850848333335</v>
      </c>
      <c r="H201" s="183">
        <f>H38+H102+H151+H214</f>
        <v>88351.276272500007</v>
      </c>
      <c r="I201" s="183">
        <f>I38+I102+I151+I214</f>
        <v>117801.70169666667</v>
      </c>
      <c r="J201" s="266"/>
      <c r="K201" s="196">
        <f>K200-F200</f>
        <v>7.6032800002849399E-2</v>
      </c>
      <c r="L201" s="196">
        <f>L200-G200</f>
        <v>0.1520656000056988</v>
      </c>
      <c r="M201" s="196">
        <f>M200-H200</f>
        <v>0.83940620000794297</v>
      </c>
      <c r="N201" s="196">
        <f>N200-I200</f>
        <v>0.31392980000964599</v>
      </c>
      <c r="O201" s="196"/>
    </row>
    <row r="202" spans="1:28">
      <c r="A202" s="8" t="s">
        <v>30</v>
      </c>
      <c r="B202" s="71">
        <v>1540</v>
      </c>
      <c r="C202" s="505">
        <f>C187-C176-C196-C199-C200-C201-C172</f>
        <v>16012</v>
      </c>
      <c r="D202" s="183">
        <f>D187-D176-D196-D199-D200-D201-D172</f>
        <v>106728</v>
      </c>
      <c r="E202" s="826">
        <f>E187-E176-E196-E199-E200-E201-E172</f>
        <v>140587.75348766666</v>
      </c>
      <c r="F202" s="183">
        <f>F187-F176-F196-F199-F200-F201</f>
        <v>19813.100395607878</v>
      </c>
      <c r="G202" s="183">
        <f>G187-G176-G196-G199-G200-G201</f>
        <v>43916.104791339945</v>
      </c>
      <c r="H202" s="183">
        <f>H187-H176-H196-H199-H200-H201</f>
        <v>66498.023802623342</v>
      </c>
      <c r="I202" s="183">
        <f>I187-I176-I196-I199-I200-I201</f>
        <v>85176.384151467835</v>
      </c>
      <c r="J202" s="266"/>
    </row>
    <row r="203" spans="1:28" s="5" customFormat="1" ht="20.100000000000001" customHeight="1">
      <c r="A203" s="9" t="s">
        <v>61</v>
      </c>
      <c r="B203" s="70">
        <v>1550</v>
      </c>
      <c r="C203" s="437">
        <f>SUM(C196,C199:C202)</f>
        <v>81531</v>
      </c>
      <c r="D203" s="437">
        <f t="shared" ref="D203:I203" si="45">SUM(D196,D199:D202)</f>
        <v>224819</v>
      </c>
      <c r="E203" s="827">
        <f t="shared" si="45"/>
        <v>343343.53519572224</v>
      </c>
      <c r="F203" s="437">
        <f t="shared" si="45"/>
        <v>88443.774020600904</v>
      </c>
      <c r="G203" s="437">
        <f t="shared" si="45"/>
        <v>177920.52825978422</v>
      </c>
      <c r="H203" s="437">
        <f t="shared" si="45"/>
        <v>257639.16994338552</v>
      </c>
      <c r="I203" s="437">
        <f t="shared" si="45"/>
        <v>332311.47059667279</v>
      </c>
      <c r="J203" s="146"/>
      <c r="K203" s="296">
        <f>8280-C102</f>
        <v>8264</v>
      </c>
      <c r="O203" s="294"/>
    </row>
    <row r="204" spans="1:28" s="5" customFormat="1" ht="20.100000000000001" customHeight="1">
      <c r="A204" s="136"/>
      <c r="B204" s="140"/>
      <c r="C204" s="141"/>
      <c r="D204" s="510"/>
      <c r="E204" s="142"/>
      <c r="F204" s="142"/>
      <c r="G204" s="142"/>
      <c r="H204" s="142"/>
      <c r="I204" s="142"/>
      <c r="J204" s="143"/>
      <c r="O204" s="294"/>
    </row>
    <row r="205" spans="1:28" s="5" customFormat="1" ht="15.75" customHeight="1">
      <c r="A205" s="136"/>
      <c r="B205" s="823">
        <v>13597984.290000007</v>
      </c>
      <c r="C205" s="824"/>
      <c r="D205" s="825">
        <v>27195968.580000013</v>
      </c>
      <c r="E205" s="141"/>
      <c r="F205" s="812"/>
      <c r="G205" s="812"/>
      <c r="H205" s="812"/>
      <c r="I205" s="812"/>
      <c r="J205" s="143"/>
      <c r="K205" s="296">
        <f>C200-5396</f>
        <v>0</v>
      </c>
      <c r="O205" s="294"/>
    </row>
    <row r="206" spans="1:28" ht="16.5" customHeight="1">
      <c r="A206" s="409"/>
      <c r="B206" s="412"/>
      <c r="C206" s="413"/>
      <c r="D206" s="511"/>
      <c r="E206" s="135"/>
      <c r="F206" s="611">
        <f>(F187-F199-F200-F201)/5</f>
        <v>8854.7565798468477</v>
      </c>
      <c r="G206" s="611">
        <f>(G187-G199-G200-G201)/5</f>
        <v>17566.382075410173</v>
      </c>
      <c r="H206" s="611">
        <f>(H187-H199-H200-H201)/5</f>
        <v>24179.834637417101</v>
      </c>
      <c r="I206" s="611">
        <f>(I187-I199-I200-I201)/5</f>
        <v>29728.917735961219</v>
      </c>
      <c r="J206" s="414"/>
    </row>
    <row r="207" spans="1:28" ht="37.5">
      <c r="A207" s="136" t="s">
        <v>445</v>
      </c>
      <c r="B207" s="137"/>
      <c r="C207" s="1077" t="s">
        <v>260</v>
      </c>
      <c r="D207" s="1077"/>
      <c r="E207" s="1077"/>
      <c r="F207" s="138"/>
      <c r="G207" s="1004" t="s">
        <v>1148</v>
      </c>
      <c r="H207" s="1004"/>
      <c r="I207" s="1004"/>
      <c r="J207" s="1121">
        <f>I200/I199</f>
        <v>0.21455858974443623</v>
      </c>
    </row>
    <row r="208" spans="1:28" s="1" customFormat="1" ht="20.100000000000001" customHeight="1">
      <c r="A208" s="94" t="s">
        <v>259</v>
      </c>
      <c r="B208" s="107"/>
      <c r="C208" s="1068" t="s">
        <v>339</v>
      </c>
      <c r="D208" s="1068"/>
      <c r="E208" s="1068"/>
      <c r="F208" s="139"/>
      <c r="G208" s="991" t="s">
        <v>116</v>
      </c>
      <c r="H208" s="991"/>
      <c r="I208" s="991"/>
      <c r="J208" s="144"/>
    </row>
    <row r="209" spans="1:10" ht="20.100000000000001" hidden="1" customHeight="1">
      <c r="A209" s="112"/>
      <c r="B209" s="108"/>
      <c r="C209" s="221">
        <v>2016</v>
      </c>
      <c r="D209" s="512" t="s">
        <v>654</v>
      </c>
      <c r="E209" s="279">
        <v>2017</v>
      </c>
      <c r="F209" s="221" t="s">
        <v>656</v>
      </c>
      <c r="G209" s="221" t="s">
        <v>372</v>
      </c>
      <c r="H209" s="221" t="s">
        <v>655</v>
      </c>
      <c r="I209" s="221">
        <v>2018</v>
      </c>
      <c r="J209" s="107"/>
    </row>
    <row r="210" spans="1:10" hidden="1">
      <c r="A210" s="112"/>
      <c r="B210" s="108" t="s">
        <v>453</v>
      </c>
      <c r="C210" s="134"/>
      <c r="D210" s="513"/>
      <c r="E210" s="278"/>
      <c r="F210" s="135"/>
      <c r="G210" s="135"/>
      <c r="H210" s="135"/>
      <c r="I210" s="135"/>
      <c r="J210" s="107"/>
    </row>
    <row r="211" spans="1:10" hidden="1">
      <c r="A211" s="112"/>
      <c r="B211" s="108" t="s">
        <v>448</v>
      </c>
      <c r="C211" s="635">
        <v>195</v>
      </c>
      <c r="D211" s="617">
        <v>195</v>
      </c>
      <c r="E211" s="636">
        <f>195+7</f>
        <v>202</v>
      </c>
      <c r="F211" s="183">
        <v>116.175</v>
      </c>
      <c r="G211" s="183">
        <v>232.35</v>
      </c>
      <c r="H211" s="183">
        <v>348.52499999999998</v>
      </c>
      <c r="I211" s="183">
        <v>464.7</v>
      </c>
      <c r="J211" s="265"/>
    </row>
    <row r="212" spans="1:10" hidden="1">
      <c r="A212" s="112"/>
      <c r="B212" s="108" t="s">
        <v>449</v>
      </c>
      <c r="C212" s="635">
        <v>497</v>
      </c>
      <c r="D212" s="617">
        <v>497</v>
      </c>
      <c r="E212" s="636">
        <v>497</v>
      </c>
      <c r="F212" s="183">
        <v>76.985910000000004</v>
      </c>
      <c r="G212" s="183">
        <v>153.97182000000004</v>
      </c>
      <c r="H212" s="183">
        <v>234</v>
      </c>
      <c r="I212" s="183">
        <v>315</v>
      </c>
      <c r="J212" s="265"/>
    </row>
    <row r="213" spans="1:10" hidden="1">
      <c r="A213" s="112"/>
      <c r="B213" s="108" t="s">
        <v>450</v>
      </c>
      <c r="C213" s="635">
        <v>109</v>
      </c>
      <c r="D213" s="617">
        <v>109</v>
      </c>
      <c r="E213" s="636">
        <v>109</v>
      </c>
      <c r="F213" s="183">
        <v>16.9369002</v>
      </c>
      <c r="G213" s="183">
        <v>33.873800400000007</v>
      </c>
      <c r="H213" s="183">
        <v>51</v>
      </c>
      <c r="I213" s="183">
        <v>69</v>
      </c>
      <c r="J213" s="265"/>
    </row>
    <row r="214" spans="1:10" hidden="1">
      <c r="A214" s="112"/>
      <c r="B214" s="108" t="s">
        <v>214</v>
      </c>
      <c r="C214" s="635">
        <v>69</v>
      </c>
      <c r="D214" s="617">
        <v>69</v>
      </c>
      <c r="E214" s="636">
        <v>69</v>
      </c>
      <c r="F214" s="183">
        <v>71.682180000000002</v>
      </c>
      <c r="G214" s="183">
        <v>143.36436</v>
      </c>
      <c r="H214" s="183">
        <v>215.04653999999999</v>
      </c>
      <c r="I214" s="183">
        <v>286.72872000000001</v>
      </c>
      <c r="J214" s="265"/>
    </row>
    <row r="215" spans="1:10" hidden="1">
      <c r="A215" s="112"/>
      <c r="B215" s="108" t="s">
        <v>451</v>
      </c>
      <c r="C215" s="487">
        <v>0</v>
      </c>
      <c r="D215" s="276">
        <v>0</v>
      </c>
      <c r="E215" s="636"/>
      <c r="F215" s="183">
        <v>22.975909999999999</v>
      </c>
      <c r="G215" s="183">
        <v>45.951819999999998</v>
      </c>
      <c r="H215" s="183">
        <v>68.927729999999997</v>
      </c>
      <c r="I215" s="183">
        <v>91.903639999999996</v>
      </c>
      <c r="J215" s="265"/>
    </row>
    <row r="216" spans="1:10" hidden="1">
      <c r="A216" s="112"/>
      <c r="B216" s="108" t="s">
        <v>452</v>
      </c>
      <c r="C216" s="221">
        <f>SUM(C211:C215)</f>
        <v>870</v>
      </c>
      <c r="D216" s="221">
        <f t="shared" ref="D216:I216" si="46">SUM(D211:D215)</f>
        <v>870</v>
      </c>
      <c r="E216" s="221">
        <f t="shared" si="46"/>
        <v>877</v>
      </c>
      <c r="F216" s="221">
        <f t="shared" si="46"/>
        <v>304.75590019999999</v>
      </c>
      <c r="G216" s="221">
        <f t="shared" si="46"/>
        <v>609.51180039999997</v>
      </c>
      <c r="H216" s="221">
        <f t="shared" si="46"/>
        <v>917.49926999999991</v>
      </c>
      <c r="I216" s="221">
        <f t="shared" si="46"/>
        <v>1227.3323600000001</v>
      </c>
      <c r="J216" s="107"/>
    </row>
    <row r="217" spans="1:10" hidden="1">
      <c r="A217" s="112"/>
      <c r="B217" s="108"/>
      <c r="C217" s="221">
        <f t="shared" ref="C217:I217" si="47">C88</f>
        <v>870</v>
      </c>
      <c r="D217" s="512">
        <f t="shared" si="47"/>
        <v>870</v>
      </c>
      <c r="E217" s="279">
        <f t="shared" si="47"/>
        <v>877</v>
      </c>
      <c r="F217" s="221">
        <f t="shared" si="47"/>
        <v>304.75070300000004</v>
      </c>
      <c r="G217" s="221">
        <f t="shared" si="47"/>
        <v>609.50140600000009</v>
      </c>
      <c r="H217" s="221">
        <f t="shared" si="47"/>
        <v>918.00880619999987</v>
      </c>
      <c r="I217" s="221">
        <f t="shared" si="47"/>
        <v>1228.0789898</v>
      </c>
      <c r="J217" s="107"/>
    </row>
    <row r="218" spans="1:10" hidden="1">
      <c r="A218" s="69" t="s">
        <v>311</v>
      </c>
      <c r="B218" s="108"/>
      <c r="C218" s="134"/>
      <c r="D218" s="513"/>
      <c r="E218" s="278"/>
      <c r="F218" s="135"/>
      <c r="G218" s="135"/>
      <c r="H218" s="135"/>
      <c r="I218" s="135"/>
      <c r="J218" s="107"/>
    </row>
    <row r="219" spans="1:10" ht="23.25" hidden="1" customHeight="1">
      <c r="A219" s="69" t="s">
        <v>309</v>
      </c>
      <c r="B219" s="107"/>
      <c r="C219" s="107"/>
      <c r="D219" s="277"/>
      <c r="E219" s="280"/>
      <c r="F219" s="264"/>
      <c r="G219" s="264"/>
      <c r="H219" s="264"/>
      <c r="I219" s="264"/>
      <c r="J219" s="107"/>
    </row>
    <row r="220" spans="1:10" hidden="1">
      <c r="A220" s="69" t="s">
        <v>29</v>
      </c>
      <c r="B220" s="107"/>
      <c r="C220" s="107"/>
      <c r="D220" s="277"/>
      <c r="E220" s="280"/>
      <c r="F220" s="267">
        <f>(F206-F205)/1000</f>
        <v>8.8547565798468479</v>
      </c>
      <c r="G220" s="267">
        <f>G206-G205</f>
        <v>17566.382075410173</v>
      </c>
      <c r="H220" s="267">
        <f>H206-H205</f>
        <v>24179.834637417101</v>
      </c>
      <c r="I220" s="267">
        <f>I206-I205</f>
        <v>29728.917735961219</v>
      </c>
      <c r="J220" s="107"/>
    </row>
    <row r="221" spans="1:10" hidden="1">
      <c r="A221" s="69" t="s">
        <v>5</v>
      </c>
      <c r="B221" s="107"/>
      <c r="C221" s="107"/>
      <c r="D221" s="277"/>
      <c r="E221" s="280"/>
      <c r="F221" s="267"/>
      <c r="G221" s="267"/>
      <c r="H221" s="267"/>
      <c r="I221" s="267"/>
      <c r="J221" s="107"/>
    </row>
    <row r="222" spans="1:10" hidden="1">
      <c r="A222" s="69" t="s">
        <v>6</v>
      </c>
      <c r="B222" s="107"/>
      <c r="C222" s="107"/>
      <c r="D222" s="277"/>
      <c r="E222" s="280"/>
      <c r="F222" s="267"/>
      <c r="G222" s="267"/>
      <c r="H222" s="267"/>
      <c r="I222" s="267"/>
      <c r="J222" s="107"/>
    </row>
    <row r="223" spans="1:10" hidden="1">
      <c r="A223" s="69" t="s">
        <v>7</v>
      </c>
      <c r="B223" s="107"/>
      <c r="C223" s="107"/>
      <c r="D223" s="277"/>
      <c r="E223" s="280"/>
      <c r="F223" s="264"/>
      <c r="G223" s="264"/>
      <c r="H223" s="264"/>
      <c r="I223" s="264"/>
      <c r="J223" s="107"/>
    </row>
    <row r="224" spans="1:10" hidden="1">
      <c r="A224" s="112"/>
      <c r="B224" s="107"/>
      <c r="C224" s="107"/>
      <c r="D224" s="277"/>
      <c r="E224" s="281"/>
      <c r="F224" s="107"/>
      <c r="G224" s="107"/>
      <c r="H224" s="107"/>
      <c r="I224" s="107"/>
      <c r="J224" s="107"/>
    </row>
    <row r="225" spans="1:10" hidden="1">
      <c r="A225" s="112"/>
      <c r="B225" s="107"/>
      <c r="C225" s="107">
        <v>1704</v>
      </c>
      <c r="D225" s="277"/>
      <c r="E225" s="281"/>
      <c r="F225" s="107"/>
      <c r="G225" s="107"/>
      <c r="H225" s="107"/>
      <c r="I225" s="107"/>
      <c r="J225" s="107"/>
    </row>
    <row r="226" spans="1:10" hidden="1">
      <c r="A226" s="112"/>
      <c r="B226" s="107"/>
      <c r="C226" s="107">
        <v>381</v>
      </c>
      <c r="D226" s="277"/>
      <c r="E226" s="281"/>
      <c r="F226" s="107"/>
      <c r="G226" s="107"/>
      <c r="H226" s="107"/>
      <c r="I226" s="107"/>
      <c r="J226" s="107"/>
    </row>
    <row r="227" spans="1:10" hidden="1">
      <c r="A227" s="112"/>
      <c r="B227" s="108"/>
      <c r="C227" s="134"/>
      <c r="D227" s="513"/>
      <c r="E227" s="278"/>
      <c r="F227" s="604">
        <f>F205-F206</f>
        <v>-8854.7565798468477</v>
      </c>
      <c r="G227" s="604">
        <f>G205-G206</f>
        <v>-17566.382075410173</v>
      </c>
      <c r="H227" s="604">
        <f>H205-H206</f>
        <v>-24179.834637417101</v>
      </c>
      <c r="I227" s="604">
        <f>I205-I206</f>
        <v>-29728.917735961219</v>
      </c>
      <c r="J227" s="107"/>
    </row>
    <row r="228" spans="1:10">
      <c r="A228" s="112"/>
      <c r="B228" s="108"/>
      <c r="C228" s="134"/>
      <c r="D228" s="513"/>
      <c r="E228" s="278"/>
      <c r="F228" s="135"/>
      <c r="G228" s="135"/>
      <c r="H228" s="135"/>
      <c r="I228" s="135"/>
      <c r="J228" s="107"/>
    </row>
    <row r="229" spans="1:10">
      <c r="A229" s="112"/>
      <c r="B229" s="108"/>
      <c r="C229" s="134"/>
      <c r="D229" s="513"/>
      <c r="E229" s="278"/>
      <c r="F229" s="135"/>
      <c r="G229" s="135"/>
      <c r="H229" s="135"/>
      <c r="I229" s="135"/>
      <c r="J229" s="107"/>
    </row>
    <row r="230" spans="1:10">
      <c r="A230" s="25"/>
      <c r="C230" s="30"/>
      <c r="D230" s="514"/>
      <c r="E230" s="282"/>
      <c r="F230" s="26"/>
      <c r="G230" s="26"/>
      <c r="H230" s="26"/>
      <c r="I230" s="26"/>
    </row>
    <row r="231" spans="1:10">
      <c r="A231" s="25"/>
      <c r="C231" s="30"/>
      <c r="D231" s="514"/>
      <c r="E231" s="282"/>
      <c r="F231" s="26"/>
      <c r="G231" s="26"/>
      <c r="H231" s="26"/>
      <c r="I231" s="26"/>
    </row>
    <row r="232" spans="1:10">
      <c r="A232" s="616"/>
      <c r="B232" s="137"/>
      <c r="E232" s="221"/>
    </row>
    <row r="233" spans="1:10">
      <c r="A233" s="616"/>
      <c r="B233" s="137"/>
      <c r="E233" s="221"/>
    </row>
    <row r="234" spans="1:10">
      <c r="A234" s="616"/>
      <c r="B234" s="137"/>
      <c r="E234" s="221"/>
    </row>
    <row r="235" spans="1:10">
      <c r="A235" s="616"/>
      <c r="B235" s="137"/>
      <c r="E235" s="221"/>
    </row>
    <row r="236" spans="1:10">
      <c r="A236" s="616"/>
      <c r="B236" s="137"/>
      <c r="E236" s="637"/>
    </row>
    <row r="237" spans="1:10">
      <c r="A237" s="25"/>
      <c r="C237" s="30"/>
      <c r="D237" s="514"/>
      <c r="E237" s="282"/>
      <c r="F237" s="26"/>
      <c r="G237" s="26"/>
      <c r="H237" s="26"/>
      <c r="I237" s="26"/>
    </row>
    <row r="238" spans="1:10">
      <c r="A238" s="25"/>
      <c r="C238" s="30"/>
      <c r="D238" s="514"/>
      <c r="E238" s="282"/>
      <c r="F238" s="26"/>
      <c r="G238" s="26"/>
      <c r="H238" s="26"/>
      <c r="I238" s="26"/>
    </row>
    <row r="239" spans="1:10">
      <c r="A239" s="25"/>
      <c r="C239" s="30"/>
      <c r="D239" s="514"/>
      <c r="E239" s="282"/>
      <c r="F239" s="26"/>
      <c r="G239" s="26"/>
      <c r="H239" s="26"/>
      <c r="I239" s="26"/>
    </row>
    <row r="240" spans="1:10">
      <c r="A240" s="25"/>
      <c r="C240" s="30"/>
      <c r="D240" s="514"/>
      <c r="E240" s="282"/>
      <c r="F240" s="26"/>
      <c r="G240" s="26"/>
      <c r="H240" s="26"/>
      <c r="I240" s="26"/>
    </row>
    <row r="241" spans="1:9">
      <c r="A241" s="25"/>
      <c r="C241" s="30"/>
      <c r="D241" s="514"/>
      <c r="E241" s="282"/>
      <c r="F241" s="26"/>
      <c r="G241" s="26"/>
      <c r="H241" s="26"/>
      <c r="I241" s="26"/>
    </row>
    <row r="242" spans="1:9">
      <c r="A242" s="25"/>
      <c r="C242" s="30"/>
      <c r="D242" s="514"/>
      <c r="E242" s="282"/>
      <c r="F242" s="26"/>
      <c r="G242" s="26"/>
      <c r="H242" s="26"/>
      <c r="I242" s="26"/>
    </row>
    <row r="243" spans="1:9">
      <c r="A243" s="25"/>
      <c r="C243" s="30"/>
      <c r="D243" s="514"/>
      <c r="E243" s="282"/>
      <c r="F243" s="26"/>
      <c r="G243" s="26"/>
      <c r="H243" s="26"/>
      <c r="I243" s="26"/>
    </row>
    <row r="244" spans="1:9">
      <c r="A244" s="25"/>
      <c r="C244" s="30"/>
      <c r="D244" s="514"/>
      <c r="E244" s="282"/>
      <c r="F244" s="26"/>
      <c r="G244" s="26"/>
      <c r="H244" s="26"/>
      <c r="I244" s="26"/>
    </row>
    <row r="245" spans="1:9">
      <c r="A245" s="25"/>
      <c r="C245" s="30"/>
      <c r="D245" s="514"/>
      <c r="E245" s="282"/>
      <c r="F245" s="26"/>
      <c r="G245" s="26"/>
      <c r="H245" s="26"/>
      <c r="I245" s="26"/>
    </row>
    <row r="246" spans="1:9">
      <c r="A246" s="25"/>
      <c r="C246" s="30"/>
      <c r="D246" s="514"/>
      <c r="E246" s="282"/>
      <c r="F246" s="26"/>
      <c r="G246" s="26"/>
      <c r="H246" s="26"/>
      <c r="I246" s="26"/>
    </row>
    <row r="247" spans="1:9">
      <c r="A247" s="25"/>
      <c r="C247" s="30"/>
      <c r="D247" s="514"/>
      <c r="E247" s="282"/>
      <c r="F247" s="26"/>
      <c r="G247" s="26"/>
      <c r="H247" s="26"/>
      <c r="I247" s="26"/>
    </row>
    <row r="248" spans="1:9">
      <c r="A248" s="25"/>
      <c r="C248" s="30"/>
      <c r="D248" s="514"/>
      <c r="E248" s="282"/>
      <c r="F248" s="26"/>
      <c r="G248" s="26"/>
      <c r="H248" s="26"/>
      <c r="I248" s="26"/>
    </row>
    <row r="249" spans="1:9">
      <c r="A249" s="25"/>
      <c r="C249" s="30"/>
      <c r="D249" s="514"/>
      <c r="E249" s="282"/>
      <c r="F249" s="26"/>
      <c r="G249" s="26"/>
      <c r="H249" s="26"/>
      <c r="I249" s="26"/>
    </row>
    <row r="250" spans="1:9">
      <c r="A250" s="25"/>
      <c r="C250" s="30"/>
      <c r="D250" s="514"/>
      <c r="E250" s="282"/>
      <c r="F250" s="26"/>
      <c r="G250" s="26"/>
      <c r="H250" s="26"/>
      <c r="I250" s="26"/>
    </row>
    <row r="251" spans="1:9">
      <c r="A251" s="25"/>
      <c r="C251" s="30"/>
      <c r="D251" s="514"/>
      <c r="E251" s="282"/>
      <c r="F251" s="26"/>
      <c r="G251" s="26"/>
      <c r="H251" s="26"/>
      <c r="I251" s="26"/>
    </row>
    <row r="252" spans="1:9">
      <c r="A252" s="25"/>
      <c r="C252" s="30"/>
      <c r="D252" s="514"/>
      <c r="E252" s="282"/>
      <c r="F252" s="26"/>
      <c r="G252" s="26"/>
      <c r="H252" s="26"/>
      <c r="I252" s="26"/>
    </row>
    <row r="253" spans="1:9">
      <c r="A253" s="25"/>
      <c r="C253" s="30"/>
      <c r="D253" s="514"/>
      <c r="E253" s="282"/>
      <c r="F253" s="26"/>
      <c r="G253" s="26"/>
      <c r="H253" s="26"/>
      <c r="I253" s="26"/>
    </row>
    <row r="254" spans="1:9">
      <c r="A254" s="25"/>
      <c r="C254" s="30"/>
      <c r="D254" s="514"/>
      <c r="E254" s="282"/>
      <c r="F254" s="26"/>
      <c r="G254" s="26"/>
      <c r="H254" s="26"/>
      <c r="I254" s="26"/>
    </row>
    <row r="255" spans="1:9">
      <c r="A255" s="25"/>
      <c r="C255" s="30"/>
      <c r="D255" s="514"/>
      <c r="E255" s="282"/>
      <c r="F255" s="26"/>
      <c r="G255" s="26"/>
      <c r="H255" s="26"/>
      <c r="I255" s="26"/>
    </row>
    <row r="256" spans="1:9">
      <c r="A256" s="25"/>
      <c r="C256" s="30"/>
      <c r="D256" s="514"/>
      <c r="E256" s="282"/>
      <c r="F256" s="26"/>
      <c r="G256" s="26"/>
      <c r="H256" s="26"/>
      <c r="I256" s="26"/>
    </row>
    <row r="257" spans="1:9">
      <c r="A257" s="25"/>
      <c r="C257" s="30"/>
      <c r="D257" s="514"/>
      <c r="E257" s="282"/>
      <c r="F257" s="26"/>
      <c r="G257" s="26"/>
      <c r="H257" s="26"/>
      <c r="I257" s="26"/>
    </row>
    <row r="258" spans="1:9">
      <c r="A258" s="25"/>
      <c r="C258" s="30"/>
      <c r="D258" s="514"/>
      <c r="E258" s="282"/>
      <c r="F258" s="26"/>
      <c r="G258" s="26"/>
      <c r="H258" s="26"/>
      <c r="I258" s="26"/>
    </row>
    <row r="259" spans="1:9">
      <c r="A259" s="25"/>
      <c r="C259" s="30"/>
      <c r="D259" s="514"/>
      <c r="E259" s="282"/>
      <c r="F259" s="26"/>
      <c r="G259" s="26"/>
      <c r="H259" s="26"/>
      <c r="I259" s="26"/>
    </row>
    <row r="260" spans="1:9">
      <c r="A260" s="25"/>
      <c r="C260" s="30"/>
      <c r="D260" s="514"/>
      <c r="E260" s="282"/>
      <c r="F260" s="26"/>
      <c r="G260" s="26"/>
      <c r="H260" s="26"/>
      <c r="I260" s="26"/>
    </row>
    <row r="261" spans="1:9">
      <c r="A261" s="25"/>
      <c r="C261" s="30"/>
      <c r="D261" s="514"/>
      <c r="E261" s="282"/>
      <c r="F261" s="26"/>
      <c r="G261" s="26"/>
      <c r="H261" s="26"/>
      <c r="I261" s="26"/>
    </row>
    <row r="262" spans="1:9">
      <c r="A262" s="25"/>
      <c r="C262" s="30"/>
      <c r="D262" s="514"/>
      <c r="E262" s="282"/>
      <c r="F262" s="26"/>
      <c r="G262" s="26"/>
      <c r="H262" s="26"/>
      <c r="I262" s="26"/>
    </row>
    <row r="263" spans="1:9">
      <c r="A263" s="25"/>
      <c r="C263" s="30"/>
      <c r="D263" s="514"/>
      <c r="E263" s="282"/>
      <c r="F263" s="26"/>
      <c r="G263" s="26"/>
      <c r="H263" s="26"/>
      <c r="I263" s="26"/>
    </row>
    <row r="264" spans="1:9">
      <c r="A264" s="25"/>
      <c r="C264" s="30"/>
      <c r="D264" s="514"/>
      <c r="E264" s="282"/>
      <c r="F264" s="26"/>
      <c r="G264" s="26"/>
      <c r="H264" s="26"/>
      <c r="I264" s="26"/>
    </row>
    <row r="265" spans="1:9">
      <c r="A265" s="25"/>
      <c r="C265" s="30"/>
      <c r="D265" s="514"/>
      <c r="E265" s="282"/>
      <c r="F265" s="26"/>
      <c r="G265" s="26"/>
      <c r="H265" s="26"/>
      <c r="I265" s="26"/>
    </row>
    <row r="266" spans="1:9">
      <c r="A266" s="25"/>
      <c r="C266" s="30"/>
      <c r="D266" s="514"/>
      <c r="E266" s="282"/>
      <c r="F266" s="26"/>
      <c r="G266" s="26"/>
      <c r="H266" s="26"/>
      <c r="I266" s="26"/>
    </row>
    <row r="267" spans="1:9">
      <c r="A267" s="47"/>
    </row>
    <row r="268" spans="1:9">
      <c r="A268" s="47"/>
    </row>
    <row r="269" spans="1:9">
      <c r="A269" s="47"/>
    </row>
    <row r="270" spans="1:9">
      <c r="A270" s="47"/>
    </row>
    <row r="271" spans="1:9">
      <c r="A271" s="47"/>
    </row>
    <row r="272" spans="1:9">
      <c r="A272" s="47"/>
    </row>
    <row r="273" spans="1:1">
      <c r="A273" s="47"/>
    </row>
    <row r="274" spans="1:1">
      <c r="A274" s="47"/>
    </row>
    <row r="275" spans="1:1">
      <c r="A275" s="47"/>
    </row>
    <row r="276" spans="1:1">
      <c r="A276" s="47"/>
    </row>
    <row r="277" spans="1:1">
      <c r="A277" s="47"/>
    </row>
    <row r="278" spans="1:1">
      <c r="A278" s="47"/>
    </row>
    <row r="279" spans="1:1">
      <c r="A279" s="47"/>
    </row>
    <row r="280" spans="1:1">
      <c r="A280" s="47"/>
    </row>
    <row r="281" spans="1:1">
      <c r="A281" s="47"/>
    </row>
    <row r="282" spans="1:1">
      <c r="A282" s="47"/>
    </row>
    <row r="283" spans="1:1">
      <c r="A283" s="47"/>
    </row>
    <row r="284" spans="1:1">
      <c r="A284" s="47"/>
    </row>
    <row r="285" spans="1:1">
      <c r="A285" s="47"/>
    </row>
    <row r="286" spans="1:1">
      <c r="A286" s="47"/>
    </row>
    <row r="287" spans="1:1">
      <c r="A287" s="47"/>
    </row>
    <row r="288" spans="1:1">
      <c r="A288" s="47"/>
    </row>
    <row r="289" spans="1:1">
      <c r="A289" s="47"/>
    </row>
    <row r="290" spans="1:1">
      <c r="A290" s="47"/>
    </row>
    <row r="291" spans="1:1">
      <c r="A291" s="47"/>
    </row>
    <row r="292" spans="1:1">
      <c r="A292" s="47"/>
    </row>
    <row r="293" spans="1:1">
      <c r="A293" s="47"/>
    </row>
    <row r="294" spans="1:1">
      <c r="A294" s="47"/>
    </row>
    <row r="295" spans="1:1">
      <c r="A295" s="47"/>
    </row>
    <row r="296" spans="1:1">
      <c r="A296" s="47"/>
    </row>
    <row r="297" spans="1:1">
      <c r="A297" s="47"/>
    </row>
    <row r="298" spans="1:1">
      <c r="A298" s="47"/>
    </row>
    <row r="299" spans="1:1">
      <c r="A299" s="47"/>
    </row>
    <row r="300" spans="1:1">
      <c r="A300" s="47"/>
    </row>
    <row r="301" spans="1:1">
      <c r="A301" s="47"/>
    </row>
    <row r="302" spans="1:1">
      <c r="A302" s="47"/>
    </row>
    <row r="303" spans="1:1">
      <c r="A303" s="47"/>
    </row>
    <row r="304" spans="1:1">
      <c r="A304" s="47"/>
    </row>
    <row r="305" spans="1:1">
      <c r="A305" s="47"/>
    </row>
    <row r="306" spans="1:1">
      <c r="A306" s="47"/>
    </row>
    <row r="307" spans="1:1">
      <c r="A307" s="47"/>
    </row>
    <row r="308" spans="1:1">
      <c r="A308" s="47"/>
    </row>
    <row r="309" spans="1:1">
      <c r="A309" s="47"/>
    </row>
    <row r="310" spans="1:1">
      <c r="A310" s="47"/>
    </row>
    <row r="311" spans="1:1">
      <c r="A311" s="47"/>
    </row>
    <row r="312" spans="1:1">
      <c r="A312" s="47"/>
    </row>
    <row r="313" spans="1:1">
      <c r="A313" s="47"/>
    </row>
    <row r="314" spans="1:1">
      <c r="A314" s="47"/>
    </row>
    <row r="315" spans="1:1">
      <c r="A315" s="47"/>
    </row>
    <row r="316" spans="1:1">
      <c r="A316" s="47"/>
    </row>
    <row r="317" spans="1:1">
      <c r="A317" s="47"/>
    </row>
    <row r="318" spans="1:1">
      <c r="A318" s="47"/>
    </row>
    <row r="319" spans="1:1">
      <c r="A319" s="47"/>
    </row>
    <row r="320" spans="1:1">
      <c r="A320" s="47"/>
    </row>
    <row r="321" spans="1:1">
      <c r="A321" s="47"/>
    </row>
    <row r="322" spans="1:1">
      <c r="A322" s="47"/>
    </row>
    <row r="323" spans="1:1">
      <c r="A323" s="47"/>
    </row>
    <row r="324" spans="1:1">
      <c r="A324" s="47"/>
    </row>
    <row r="325" spans="1:1">
      <c r="A325" s="47"/>
    </row>
    <row r="326" spans="1:1">
      <c r="A326" s="47"/>
    </row>
    <row r="327" spans="1:1">
      <c r="A327" s="47"/>
    </row>
    <row r="328" spans="1:1">
      <c r="A328" s="47"/>
    </row>
    <row r="329" spans="1:1">
      <c r="A329" s="47"/>
    </row>
    <row r="330" spans="1:1">
      <c r="A330" s="47"/>
    </row>
    <row r="331" spans="1:1">
      <c r="A331" s="47"/>
    </row>
    <row r="332" spans="1:1">
      <c r="A332" s="47"/>
    </row>
    <row r="333" spans="1:1">
      <c r="A333" s="47"/>
    </row>
    <row r="334" spans="1:1">
      <c r="A334" s="47"/>
    </row>
    <row r="335" spans="1:1">
      <c r="A335" s="47"/>
    </row>
    <row r="336" spans="1:1">
      <c r="A336" s="47"/>
    </row>
    <row r="337" spans="1:1">
      <c r="A337" s="47"/>
    </row>
    <row r="338" spans="1:1">
      <c r="A338" s="47"/>
    </row>
    <row r="339" spans="1:1">
      <c r="A339" s="47"/>
    </row>
    <row r="340" spans="1:1">
      <c r="A340" s="47"/>
    </row>
    <row r="341" spans="1:1">
      <c r="A341" s="47"/>
    </row>
    <row r="342" spans="1:1">
      <c r="A342" s="47"/>
    </row>
    <row r="343" spans="1:1">
      <c r="A343" s="47"/>
    </row>
    <row r="344" spans="1:1">
      <c r="A344" s="47"/>
    </row>
    <row r="345" spans="1:1">
      <c r="A345" s="47"/>
    </row>
    <row r="346" spans="1:1">
      <c r="A346" s="47"/>
    </row>
    <row r="347" spans="1:1">
      <c r="A347" s="47"/>
    </row>
    <row r="348" spans="1:1">
      <c r="A348" s="47"/>
    </row>
    <row r="349" spans="1:1">
      <c r="A349" s="47"/>
    </row>
    <row r="350" spans="1:1">
      <c r="A350" s="47"/>
    </row>
    <row r="351" spans="1:1">
      <c r="A351" s="47"/>
    </row>
    <row r="352" spans="1:1">
      <c r="A352" s="47"/>
    </row>
    <row r="353" spans="1:1">
      <c r="A353" s="47"/>
    </row>
    <row r="354" spans="1:1">
      <c r="A354" s="47"/>
    </row>
    <row r="355" spans="1:1">
      <c r="A355" s="47"/>
    </row>
    <row r="356" spans="1:1">
      <c r="A356" s="47"/>
    </row>
    <row r="357" spans="1:1">
      <c r="A357" s="47"/>
    </row>
    <row r="358" spans="1:1">
      <c r="A358" s="47"/>
    </row>
    <row r="359" spans="1:1">
      <c r="A359" s="47"/>
    </row>
    <row r="360" spans="1:1">
      <c r="A360" s="47"/>
    </row>
    <row r="361" spans="1:1">
      <c r="A361" s="47"/>
    </row>
    <row r="362" spans="1:1">
      <c r="A362" s="47"/>
    </row>
    <row r="363" spans="1:1">
      <c r="A363" s="47"/>
    </row>
    <row r="364" spans="1:1">
      <c r="A364" s="47"/>
    </row>
    <row r="365" spans="1:1">
      <c r="A365" s="47"/>
    </row>
    <row r="366" spans="1:1">
      <c r="A366" s="47"/>
    </row>
    <row r="367" spans="1:1">
      <c r="A367" s="47"/>
    </row>
    <row r="368" spans="1:1">
      <c r="A368" s="47"/>
    </row>
    <row r="369" spans="1:1">
      <c r="A369" s="47"/>
    </row>
    <row r="370" spans="1:1">
      <c r="A370" s="47"/>
    </row>
    <row r="371" spans="1:1">
      <c r="A371" s="47"/>
    </row>
    <row r="372" spans="1:1">
      <c r="A372" s="47"/>
    </row>
    <row r="373" spans="1:1">
      <c r="A373" s="47"/>
    </row>
    <row r="374" spans="1:1">
      <c r="A374" s="47"/>
    </row>
    <row r="375" spans="1:1">
      <c r="A375" s="47"/>
    </row>
    <row r="376" spans="1:1">
      <c r="A376" s="47"/>
    </row>
    <row r="377" spans="1:1">
      <c r="A377" s="47"/>
    </row>
    <row r="378" spans="1:1">
      <c r="A378" s="47"/>
    </row>
    <row r="379" spans="1:1">
      <c r="A379" s="47"/>
    </row>
    <row r="380" spans="1:1">
      <c r="A380" s="47"/>
    </row>
    <row r="381" spans="1:1">
      <c r="A381" s="47"/>
    </row>
    <row r="382" spans="1:1">
      <c r="A382" s="47"/>
    </row>
    <row r="383" spans="1:1">
      <c r="A383" s="47"/>
    </row>
    <row r="384" spans="1:1">
      <c r="A384" s="47"/>
    </row>
    <row r="385" spans="1:1">
      <c r="A385" s="47"/>
    </row>
    <row r="386" spans="1:1">
      <c r="A386" s="47"/>
    </row>
    <row r="387" spans="1:1">
      <c r="A387" s="47"/>
    </row>
    <row r="388" spans="1:1">
      <c r="A388" s="47"/>
    </row>
    <row r="389" spans="1:1">
      <c r="A389" s="47"/>
    </row>
    <row r="390" spans="1:1">
      <c r="A390" s="47"/>
    </row>
    <row r="391" spans="1:1">
      <c r="A391" s="47"/>
    </row>
    <row r="392" spans="1:1">
      <c r="A392" s="47"/>
    </row>
    <row r="393" spans="1:1">
      <c r="A393" s="47"/>
    </row>
    <row r="394" spans="1:1">
      <c r="A394" s="47"/>
    </row>
    <row r="395" spans="1:1">
      <c r="A395" s="47"/>
    </row>
    <row r="396" spans="1:1">
      <c r="A396" s="47"/>
    </row>
    <row r="397" spans="1:1">
      <c r="A397" s="47"/>
    </row>
    <row r="398" spans="1:1">
      <c r="A398" s="47"/>
    </row>
    <row r="399" spans="1:1">
      <c r="A399" s="47"/>
    </row>
    <row r="400" spans="1:1">
      <c r="A400" s="47"/>
    </row>
    <row r="401" spans="1:1">
      <c r="A401" s="47"/>
    </row>
    <row r="402" spans="1:1">
      <c r="A402" s="47"/>
    </row>
    <row r="403" spans="1:1">
      <c r="A403" s="47"/>
    </row>
    <row r="404" spans="1:1">
      <c r="A404" s="47"/>
    </row>
    <row r="405" spans="1:1">
      <c r="A405" s="47"/>
    </row>
    <row r="406" spans="1:1">
      <c r="A406" s="47"/>
    </row>
    <row r="407" spans="1:1">
      <c r="A407" s="47"/>
    </row>
    <row r="408" spans="1:1">
      <c r="A408" s="47"/>
    </row>
    <row r="409" spans="1:1">
      <c r="A409" s="47"/>
    </row>
    <row r="410" spans="1:1">
      <c r="A410" s="47"/>
    </row>
    <row r="411" spans="1:1">
      <c r="A411" s="47"/>
    </row>
    <row r="412" spans="1:1">
      <c r="A412" s="47"/>
    </row>
    <row r="413" spans="1:1">
      <c r="A413" s="47"/>
    </row>
    <row r="414" spans="1:1">
      <c r="A414" s="47"/>
    </row>
    <row r="415" spans="1:1">
      <c r="A415" s="47"/>
    </row>
    <row r="416" spans="1:1">
      <c r="A416" s="47"/>
    </row>
    <row r="417" spans="1:1">
      <c r="A417" s="47"/>
    </row>
    <row r="418" spans="1:1">
      <c r="A418" s="47"/>
    </row>
    <row r="419" spans="1:1">
      <c r="A419" s="47"/>
    </row>
    <row r="420" spans="1:1">
      <c r="A420" s="47"/>
    </row>
    <row r="421" spans="1:1">
      <c r="A421" s="47"/>
    </row>
    <row r="422" spans="1:1">
      <c r="A422" s="47"/>
    </row>
    <row r="423" spans="1:1">
      <c r="A423" s="47"/>
    </row>
    <row r="424" spans="1:1">
      <c r="A424" s="47"/>
    </row>
    <row r="425" spans="1:1">
      <c r="A425" s="47"/>
    </row>
    <row r="426" spans="1:1">
      <c r="A426" s="47"/>
    </row>
    <row r="427" spans="1:1">
      <c r="A427" s="47"/>
    </row>
    <row r="428" spans="1:1">
      <c r="A428" s="47"/>
    </row>
    <row r="429" spans="1:1">
      <c r="A429" s="47"/>
    </row>
    <row r="430" spans="1:1">
      <c r="A430" s="47"/>
    </row>
    <row r="431" spans="1:1">
      <c r="A431" s="47"/>
    </row>
    <row r="432" spans="1:1">
      <c r="A432" s="47"/>
    </row>
    <row r="433" spans="1:1">
      <c r="A433" s="47"/>
    </row>
  </sheetData>
  <sheetProtection password="CF66" sheet="1" objects="1" scenarios="1" formatCells="0" formatColumns="0" formatRows="0" insertRows="0" deleteRows="0"/>
  <autoFilter ref="A7:AI7"/>
  <mergeCells count="16">
    <mergeCell ref="A1:J1"/>
    <mergeCell ref="C208:E208"/>
    <mergeCell ref="G208:I208"/>
    <mergeCell ref="J3:J4"/>
    <mergeCell ref="A6:J6"/>
    <mergeCell ref="A182:J182"/>
    <mergeCell ref="A188:J188"/>
    <mergeCell ref="B3:B4"/>
    <mergeCell ref="A3:A4"/>
    <mergeCell ref="C3:C4"/>
    <mergeCell ref="F3:I3"/>
    <mergeCell ref="A195:J195"/>
    <mergeCell ref="C207:E207"/>
    <mergeCell ref="G207:I207"/>
    <mergeCell ref="E3:E4"/>
    <mergeCell ref="D3:D4"/>
  </mergeCells>
  <phoneticPr fontId="0" type="noConversion"/>
  <pageMargins left="0.78740157480314965" right="0.39370078740157483" top="0.59055118110236227" bottom="0.59055118110236227" header="0.19685039370078741" footer="0.11811023622047245"/>
  <pageSetup paperSize="9" scale="34" orientation="portrait" horizontalDpi="300" verticalDpi="300" r:id="rId1"/>
  <headerFooter alignWithMargins="0"/>
  <rowBreaks count="3" manualBreakCount="3">
    <brk id="81" max="9" man="1"/>
    <brk id="158" max="9" man="1"/>
    <brk id="217" max="9" man="1"/>
  </rowBreaks>
  <colBreaks count="1" manualBreakCount="1">
    <brk id="9" max="207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</sheetPr>
  <dimension ref="A1:K192"/>
  <sheetViews>
    <sheetView windowProtection="1" view="pageBreakPreview" zoomScale="75" zoomScaleNormal="65" zoomScaleSheetLayoutView="50" workbookViewId="0">
      <pane ySplit="5" topLeftCell="A6" activePane="bottomLeft" state="frozen"/>
      <selection pane="bottomLeft" activeCell="J1" sqref="J1:K1048576"/>
    </sheetView>
  </sheetViews>
  <sheetFormatPr defaultColWidth="77.85546875" defaultRowHeight="18.75" outlineLevelRow="1"/>
  <cols>
    <col min="1" max="1" width="61.28515625" style="42" customWidth="1"/>
    <col min="2" max="2" width="15.28515625" style="45" customWidth="1"/>
    <col min="3" max="3" width="13" style="45" customWidth="1"/>
    <col min="4" max="4" width="14.85546875" style="45" customWidth="1"/>
    <col min="5" max="5" width="13.42578125" style="45" customWidth="1"/>
    <col min="6" max="6" width="13.7109375" style="42" customWidth="1"/>
    <col min="7" max="7" width="13.28515625" style="42" customWidth="1"/>
    <col min="8" max="8" width="13" style="42" customWidth="1"/>
    <col min="9" max="9" width="11.7109375" style="42" customWidth="1"/>
    <col min="10" max="10" width="10" style="42" hidden="1" customWidth="1"/>
    <col min="11" max="11" width="9.5703125" style="42" hidden="1" customWidth="1"/>
    <col min="12" max="254" width="9.140625" style="42" customWidth="1"/>
    <col min="255" max="16384" width="77.85546875" style="42"/>
  </cols>
  <sheetData>
    <row r="1" spans="1:10">
      <c r="A1" s="1080" t="s">
        <v>374</v>
      </c>
      <c r="B1" s="1080"/>
      <c r="C1" s="1080"/>
      <c r="D1" s="1080"/>
      <c r="E1" s="1080"/>
      <c r="F1" s="1080"/>
      <c r="G1" s="1080"/>
      <c r="H1" s="1080"/>
      <c r="I1" s="1080"/>
    </row>
    <row r="2" spans="1:10" outlineLevel="1">
      <c r="A2" s="41"/>
      <c r="B2" s="50"/>
      <c r="C2" s="41"/>
      <c r="D2" s="41"/>
      <c r="E2" s="41"/>
      <c r="F2" s="41"/>
      <c r="G2" s="41"/>
      <c r="H2" s="41"/>
      <c r="I2" s="41"/>
    </row>
    <row r="3" spans="1:10" ht="38.25" customHeight="1">
      <c r="A3" s="899" t="s">
        <v>274</v>
      </c>
      <c r="B3" s="1081" t="s">
        <v>18</v>
      </c>
      <c r="C3" s="1081" t="s">
        <v>32</v>
      </c>
      <c r="D3" s="1081" t="s">
        <v>40</v>
      </c>
      <c r="E3" s="1034" t="s">
        <v>181</v>
      </c>
      <c r="F3" s="906" t="s">
        <v>370</v>
      </c>
      <c r="G3" s="906"/>
      <c r="H3" s="906"/>
      <c r="I3" s="906"/>
    </row>
    <row r="4" spans="1:10" ht="50.25" customHeight="1">
      <c r="A4" s="899"/>
      <c r="B4" s="1081"/>
      <c r="C4" s="1081"/>
      <c r="D4" s="1081"/>
      <c r="E4" s="1034"/>
      <c r="F4" s="11" t="s">
        <v>371</v>
      </c>
      <c r="G4" s="11" t="s">
        <v>372</v>
      </c>
      <c r="H4" s="11" t="s">
        <v>373</v>
      </c>
      <c r="I4" s="11" t="s">
        <v>87</v>
      </c>
    </row>
    <row r="5" spans="1:10" ht="18" customHeight="1">
      <c r="A5" s="48">
        <v>1</v>
      </c>
      <c r="B5" s="49">
        <v>2</v>
      </c>
      <c r="C5" s="423">
        <v>3</v>
      </c>
      <c r="D5" s="49">
        <v>4</v>
      </c>
      <c r="E5" s="49">
        <v>5</v>
      </c>
      <c r="F5" s="7">
        <v>6</v>
      </c>
      <c r="G5" s="7">
        <v>7</v>
      </c>
      <c r="H5" s="7">
        <v>8</v>
      </c>
      <c r="I5" s="7">
        <v>9</v>
      </c>
    </row>
    <row r="6" spans="1:10" ht="24.95" customHeight="1">
      <c r="A6" s="1082" t="s">
        <v>165</v>
      </c>
      <c r="B6" s="1083"/>
      <c r="C6" s="1083"/>
      <c r="D6" s="1083"/>
      <c r="E6" s="1083"/>
      <c r="F6" s="1083"/>
      <c r="G6" s="1083"/>
      <c r="H6" s="1083"/>
      <c r="I6" s="1084"/>
    </row>
    <row r="7" spans="1:10" ht="42.75" customHeight="1">
      <c r="A7" s="53" t="s">
        <v>63</v>
      </c>
      <c r="B7" s="7">
        <v>2000</v>
      </c>
      <c r="C7" s="183">
        <v>-4112</v>
      </c>
      <c r="D7" s="505">
        <v>-16979</v>
      </c>
      <c r="E7" s="217">
        <f>C7</f>
        <v>-4112</v>
      </c>
      <c r="F7" s="217">
        <f>E17</f>
        <v>-54066.157661000063</v>
      </c>
      <c r="G7" s="217">
        <f>E17</f>
        <v>-54066.157661000063</v>
      </c>
      <c r="H7" s="217">
        <f>E17</f>
        <v>-54066.157661000063</v>
      </c>
      <c r="I7" s="217">
        <f>E17</f>
        <v>-54066.157661000063</v>
      </c>
    </row>
    <row r="8" spans="1:10" ht="37.5">
      <c r="A8" s="43" t="s">
        <v>222</v>
      </c>
      <c r="B8" s="7">
        <v>2010</v>
      </c>
      <c r="C8" s="187">
        <f>C9+C10</f>
        <v>0</v>
      </c>
      <c r="D8" s="518">
        <f t="shared" ref="D8:I8" si="0">D9+D10</f>
        <v>3371</v>
      </c>
      <c r="E8" s="182">
        <f t="shared" si="0"/>
        <v>0</v>
      </c>
      <c r="F8" s="182">
        <f t="shared" si="0"/>
        <v>5689</v>
      </c>
      <c r="G8" s="182">
        <f t="shared" si="0"/>
        <v>5689</v>
      </c>
      <c r="H8" s="182">
        <f t="shared" si="0"/>
        <v>5689</v>
      </c>
      <c r="I8" s="182">
        <f t="shared" si="0"/>
        <v>5689</v>
      </c>
    </row>
    <row r="9" spans="1:10" ht="42.75" customHeight="1">
      <c r="A9" s="8" t="s">
        <v>376</v>
      </c>
      <c r="B9" s="7">
        <v>2011</v>
      </c>
      <c r="C9" s="183">
        <v>0</v>
      </c>
      <c r="D9" s="505">
        <v>766</v>
      </c>
      <c r="E9" s="183">
        <v>0</v>
      </c>
      <c r="F9" s="183">
        <f>ROUND('I. Фін результат'!F178*15%,0)</f>
        <v>1293</v>
      </c>
      <c r="G9" s="505">
        <f t="shared" ref="G9:I10" si="1">F9</f>
        <v>1293</v>
      </c>
      <c r="H9" s="505">
        <f t="shared" si="1"/>
        <v>1293</v>
      </c>
      <c r="I9" s="505">
        <f t="shared" si="1"/>
        <v>1293</v>
      </c>
      <c r="J9" s="42" t="s">
        <v>644</v>
      </c>
    </row>
    <row r="10" spans="1:10" ht="93.75">
      <c r="A10" s="8" t="s">
        <v>377</v>
      </c>
      <c r="B10" s="7">
        <v>2012</v>
      </c>
      <c r="C10" s="183">
        <v>0</v>
      </c>
      <c r="D10" s="505">
        <v>2605</v>
      </c>
      <c r="E10" s="183">
        <v>0</v>
      </c>
      <c r="F10" s="183">
        <f>ROUND(('I. Фін результат'!F178-'ІІ. Розр. з бюджетом'!F9)*60%,0)</f>
        <v>4396</v>
      </c>
      <c r="G10" s="505">
        <f t="shared" si="1"/>
        <v>4396</v>
      </c>
      <c r="H10" s="505">
        <f t="shared" si="1"/>
        <v>4396</v>
      </c>
      <c r="I10" s="505">
        <f t="shared" si="1"/>
        <v>4396</v>
      </c>
      <c r="J10" s="42" t="s">
        <v>644</v>
      </c>
    </row>
    <row r="11" spans="1:10" ht="20.100000000000001" customHeight="1">
      <c r="A11" s="8" t="s">
        <v>208</v>
      </c>
      <c r="B11" s="7">
        <v>2020</v>
      </c>
      <c r="C11" s="183"/>
      <c r="D11" s="183">
        <v>0</v>
      </c>
      <c r="E11" s="183">
        <v>0</v>
      </c>
      <c r="F11" s="183">
        <v>0</v>
      </c>
      <c r="G11" s="183">
        <v>0</v>
      </c>
      <c r="H11" s="183">
        <v>0</v>
      </c>
      <c r="I11" s="183">
        <v>0</v>
      </c>
    </row>
    <row r="12" spans="1:10" s="44" customFormat="1" ht="20.100000000000001" customHeight="1">
      <c r="A12" s="43" t="s">
        <v>76</v>
      </c>
      <c r="B12" s="7">
        <v>2030</v>
      </c>
      <c r="C12" s="183"/>
      <c r="D12" s="183">
        <v>0</v>
      </c>
      <c r="E12" s="183">
        <v>0</v>
      </c>
      <c r="F12" s="183">
        <v>0</v>
      </c>
      <c r="G12" s="183">
        <v>0</v>
      </c>
      <c r="H12" s="183">
        <v>0</v>
      </c>
      <c r="I12" s="183">
        <v>0</v>
      </c>
    </row>
    <row r="13" spans="1:10" ht="37.5">
      <c r="A13" s="43" t="s">
        <v>144</v>
      </c>
      <c r="B13" s="7">
        <v>2031</v>
      </c>
      <c r="C13" s="183"/>
      <c r="D13" s="183">
        <v>0</v>
      </c>
      <c r="E13" s="183">
        <v>0</v>
      </c>
      <c r="F13" s="183">
        <v>0</v>
      </c>
      <c r="G13" s="183">
        <v>0</v>
      </c>
      <c r="H13" s="183">
        <v>0</v>
      </c>
      <c r="I13" s="183">
        <v>0</v>
      </c>
    </row>
    <row r="14" spans="1:10" ht="20.100000000000001" customHeight="1">
      <c r="A14" s="43" t="s">
        <v>27</v>
      </c>
      <c r="B14" s="7">
        <v>2040</v>
      </c>
      <c r="C14" s="183"/>
      <c r="D14" s="183">
        <v>0</v>
      </c>
      <c r="E14" s="183">
        <v>0</v>
      </c>
      <c r="F14" s="183">
        <v>0</v>
      </c>
      <c r="G14" s="183">
        <v>0</v>
      </c>
      <c r="H14" s="183">
        <v>0</v>
      </c>
      <c r="I14" s="183">
        <v>0</v>
      </c>
    </row>
    <row r="15" spans="1:10" ht="20.100000000000001" customHeight="1">
      <c r="A15" s="177" t="s">
        <v>127</v>
      </c>
      <c r="B15" s="7">
        <v>2050</v>
      </c>
      <c r="C15" s="183"/>
      <c r="D15" s="183">
        <v>0</v>
      </c>
      <c r="E15" s="183">
        <v>0</v>
      </c>
      <c r="F15" s="183">
        <v>0</v>
      </c>
      <c r="G15" s="183">
        <v>0</v>
      </c>
      <c r="H15" s="183">
        <v>0</v>
      </c>
      <c r="I15" s="183">
        <v>0</v>
      </c>
    </row>
    <row r="16" spans="1:10" ht="20.100000000000001" customHeight="1">
      <c r="A16" s="177" t="s">
        <v>128</v>
      </c>
      <c r="B16" s="7">
        <v>2060</v>
      </c>
      <c r="C16" s="183"/>
      <c r="D16" s="183">
        <v>0</v>
      </c>
      <c r="E16" s="183">
        <v>0</v>
      </c>
      <c r="F16" s="183">
        <v>0</v>
      </c>
      <c r="G16" s="183">
        <v>0</v>
      </c>
      <c r="H16" s="183">
        <v>0</v>
      </c>
      <c r="I16" s="183">
        <v>0</v>
      </c>
    </row>
    <row r="17" spans="1:10" ht="42.75" customHeight="1">
      <c r="A17" s="53" t="s">
        <v>64</v>
      </c>
      <c r="B17" s="89">
        <v>2070</v>
      </c>
      <c r="C17" s="218">
        <f>'I. Фін результат'!C178+'ІІ. Розр. з бюджетом'!C7-('ІІ. Розр. з бюджетом'!C8+'ІІ. Розр. з бюджетом'!C11+'ІІ. Розр. з бюджетом'!C12+'ІІ. Розр. з бюджетом'!C14+'ІІ. Розр. з бюджетом'!C15+'ІІ. Розр. з бюджетом'!C16)</f>
        <v>-16979</v>
      </c>
      <c r="D17" s="218">
        <f>'I. Фін результат'!D178+'ІІ. Розр. з бюджетом'!D7-('ІІ. Розр. з бюджетом'!D8+'ІІ. Розр. з бюджетом'!D11+'ІІ. Розр. з бюджетом'!D12+'ІІ. Розр. з бюджетом'!D14+'ІІ. Розр. з бюджетом'!D15+'ІІ. Розр. з бюджетом'!D16)</f>
        <v>-15242</v>
      </c>
      <c r="E17" s="218">
        <f>'I. Фін результат'!E178+'ІІ. Розр. з бюджетом'!E7-('ІІ. Розр. з бюджетом'!E8+'ІІ. Розр. з бюджетом'!E11+'ІІ. Розр. з бюджетом'!E12+'ІІ. Розр. з бюджетом'!E14+'ІІ. Розр. з бюджетом'!E15+'ІІ. Розр. з бюджетом'!E16)</f>
        <v>-54066.157661000063</v>
      </c>
      <c r="F17" s="218">
        <f>'I. Фін результат'!F178+'ІІ. Розр. з бюджетом'!F7-('ІІ. Розр. з бюджетом'!F8+'ІІ. Розр. з бюджетом'!F11+'ІІ. Розр. з бюджетом'!F12+'ІІ. Розр. з бюджетом'!F14+'ІІ. Розр. з бюджетом'!F15+'ІІ. Розр. з бюджетом'!F16)</f>
        <v>-51135.699077434307</v>
      </c>
      <c r="G17" s="218">
        <f>'I. Фін результат'!G178+'ІІ. Розр. з бюджетом'!G7-('ІІ. Розр. з бюджетом'!G8+'ІІ. Розр. з бюджетом'!G11+'ІІ. Розр. з бюджетом'!G12+'ІІ. Розр. з бюджетом'!G14+'ІІ. Розр. з бюджетом'!G15+'ІІ. Розр. з бюджетом'!G16)</f>
        <v>-55177.905239189895</v>
      </c>
      <c r="H17" s="218">
        <f>'I. Фін результат'!H178+'ІІ. Розр. з бюджетом'!H7-('ІІ. Розр. з бюджетом'!H8+'ІІ. Розр. з бюджетом'!H11+'ІІ. Розр. з бюджетом'!H12+'ІІ. Розр. з бюджетом'!H14+'ІІ. Розр. з бюджетом'!H15+'ІІ. Розр. з бюджетом'!H16)</f>
        <v>-58366.139818436728</v>
      </c>
      <c r="I17" s="218">
        <f>'I. Фін результат'!I178+'ІІ. Розр. з бюджетом'!I7-('ІІ. Розр. з бюджетом'!I8+'ІІ. Розр. з бюджетом'!I11+'ІІ. Розр. з бюджетом'!I12+'ІІ. Розр. з бюджетом'!I14+'ІІ. Розр. з бюджетом'!I15+'ІІ. Розр. з бюджетом'!I16)</f>
        <v>-52030.569214890609</v>
      </c>
    </row>
    <row r="18" spans="1:10" ht="20.100000000000001" customHeight="1">
      <c r="A18" s="1082" t="s">
        <v>166</v>
      </c>
      <c r="B18" s="1083"/>
      <c r="C18" s="1083"/>
      <c r="D18" s="1083"/>
      <c r="E18" s="1083"/>
      <c r="F18" s="1083"/>
      <c r="G18" s="1083"/>
      <c r="H18" s="1083"/>
      <c r="I18" s="1084"/>
    </row>
    <row r="19" spans="1:10" ht="37.5">
      <c r="A19" s="177" t="s">
        <v>222</v>
      </c>
      <c r="B19" s="163">
        <v>2100</v>
      </c>
      <c r="C19" s="187">
        <f t="shared" ref="C19:I19" si="2">SUM(C20:C21)</f>
        <v>0</v>
      </c>
      <c r="D19" s="182">
        <f t="shared" si="2"/>
        <v>3371</v>
      </c>
      <c r="E19" s="182">
        <f t="shared" si="2"/>
        <v>0</v>
      </c>
      <c r="F19" s="182">
        <f t="shared" si="2"/>
        <v>5689</v>
      </c>
      <c r="G19" s="182">
        <f t="shared" si="2"/>
        <v>5689</v>
      </c>
      <c r="H19" s="182">
        <f t="shared" si="2"/>
        <v>5689</v>
      </c>
      <c r="I19" s="182">
        <f t="shared" si="2"/>
        <v>5689</v>
      </c>
    </row>
    <row r="20" spans="1:10" ht="42.75" customHeight="1">
      <c r="A20" s="69" t="s">
        <v>376</v>
      </c>
      <c r="B20" s="163">
        <v>2101</v>
      </c>
      <c r="C20" s="187">
        <f>C9</f>
        <v>0</v>
      </c>
      <c r="D20" s="182">
        <f t="shared" ref="D20:I20" si="3">D9</f>
        <v>766</v>
      </c>
      <c r="E20" s="182">
        <f t="shared" si="3"/>
        <v>0</v>
      </c>
      <c r="F20" s="182">
        <f t="shared" si="3"/>
        <v>1293</v>
      </c>
      <c r="G20" s="182">
        <f t="shared" si="3"/>
        <v>1293</v>
      </c>
      <c r="H20" s="182">
        <f t="shared" si="3"/>
        <v>1293</v>
      </c>
      <c r="I20" s="182">
        <f t="shared" si="3"/>
        <v>1293</v>
      </c>
    </row>
    <row r="21" spans="1:10" ht="93.75">
      <c r="A21" s="69" t="s">
        <v>377</v>
      </c>
      <c r="B21" s="163">
        <v>2102</v>
      </c>
      <c r="C21" s="187">
        <f>C10</f>
        <v>0</v>
      </c>
      <c r="D21" s="182">
        <f t="shared" ref="D21:I21" si="4">D10</f>
        <v>2605</v>
      </c>
      <c r="E21" s="182">
        <f t="shared" si="4"/>
        <v>0</v>
      </c>
      <c r="F21" s="182">
        <f t="shared" si="4"/>
        <v>4396</v>
      </c>
      <c r="G21" s="182">
        <f t="shared" si="4"/>
        <v>4396</v>
      </c>
      <c r="H21" s="182">
        <f t="shared" si="4"/>
        <v>4396</v>
      </c>
      <c r="I21" s="182">
        <f t="shared" si="4"/>
        <v>4396</v>
      </c>
    </row>
    <row r="22" spans="1:10" s="44" customFormat="1" ht="20.100000000000001" customHeight="1">
      <c r="A22" s="177" t="s">
        <v>168</v>
      </c>
      <c r="B22" s="178">
        <v>2110</v>
      </c>
      <c r="C22" s="187">
        <f>'I. Фін результат'!C176</f>
        <v>0</v>
      </c>
      <c r="D22" s="182">
        <f>'I. Фін результат'!D176</f>
        <v>1121</v>
      </c>
      <c r="E22" s="182">
        <f>'I. Фін результат'!E176</f>
        <v>0</v>
      </c>
      <c r="F22" s="182">
        <f>'I. Фін результат'!F176</f>
        <v>1892</v>
      </c>
      <c r="G22" s="182">
        <f>'I. Фін результат'!G176</f>
        <v>1892</v>
      </c>
      <c r="H22" s="182">
        <f>'I. Фін результат'!H176</f>
        <v>1892</v>
      </c>
      <c r="I22" s="182">
        <f>'I. Фін результат'!I176</f>
        <v>1892</v>
      </c>
    </row>
    <row r="23" spans="1:10" ht="65.25" customHeight="1">
      <c r="A23" s="177" t="s">
        <v>340</v>
      </c>
      <c r="B23" s="178">
        <v>2120</v>
      </c>
      <c r="C23" s="183">
        <v>0</v>
      </c>
      <c r="D23" s="183"/>
      <c r="E23" s="183">
        <v>0</v>
      </c>
      <c r="F23" s="183">
        <f>'I. Фін результат'!F206</f>
        <v>8854.7565798468477</v>
      </c>
      <c r="G23" s="183">
        <f>'I. Фін результат'!G206</f>
        <v>17566.382075410173</v>
      </c>
      <c r="H23" s="183">
        <f>'I. Фін результат'!H206</f>
        <v>24179.834637417101</v>
      </c>
      <c r="I23" s="183">
        <f>'I. Фін результат'!I206</f>
        <v>29728.917735961219</v>
      </c>
    </row>
    <row r="24" spans="1:10" ht="67.5" customHeight="1">
      <c r="A24" s="177" t="s">
        <v>341</v>
      </c>
      <c r="B24" s="178">
        <v>2130</v>
      </c>
      <c r="C24" s="183">
        <v>0</v>
      </c>
      <c r="D24" s="183"/>
      <c r="E24" s="183">
        <f>'I. Фін результат'!AB188*-1+'I. Фін результат'!AF189*-1</f>
        <v>-29955.492018333331</v>
      </c>
      <c r="F24" s="183">
        <f>E24</f>
        <v>-29955.492018333331</v>
      </c>
      <c r="G24" s="183">
        <f>F24</f>
        <v>-29955.492018333331</v>
      </c>
      <c r="H24" s="183">
        <f>G24</f>
        <v>-29955.492018333331</v>
      </c>
      <c r="I24" s="183">
        <f>H24</f>
        <v>-29955.492018333331</v>
      </c>
    </row>
    <row r="25" spans="1:10" s="46" customFormat="1" ht="56.25">
      <c r="A25" s="179" t="s">
        <v>258</v>
      </c>
      <c r="B25" s="180">
        <v>2140</v>
      </c>
      <c r="C25" s="437">
        <f t="shared" ref="C25:I25" si="5">SUM(C26:C30,C33,C35)</f>
        <v>6733</v>
      </c>
      <c r="D25" s="184">
        <f t="shared" si="5"/>
        <v>6008</v>
      </c>
      <c r="E25" s="184">
        <f t="shared" si="5"/>
        <v>9235.6666666666661</v>
      </c>
      <c r="F25" s="184">
        <f t="shared" si="5"/>
        <v>2954.6666666666665</v>
      </c>
      <c r="G25" s="184">
        <f t="shared" si="5"/>
        <v>5910.333333333333</v>
      </c>
      <c r="H25" s="184">
        <f t="shared" si="5"/>
        <v>8972</v>
      </c>
      <c r="I25" s="184">
        <f t="shared" si="5"/>
        <v>11987.666666666666</v>
      </c>
      <c r="J25" s="42"/>
    </row>
    <row r="26" spans="1:10" ht="20.100000000000001" customHeight="1">
      <c r="A26" s="177" t="s">
        <v>92</v>
      </c>
      <c r="B26" s="178">
        <v>2141</v>
      </c>
      <c r="C26" s="183">
        <v>0</v>
      </c>
      <c r="D26" s="183"/>
      <c r="E26" s="183"/>
      <c r="F26" s="183">
        <v>0</v>
      </c>
      <c r="G26" s="183">
        <v>0</v>
      </c>
      <c r="H26" s="183">
        <v>0</v>
      </c>
      <c r="I26" s="183">
        <v>0</v>
      </c>
    </row>
    <row r="27" spans="1:10" ht="20.100000000000001" customHeight="1">
      <c r="A27" s="177" t="s">
        <v>119</v>
      </c>
      <c r="B27" s="178">
        <v>2142</v>
      </c>
      <c r="C27" s="183">
        <v>0</v>
      </c>
      <c r="D27" s="183"/>
      <c r="E27" s="183"/>
      <c r="F27" s="183">
        <v>0</v>
      </c>
      <c r="G27" s="183">
        <v>0</v>
      </c>
      <c r="H27" s="183">
        <v>0</v>
      </c>
      <c r="I27" s="183">
        <v>0</v>
      </c>
    </row>
    <row r="28" spans="1:10" ht="20.100000000000001" customHeight="1">
      <c r="A28" s="177" t="s">
        <v>110</v>
      </c>
      <c r="B28" s="178">
        <v>2143</v>
      </c>
      <c r="C28" s="183">
        <v>0</v>
      </c>
      <c r="D28" s="183"/>
      <c r="E28" s="183"/>
      <c r="F28" s="183">
        <v>0</v>
      </c>
      <c r="G28" s="183">
        <v>0</v>
      </c>
      <c r="H28" s="183">
        <v>0</v>
      </c>
      <c r="I28" s="183">
        <v>0</v>
      </c>
    </row>
    <row r="29" spans="1:10" ht="20.100000000000001" customHeight="1">
      <c r="A29" s="177" t="s">
        <v>90</v>
      </c>
      <c r="B29" s="178">
        <v>2144</v>
      </c>
      <c r="C29" s="183">
        <v>5315</v>
      </c>
      <c r="D29" s="183">
        <v>5546</v>
      </c>
      <c r="E29" s="183">
        <v>7676</v>
      </c>
      <c r="F29" s="185">
        <f>ROUND(Лист1!C18,0)</f>
        <v>2451</v>
      </c>
      <c r="G29" s="185">
        <f>ROUND(Лист1!D18,0)</f>
        <v>4902</v>
      </c>
      <c r="H29" s="185">
        <f>ROUND(Лист1!E18,0)</f>
        <v>7452</v>
      </c>
      <c r="I29" s="185">
        <f>ROUND(Лист1!F18,0)</f>
        <v>10042</v>
      </c>
    </row>
    <row r="30" spans="1:10" s="44" customFormat="1" ht="20.100000000000001" customHeight="1">
      <c r="A30" s="177" t="s">
        <v>188</v>
      </c>
      <c r="B30" s="178">
        <v>2145</v>
      </c>
      <c r="C30" s="183"/>
      <c r="D30" s="183"/>
      <c r="E30" s="183"/>
      <c r="F30" s="183">
        <v>0</v>
      </c>
      <c r="G30" s="183">
        <v>0</v>
      </c>
      <c r="H30" s="183">
        <v>0</v>
      </c>
      <c r="I30" s="183">
        <v>0</v>
      </c>
    </row>
    <row r="31" spans="1:10" ht="56.25">
      <c r="A31" s="177" t="s">
        <v>269</v>
      </c>
      <c r="B31" s="178" t="s">
        <v>236</v>
      </c>
      <c r="C31" s="183"/>
      <c r="D31" s="183"/>
      <c r="E31" s="183"/>
      <c r="F31" s="183">
        <v>0</v>
      </c>
      <c r="G31" s="183">
        <v>0</v>
      </c>
      <c r="H31" s="183">
        <v>0</v>
      </c>
      <c r="I31" s="183">
        <v>0</v>
      </c>
    </row>
    <row r="32" spans="1:10" ht="20.100000000000001" customHeight="1">
      <c r="A32" s="177" t="s">
        <v>28</v>
      </c>
      <c r="B32" s="178" t="s">
        <v>237</v>
      </c>
      <c r="C32" s="183"/>
      <c r="D32" s="183"/>
      <c r="E32" s="183">
        <v>0</v>
      </c>
      <c r="F32" s="183">
        <v>0</v>
      </c>
      <c r="G32" s="183">
        <v>0</v>
      </c>
      <c r="H32" s="183">
        <v>0</v>
      </c>
      <c r="I32" s="183">
        <v>0</v>
      </c>
    </row>
    <row r="33" spans="1:11" s="44" customFormat="1" ht="20.100000000000001" customHeight="1">
      <c r="A33" s="177" t="s">
        <v>129</v>
      </c>
      <c r="B33" s="178">
        <v>2146</v>
      </c>
      <c r="C33" s="183">
        <v>1012</v>
      </c>
      <c r="D33" s="183">
        <f t="shared" ref="D33:I33" si="6">D34</f>
        <v>0</v>
      </c>
      <c r="E33" s="183">
        <f t="shared" si="6"/>
        <v>958.66666666666663</v>
      </c>
      <c r="F33" s="183">
        <f t="shared" si="6"/>
        <v>299.66666666666663</v>
      </c>
      <c r="G33" s="183">
        <f t="shared" si="6"/>
        <v>599.33333333333326</v>
      </c>
      <c r="H33" s="183">
        <f t="shared" si="6"/>
        <v>898.99999999999989</v>
      </c>
      <c r="I33" s="183">
        <f t="shared" si="6"/>
        <v>1108.6666666666665</v>
      </c>
    </row>
    <row r="34" spans="1:11" s="44" customFormat="1" ht="20.100000000000001" customHeight="1">
      <c r="A34" s="177" t="s">
        <v>665</v>
      </c>
      <c r="B34" s="178" t="s">
        <v>1071</v>
      </c>
      <c r="C34" s="183">
        <v>406</v>
      </c>
      <c r="D34" s="183"/>
      <c r="E34" s="183">
        <f>'I. Фін результат'!E117</f>
        <v>958.66666666666663</v>
      </c>
      <c r="F34" s="183">
        <f>'I. Фін результат'!F117</f>
        <v>299.66666666666663</v>
      </c>
      <c r="G34" s="183">
        <f>'I. Фін результат'!G117</f>
        <v>599.33333333333326</v>
      </c>
      <c r="H34" s="183">
        <f>'I. Фін результат'!H117</f>
        <v>898.99999999999989</v>
      </c>
      <c r="I34" s="183">
        <f>'I. Фін результат'!I117</f>
        <v>1108.6666666666665</v>
      </c>
    </row>
    <row r="35" spans="1:11" ht="20.100000000000001" customHeight="1">
      <c r="A35" s="177" t="s">
        <v>98</v>
      </c>
      <c r="B35" s="178">
        <v>2147</v>
      </c>
      <c r="C35" s="183">
        <f t="shared" ref="C35:I35" si="7">C36</f>
        <v>406</v>
      </c>
      <c r="D35" s="183">
        <f t="shared" si="7"/>
        <v>462</v>
      </c>
      <c r="E35" s="183">
        <f t="shared" si="7"/>
        <v>601</v>
      </c>
      <c r="F35" s="183">
        <f t="shared" si="7"/>
        <v>204</v>
      </c>
      <c r="G35" s="183">
        <f t="shared" si="7"/>
        <v>409</v>
      </c>
      <c r="H35" s="183">
        <f t="shared" si="7"/>
        <v>621</v>
      </c>
      <c r="I35" s="183">
        <f t="shared" si="7"/>
        <v>837</v>
      </c>
    </row>
    <row r="36" spans="1:11" ht="20.100000000000001" customHeight="1">
      <c r="A36" s="177" t="s">
        <v>391</v>
      </c>
      <c r="B36" s="178" t="s">
        <v>401</v>
      </c>
      <c r="C36" s="183">
        <v>406</v>
      </c>
      <c r="D36" s="183">
        <v>462</v>
      </c>
      <c r="E36" s="183">
        <v>601</v>
      </c>
      <c r="F36" s="185">
        <f>ROUND(Лист1!C19,0)</f>
        <v>204</v>
      </c>
      <c r="G36" s="185">
        <f>ROUND(Лист1!D19,0)</f>
        <v>409</v>
      </c>
      <c r="H36" s="185">
        <f>ROUND(Лист1!E19,0)</f>
        <v>621</v>
      </c>
      <c r="I36" s="185">
        <f>ROUND(Лист1!F19,0)</f>
        <v>837</v>
      </c>
    </row>
    <row r="37" spans="1:11" s="44" customFormat="1" ht="37.5">
      <c r="A37" s="177" t="s">
        <v>91</v>
      </c>
      <c r="B37" s="178">
        <v>2150</v>
      </c>
      <c r="C37" s="183">
        <v>5862</v>
      </c>
      <c r="D37" s="183">
        <v>6659</v>
      </c>
      <c r="E37" s="183">
        <v>9199</v>
      </c>
      <c r="F37" s="185">
        <f>'I. Фін результат'!F200</f>
        <v>2921.9239671999972</v>
      </c>
      <c r="G37" s="185">
        <f>ROUND(Лист1!D17,0)</f>
        <v>5844</v>
      </c>
      <c r="H37" s="185">
        <f>ROUND(Лист1!E17,0)</f>
        <v>8883</v>
      </c>
      <c r="I37" s="185">
        <f>ROUND(Лист1!F17,0)</f>
        <v>11970</v>
      </c>
    </row>
    <row r="38" spans="1:11" s="44" customFormat="1" ht="20.100000000000001" customHeight="1">
      <c r="A38" s="179" t="s">
        <v>367</v>
      </c>
      <c r="B38" s="180">
        <v>2200</v>
      </c>
      <c r="C38" s="436">
        <f t="shared" ref="C38:I38" si="8">SUM(C19,C22:C24,C25,C37)</f>
        <v>12595</v>
      </c>
      <c r="D38" s="195">
        <f t="shared" si="8"/>
        <v>17159</v>
      </c>
      <c r="E38" s="195">
        <f t="shared" si="8"/>
        <v>-11520.825351666666</v>
      </c>
      <c r="F38" s="195">
        <f t="shared" si="8"/>
        <v>-7643.1448046198184</v>
      </c>
      <c r="G38" s="195">
        <f t="shared" si="8"/>
        <v>6946.2233904101749</v>
      </c>
      <c r="H38" s="195">
        <f t="shared" si="8"/>
        <v>19660.342619083771</v>
      </c>
      <c r="I38" s="195">
        <f t="shared" si="8"/>
        <v>31312.092384294556</v>
      </c>
      <c r="J38" s="42"/>
    </row>
    <row r="39" spans="1:11" s="44" customFormat="1" ht="20.100000000000001" customHeight="1">
      <c r="A39" s="148"/>
      <c r="B39" s="149"/>
      <c r="C39" s="452"/>
      <c r="D39" s="150"/>
      <c r="E39" s="150"/>
      <c r="F39" s="150"/>
      <c r="G39" s="150"/>
      <c r="H39" s="150"/>
      <c r="I39" s="150"/>
    </row>
    <row r="40" spans="1:11" s="44" customFormat="1" ht="20.100000000000001" customHeight="1">
      <c r="A40" s="148"/>
      <c r="B40" s="149"/>
      <c r="C40" s="452"/>
      <c r="D40" s="150"/>
      <c r="E40" s="150"/>
      <c r="F40" s="150"/>
      <c r="G40" s="150"/>
      <c r="H40" s="150"/>
      <c r="I40" s="150"/>
    </row>
    <row r="41" spans="1:11" s="2" customFormat="1" ht="20.100000000000001" customHeight="1">
      <c r="A41" s="136" t="s">
        <v>444</v>
      </c>
      <c r="B41" s="137"/>
      <c r="C41" s="1077" t="s">
        <v>120</v>
      </c>
      <c r="D41" s="1085"/>
      <c r="E41" s="1085"/>
      <c r="F41" s="138"/>
      <c r="G41" s="1004" t="s">
        <v>1149</v>
      </c>
      <c r="H41" s="1004"/>
      <c r="I41" s="1004"/>
    </row>
    <row r="42" spans="1:11" s="1" customFormat="1" ht="20.100000000000001" customHeight="1">
      <c r="A42" s="94" t="s">
        <v>305</v>
      </c>
      <c r="B42" s="107"/>
      <c r="C42" s="1068" t="s">
        <v>304</v>
      </c>
      <c r="D42" s="1068"/>
      <c r="E42" s="1068"/>
      <c r="F42" s="139"/>
      <c r="G42" s="991" t="s">
        <v>116</v>
      </c>
      <c r="H42" s="991"/>
      <c r="I42" s="991"/>
    </row>
    <row r="43" spans="1:11" s="45" customFormat="1">
      <c r="A43" s="56"/>
      <c r="F43" s="42"/>
      <c r="G43" s="42"/>
      <c r="H43" s="42"/>
      <c r="I43" s="42"/>
      <c r="J43" s="42"/>
      <c r="K43" s="42"/>
    </row>
    <row r="44" spans="1:11" s="45" customFormat="1">
      <c r="A44" s="56"/>
      <c r="F44" s="42"/>
      <c r="G44" s="42"/>
      <c r="H44" s="42"/>
      <c r="I44" s="42"/>
      <c r="J44" s="42"/>
      <c r="K44" s="42"/>
    </row>
    <row r="45" spans="1:11" s="45" customFormat="1">
      <c r="A45" s="56"/>
      <c r="F45" s="42"/>
      <c r="G45" s="42"/>
      <c r="H45" s="42"/>
      <c r="I45" s="42"/>
      <c r="J45" s="42"/>
      <c r="K45" s="42"/>
    </row>
    <row r="46" spans="1:11" s="45" customFormat="1">
      <c r="A46" s="56"/>
      <c r="F46" s="42"/>
      <c r="G46" s="42"/>
      <c r="H46" s="42"/>
      <c r="I46" s="42"/>
      <c r="J46" s="42"/>
      <c r="K46" s="42"/>
    </row>
    <row r="47" spans="1:11" s="45" customFormat="1">
      <c r="A47" s="56"/>
      <c r="F47" s="42"/>
      <c r="G47" s="42"/>
      <c r="H47" s="42"/>
      <c r="I47" s="42"/>
      <c r="J47" s="42"/>
      <c r="K47" s="42"/>
    </row>
    <row r="48" spans="1:11" s="45" customFormat="1">
      <c r="A48" s="56"/>
      <c r="F48" s="42"/>
      <c r="G48" s="42"/>
      <c r="H48" s="42"/>
      <c r="I48" s="42"/>
      <c r="J48" s="42"/>
      <c r="K48" s="42"/>
    </row>
    <row r="49" spans="1:11" s="45" customFormat="1">
      <c r="A49" s="56"/>
      <c r="F49" s="42"/>
      <c r="G49" s="42"/>
      <c r="H49" s="42"/>
      <c r="I49" s="42"/>
      <c r="J49" s="42"/>
      <c r="K49" s="42"/>
    </row>
    <row r="50" spans="1:11" s="45" customFormat="1">
      <c r="A50" s="56"/>
      <c r="F50" s="42"/>
      <c r="G50" s="42"/>
      <c r="H50" s="42"/>
      <c r="I50" s="42"/>
      <c r="J50" s="42"/>
      <c r="K50" s="42"/>
    </row>
    <row r="51" spans="1:11" s="45" customFormat="1">
      <c r="A51" s="56"/>
      <c r="F51" s="42"/>
      <c r="G51" s="42"/>
      <c r="H51" s="42"/>
      <c r="I51" s="42"/>
      <c r="J51" s="42"/>
      <c r="K51" s="42"/>
    </row>
    <row r="52" spans="1:11" s="45" customFormat="1">
      <c r="A52" s="56"/>
      <c r="F52" s="42"/>
      <c r="G52" s="42"/>
      <c r="H52" s="42"/>
      <c r="I52" s="42"/>
      <c r="J52" s="42"/>
      <c r="K52" s="42"/>
    </row>
    <row r="53" spans="1:11" s="45" customFormat="1">
      <c r="A53" s="56"/>
      <c r="F53" s="42"/>
      <c r="G53" s="42"/>
      <c r="H53" s="42"/>
      <c r="I53" s="42"/>
      <c r="J53" s="42"/>
      <c r="K53" s="42"/>
    </row>
    <row r="54" spans="1:11" s="45" customFormat="1">
      <c r="A54" s="56"/>
      <c r="F54" s="42"/>
      <c r="G54" s="42"/>
      <c r="H54" s="42"/>
      <c r="I54" s="42"/>
      <c r="J54" s="42"/>
      <c r="K54" s="42"/>
    </row>
    <row r="55" spans="1:11" s="45" customFormat="1">
      <c r="A55" s="56"/>
      <c r="F55" s="42"/>
      <c r="G55" s="42"/>
      <c r="H55" s="42"/>
      <c r="I55" s="42"/>
      <c r="J55" s="42"/>
      <c r="K55" s="42"/>
    </row>
    <row r="56" spans="1:11" s="45" customFormat="1">
      <c r="A56" s="56"/>
      <c r="F56" s="42"/>
      <c r="G56" s="42"/>
      <c r="H56" s="42"/>
      <c r="I56" s="42"/>
      <c r="J56" s="42"/>
      <c r="K56" s="42"/>
    </row>
    <row r="57" spans="1:11" s="45" customFormat="1">
      <c r="A57" s="56"/>
      <c r="F57" s="42"/>
      <c r="G57" s="42"/>
      <c r="H57" s="42"/>
      <c r="I57" s="42"/>
      <c r="J57" s="42"/>
      <c r="K57" s="42"/>
    </row>
    <row r="58" spans="1:11" s="45" customFormat="1">
      <c r="A58" s="56"/>
      <c r="F58" s="42"/>
      <c r="G58" s="42"/>
      <c r="H58" s="42"/>
      <c r="I58" s="42"/>
      <c r="J58" s="42"/>
      <c r="K58" s="42"/>
    </row>
    <row r="59" spans="1:11" s="45" customFormat="1">
      <c r="A59" s="56"/>
      <c r="F59" s="42"/>
      <c r="G59" s="42"/>
      <c r="H59" s="42"/>
      <c r="I59" s="42"/>
      <c r="J59" s="42"/>
      <c r="K59" s="42"/>
    </row>
    <row r="60" spans="1:11" s="45" customFormat="1">
      <c r="A60" s="56"/>
      <c r="F60" s="42"/>
      <c r="G60" s="42"/>
      <c r="H60" s="42"/>
      <c r="I60" s="42"/>
      <c r="J60" s="42"/>
      <c r="K60" s="42"/>
    </row>
    <row r="61" spans="1:11" s="45" customFormat="1">
      <c r="A61" s="56"/>
      <c r="F61" s="42"/>
      <c r="G61" s="42"/>
      <c r="H61" s="42"/>
      <c r="I61" s="42"/>
      <c r="J61" s="42"/>
      <c r="K61" s="42"/>
    </row>
    <row r="62" spans="1:11" s="45" customFormat="1">
      <c r="A62" s="56"/>
      <c r="F62" s="42"/>
      <c r="G62" s="42"/>
      <c r="H62" s="42"/>
      <c r="I62" s="42"/>
      <c r="J62" s="42"/>
      <c r="K62" s="42"/>
    </row>
    <row r="63" spans="1:11" s="45" customFormat="1">
      <c r="A63" s="56"/>
      <c r="F63" s="42"/>
      <c r="G63" s="42"/>
      <c r="H63" s="42"/>
      <c r="I63" s="42"/>
      <c r="J63" s="42"/>
      <c r="K63" s="42"/>
    </row>
    <row r="64" spans="1:11" s="45" customFormat="1">
      <c r="A64" s="56"/>
      <c r="F64" s="42"/>
      <c r="G64" s="42"/>
      <c r="H64" s="42"/>
      <c r="I64" s="42"/>
      <c r="J64" s="42"/>
      <c r="K64" s="42"/>
    </row>
    <row r="65" spans="1:11" s="45" customFormat="1">
      <c r="A65" s="56"/>
      <c r="F65" s="42"/>
      <c r="G65" s="42"/>
      <c r="H65" s="42"/>
      <c r="I65" s="42"/>
      <c r="J65" s="42"/>
      <c r="K65" s="42"/>
    </row>
    <row r="66" spans="1:11" s="45" customFormat="1">
      <c r="A66" s="56"/>
      <c r="F66" s="42"/>
      <c r="G66" s="42"/>
      <c r="H66" s="42"/>
      <c r="I66" s="42"/>
      <c r="J66" s="42"/>
      <c r="K66" s="42"/>
    </row>
    <row r="67" spans="1:11" s="45" customFormat="1">
      <c r="A67" s="56"/>
      <c r="F67" s="42"/>
      <c r="G67" s="42"/>
      <c r="H67" s="42"/>
      <c r="I67" s="42"/>
      <c r="J67" s="42"/>
      <c r="K67" s="42"/>
    </row>
    <row r="68" spans="1:11" s="45" customFormat="1">
      <c r="A68" s="56"/>
      <c r="F68" s="42"/>
      <c r="G68" s="42"/>
      <c r="H68" s="42"/>
      <c r="I68" s="42"/>
      <c r="J68" s="42"/>
      <c r="K68" s="42"/>
    </row>
    <row r="69" spans="1:11" s="45" customFormat="1">
      <c r="A69" s="56"/>
      <c r="F69" s="42"/>
      <c r="G69" s="42"/>
      <c r="H69" s="42"/>
      <c r="I69" s="42"/>
      <c r="J69" s="42"/>
      <c r="K69" s="42"/>
    </row>
    <row r="70" spans="1:11" s="45" customFormat="1">
      <c r="A70" s="56"/>
      <c r="F70" s="42"/>
      <c r="G70" s="42"/>
      <c r="H70" s="42"/>
      <c r="I70" s="42"/>
      <c r="J70" s="42"/>
      <c r="K70" s="42"/>
    </row>
    <row r="71" spans="1:11" s="45" customFormat="1">
      <c r="A71" s="56"/>
      <c r="F71" s="42"/>
      <c r="G71" s="42"/>
      <c r="H71" s="42"/>
      <c r="I71" s="42"/>
      <c r="J71" s="42"/>
      <c r="K71" s="42"/>
    </row>
    <row r="72" spans="1:11" s="45" customFormat="1">
      <c r="A72" s="56"/>
      <c r="F72" s="42"/>
      <c r="G72" s="42"/>
      <c r="H72" s="42"/>
      <c r="I72" s="42"/>
      <c r="J72" s="42"/>
      <c r="K72" s="42"/>
    </row>
    <row r="73" spans="1:11" s="45" customFormat="1">
      <c r="A73" s="56"/>
      <c r="F73" s="42"/>
      <c r="G73" s="42"/>
      <c r="H73" s="42"/>
      <c r="I73" s="42"/>
      <c r="J73" s="42"/>
      <c r="K73" s="42"/>
    </row>
    <row r="74" spans="1:11" s="45" customFormat="1">
      <c r="A74" s="56"/>
      <c r="F74" s="42"/>
      <c r="G74" s="42"/>
      <c r="H74" s="42"/>
      <c r="I74" s="42"/>
      <c r="J74" s="42"/>
      <c r="K74" s="42"/>
    </row>
    <row r="75" spans="1:11" s="45" customFormat="1">
      <c r="A75" s="56"/>
      <c r="F75" s="42"/>
      <c r="G75" s="42"/>
      <c r="H75" s="42"/>
      <c r="I75" s="42"/>
      <c r="J75" s="42"/>
      <c r="K75" s="42"/>
    </row>
    <row r="76" spans="1:11" s="45" customFormat="1">
      <c r="A76" s="56"/>
      <c r="F76" s="42"/>
      <c r="G76" s="42"/>
      <c r="H76" s="42"/>
      <c r="I76" s="42"/>
      <c r="J76" s="42"/>
      <c r="K76" s="42"/>
    </row>
    <row r="77" spans="1:11" s="45" customFormat="1">
      <c r="A77" s="56"/>
      <c r="F77" s="42"/>
      <c r="G77" s="42"/>
      <c r="H77" s="42"/>
      <c r="I77" s="42"/>
      <c r="J77" s="42"/>
      <c r="K77" s="42"/>
    </row>
    <row r="78" spans="1:11" s="45" customFormat="1">
      <c r="A78" s="56"/>
      <c r="F78" s="42"/>
      <c r="G78" s="42"/>
      <c r="H78" s="42"/>
      <c r="I78" s="42"/>
      <c r="J78" s="42"/>
      <c r="K78" s="42"/>
    </row>
    <row r="79" spans="1:11" s="45" customFormat="1">
      <c r="A79" s="56"/>
      <c r="F79" s="42"/>
      <c r="G79" s="42"/>
      <c r="H79" s="42"/>
      <c r="I79" s="42"/>
      <c r="J79" s="42"/>
      <c r="K79" s="42"/>
    </row>
    <row r="80" spans="1:11" s="45" customFormat="1">
      <c r="A80" s="56"/>
      <c r="F80" s="42"/>
      <c r="G80" s="42"/>
      <c r="H80" s="42"/>
      <c r="I80" s="42"/>
      <c r="J80" s="42"/>
      <c r="K80" s="42"/>
    </row>
    <row r="81" spans="1:11" s="45" customFormat="1">
      <c r="A81" s="56"/>
      <c r="F81" s="42"/>
      <c r="G81" s="42"/>
      <c r="H81" s="42"/>
      <c r="I81" s="42"/>
      <c r="J81" s="42"/>
      <c r="K81" s="42"/>
    </row>
    <row r="82" spans="1:11" s="45" customFormat="1">
      <c r="A82" s="56"/>
      <c r="F82" s="42"/>
      <c r="G82" s="42"/>
      <c r="H82" s="42"/>
      <c r="I82" s="42"/>
      <c r="J82" s="42"/>
      <c r="K82" s="42"/>
    </row>
    <row r="83" spans="1:11" s="45" customFormat="1">
      <c r="A83" s="56"/>
      <c r="F83" s="42"/>
      <c r="G83" s="42"/>
      <c r="H83" s="42"/>
      <c r="I83" s="42"/>
      <c r="J83" s="42"/>
      <c r="K83" s="42"/>
    </row>
    <row r="84" spans="1:11" s="45" customFormat="1">
      <c r="A84" s="56"/>
      <c r="F84" s="42"/>
      <c r="G84" s="42"/>
      <c r="H84" s="42"/>
      <c r="I84" s="42"/>
      <c r="J84" s="42"/>
      <c r="K84" s="42"/>
    </row>
    <row r="85" spans="1:11" s="45" customFormat="1">
      <c r="A85" s="56"/>
      <c r="F85" s="42"/>
      <c r="G85" s="42"/>
      <c r="H85" s="42"/>
      <c r="I85" s="42"/>
      <c r="J85" s="42"/>
      <c r="K85" s="42"/>
    </row>
    <row r="86" spans="1:11" s="45" customFormat="1">
      <c r="A86" s="56"/>
      <c r="F86" s="42"/>
      <c r="G86" s="42"/>
      <c r="H86" s="42"/>
      <c r="I86" s="42"/>
      <c r="J86" s="42"/>
      <c r="K86" s="42"/>
    </row>
    <row r="87" spans="1:11" s="45" customFormat="1">
      <c r="A87" s="56"/>
      <c r="F87" s="42"/>
      <c r="G87" s="42"/>
      <c r="H87" s="42"/>
      <c r="I87" s="42"/>
      <c r="J87" s="42"/>
      <c r="K87" s="42"/>
    </row>
    <row r="88" spans="1:11" s="45" customFormat="1">
      <c r="A88" s="56"/>
      <c r="F88" s="42"/>
      <c r="G88" s="42"/>
      <c r="H88" s="42"/>
      <c r="I88" s="42"/>
      <c r="J88" s="42"/>
      <c r="K88" s="42"/>
    </row>
    <row r="89" spans="1:11" s="45" customFormat="1">
      <c r="A89" s="56"/>
      <c r="F89" s="42"/>
      <c r="G89" s="42"/>
      <c r="H89" s="42"/>
      <c r="I89" s="42"/>
      <c r="J89" s="42"/>
      <c r="K89" s="42"/>
    </row>
    <row r="90" spans="1:11" s="45" customFormat="1">
      <c r="A90" s="56"/>
      <c r="F90" s="42"/>
      <c r="G90" s="42"/>
      <c r="H90" s="42"/>
      <c r="I90" s="42"/>
      <c r="J90" s="42"/>
      <c r="K90" s="42"/>
    </row>
    <row r="91" spans="1:11" s="45" customFormat="1">
      <c r="A91" s="56"/>
      <c r="F91" s="42"/>
      <c r="G91" s="42"/>
      <c r="H91" s="42"/>
      <c r="I91" s="42"/>
      <c r="J91" s="42"/>
      <c r="K91" s="42"/>
    </row>
    <row r="92" spans="1:11" s="45" customFormat="1">
      <c r="A92" s="56"/>
      <c r="F92" s="42"/>
      <c r="G92" s="42"/>
      <c r="H92" s="42"/>
      <c r="I92" s="42"/>
      <c r="J92" s="42"/>
      <c r="K92" s="42"/>
    </row>
    <row r="93" spans="1:11" s="45" customFormat="1">
      <c r="A93" s="56"/>
      <c r="F93" s="42"/>
      <c r="G93" s="42"/>
      <c r="H93" s="42"/>
      <c r="I93" s="42"/>
      <c r="J93" s="42"/>
      <c r="K93" s="42"/>
    </row>
    <row r="94" spans="1:11" s="45" customFormat="1">
      <c r="A94" s="56"/>
      <c r="F94" s="42"/>
      <c r="G94" s="42"/>
      <c r="H94" s="42"/>
      <c r="I94" s="42"/>
      <c r="J94" s="42"/>
      <c r="K94" s="42"/>
    </row>
    <row r="95" spans="1:11" s="45" customFormat="1">
      <c r="A95" s="56"/>
      <c r="F95" s="42"/>
      <c r="G95" s="42"/>
      <c r="H95" s="42"/>
      <c r="I95" s="42"/>
      <c r="J95" s="42"/>
      <c r="K95" s="42"/>
    </row>
    <row r="96" spans="1:11" s="45" customFormat="1">
      <c r="A96" s="56"/>
      <c r="F96" s="42"/>
      <c r="G96" s="42"/>
      <c r="H96" s="42"/>
      <c r="I96" s="42"/>
      <c r="J96" s="42"/>
      <c r="K96" s="42"/>
    </row>
    <row r="97" spans="1:11" s="45" customFormat="1">
      <c r="A97" s="56"/>
      <c r="F97" s="42"/>
      <c r="G97" s="42"/>
      <c r="H97" s="42"/>
      <c r="I97" s="42"/>
      <c r="J97" s="42"/>
      <c r="K97" s="42"/>
    </row>
    <row r="98" spans="1:11" s="45" customFormat="1">
      <c r="A98" s="56"/>
      <c r="F98" s="42"/>
      <c r="G98" s="42"/>
      <c r="H98" s="42"/>
      <c r="I98" s="42"/>
      <c r="J98" s="42"/>
      <c r="K98" s="42"/>
    </row>
    <row r="99" spans="1:11" s="45" customFormat="1">
      <c r="A99" s="56"/>
      <c r="F99" s="42"/>
      <c r="G99" s="42"/>
      <c r="H99" s="42"/>
      <c r="I99" s="42"/>
      <c r="J99" s="42"/>
      <c r="K99" s="42"/>
    </row>
    <row r="100" spans="1:11" s="45" customFormat="1">
      <c r="A100" s="56"/>
      <c r="F100" s="42"/>
      <c r="G100" s="42"/>
      <c r="H100" s="42"/>
      <c r="I100" s="42"/>
      <c r="J100" s="42"/>
      <c r="K100" s="42"/>
    </row>
    <row r="101" spans="1:11" s="45" customFormat="1">
      <c r="A101" s="56"/>
      <c r="F101" s="42"/>
      <c r="G101" s="42"/>
      <c r="H101" s="42"/>
      <c r="I101" s="42"/>
      <c r="J101" s="42"/>
      <c r="K101" s="42"/>
    </row>
    <row r="102" spans="1:11" s="45" customFormat="1">
      <c r="A102" s="56"/>
      <c r="F102" s="42"/>
      <c r="G102" s="42"/>
      <c r="H102" s="42"/>
      <c r="I102" s="42"/>
      <c r="J102" s="42"/>
      <c r="K102" s="42"/>
    </row>
    <row r="103" spans="1:11" s="45" customFormat="1">
      <c r="A103" s="56"/>
      <c r="F103" s="42"/>
      <c r="G103" s="42"/>
      <c r="H103" s="42"/>
      <c r="I103" s="42"/>
      <c r="J103" s="42"/>
      <c r="K103" s="42"/>
    </row>
    <row r="104" spans="1:11" s="45" customFormat="1">
      <c r="A104" s="56"/>
      <c r="F104" s="42"/>
      <c r="G104" s="42"/>
      <c r="H104" s="42"/>
      <c r="I104" s="42"/>
      <c r="J104" s="42"/>
      <c r="K104" s="42"/>
    </row>
    <row r="105" spans="1:11" s="45" customFormat="1">
      <c r="A105" s="56"/>
      <c r="F105" s="42"/>
      <c r="G105" s="42"/>
      <c r="H105" s="42"/>
      <c r="I105" s="42"/>
      <c r="J105" s="42"/>
      <c r="K105" s="42"/>
    </row>
    <row r="106" spans="1:11" s="45" customFormat="1">
      <c r="A106" s="56"/>
      <c r="F106" s="42"/>
      <c r="G106" s="42"/>
      <c r="H106" s="42"/>
      <c r="I106" s="42"/>
      <c r="J106" s="42"/>
      <c r="K106" s="42"/>
    </row>
    <row r="107" spans="1:11" s="45" customFormat="1">
      <c r="A107" s="56"/>
      <c r="F107" s="42"/>
      <c r="G107" s="42"/>
      <c r="H107" s="42"/>
      <c r="I107" s="42"/>
      <c r="J107" s="42"/>
      <c r="K107" s="42"/>
    </row>
    <row r="108" spans="1:11" s="45" customFormat="1">
      <c r="A108" s="56"/>
      <c r="F108" s="42"/>
      <c r="G108" s="42"/>
      <c r="H108" s="42"/>
      <c r="I108" s="42"/>
      <c r="J108" s="42"/>
      <c r="K108" s="42"/>
    </row>
    <row r="109" spans="1:11" s="45" customFormat="1">
      <c r="A109" s="56"/>
      <c r="F109" s="42"/>
      <c r="G109" s="42"/>
      <c r="H109" s="42"/>
      <c r="I109" s="42"/>
      <c r="J109" s="42"/>
      <c r="K109" s="42"/>
    </row>
    <row r="110" spans="1:11" s="45" customFormat="1">
      <c r="A110" s="56"/>
      <c r="F110" s="42"/>
      <c r="G110" s="42"/>
      <c r="H110" s="42"/>
      <c r="I110" s="42"/>
      <c r="J110" s="42"/>
      <c r="K110" s="42"/>
    </row>
    <row r="111" spans="1:11" s="45" customFormat="1">
      <c r="A111" s="56"/>
      <c r="F111" s="42"/>
      <c r="G111" s="42"/>
      <c r="H111" s="42"/>
      <c r="I111" s="42"/>
      <c r="J111" s="42"/>
      <c r="K111" s="42"/>
    </row>
    <row r="112" spans="1:11" s="45" customFormat="1">
      <c r="A112" s="56"/>
      <c r="F112" s="42"/>
      <c r="G112" s="42"/>
      <c r="H112" s="42"/>
      <c r="I112" s="42"/>
      <c r="J112" s="42"/>
      <c r="K112" s="42"/>
    </row>
    <row r="113" spans="1:11" s="45" customFormat="1">
      <c r="A113" s="56"/>
      <c r="F113" s="42"/>
      <c r="G113" s="42"/>
      <c r="H113" s="42"/>
      <c r="I113" s="42"/>
      <c r="J113" s="42"/>
      <c r="K113" s="42"/>
    </row>
    <row r="114" spans="1:11" s="45" customFormat="1">
      <c r="A114" s="56"/>
      <c r="F114" s="42"/>
      <c r="G114" s="42"/>
      <c r="H114" s="42"/>
      <c r="I114" s="42"/>
      <c r="J114" s="42"/>
      <c r="K114" s="42"/>
    </row>
    <row r="115" spans="1:11" s="45" customFormat="1">
      <c r="A115" s="56"/>
      <c r="F115" s="42"/>
      <c r="G115" s="42"/>
      <c r="H115" s="42"/>
      <c r="I115" s="42"/>
      <c r="J115" s="42"/>
      <c r="K115" s="42"/>
    </row>
    <row r="116" spans="1:11" s="45" customFormat="1">
      <c r="A116" s="56"/>
      <c r="F116" s="42"/>
      <c r="G116" s="42"/>
      <c r="H116" s="42"/>
      <c r="I116" s="42"/>
      <c r="J116" s="42"/>
      <c r="K116" s="42"/>
    </row>
    <row r="117" spans="1:11" s="45" customFormat="1">
      <c r="A117" s="56"/>
      <c r="F117" s="42"/>
      <c r="G117" s="42"/>
      <c r="H117" s="42"/>
      <c r="I117" s="42"/>
      <c r="J117" s="42"/>
      <c r="K117" s="42"/>
    </row>
    <row r="118" spans="1:11" s="45" customFormat="1">
      <c r="A118" s="56"/>
      <c r="F118" s="42"/>
      <c r="G118" s="42"/>
      <c r="H118" s="42"/>
      <c r="I118" s="42"/>
      <c r="J118" s="42"/>
      <c r="K118" s="42"/>
    </row>
    <row r="119" spans="1:11" s="45" customFormat="1">
      <c r="A119" s="56"/>
      <c r="F119" s="42"/>
      <c r="G119" s="42"/>
      <c r="H119" s="42"/>
      <c r="I119" s="42"/>
      <c r="J119" s="42"/>
      <c r="K119" s="42"/>
    </row>
    <row r="120" spans="1:11" s="45" customFormat="1">
      <c r="A120" s="56"/>
      <c r="F120" s="42"/>
      <c r="G120" s="42"/>
      <c r="H120" s="42"/>
      <c r="I120" s="42"/>
      <c r="J120" s="42"/>
      <c r="K120" s="42"/>
    </row>
    <row r="121" spans="1:11" s="45" customFormat="1">
      <c r="A121" s="56"/>
      <c r="F121" s="42"/>
      <c r="G121" s="42"/>
      <c r="H121" s="42"/>
      <c r="I121" s="42"/>
      <c r="J121" s="42"/>
      <c r="K121" s="42"/>
    </row>
    <row r="122" spans="1:11" s="45" customFormat="1">
      <c r="A122" s="56"/>
      <c r="F122" s="42"/>
      <c r="G122" s="42"/>
      <c r="H122" s="42"/>
      <c r="I122" s="42"/>
      <c r="J122" s="42"/>
      <c r="K122" s="42"/>
    </row>
    <row r="123" spans="1:11" s="45" customFormat="1">
      <c r="A123" s="56"/>
      <c r="F123" s="42"/>
      <c r="G123" s="42"/>
      <c r="H123" s="42"/>
      <c r="I123" s="42"/>
      <c r="J123" s="42"/>
      <c r="K123" s="42"/>
    </row>
    <row r="124" spans="1:11" s="45" customFormat="1">
      <c r="A124" s="56"/>
      <c r="F124" s="42"/>
      <c r="G124" s="42"/>
      <c r="H124" s="42"/>
      <c r="I124" s="42"/>
      <c r="J124" s="42"/>
      <c r="K124" s="42"/>
    </row>
    <row r="125" spans="1:11" s="45" customFormat="1">
      <c r="A125" s="56"/>
      <c r="F125" s="42"/>
      <c r="G125" s="42"/>
      <c r="H125" s="42"/>
      <c r="I125" s="42"/>
      <c r="J125" s="42"/>
      <c r="K125" s="42"/>
    </row>
    <row r="126" spans="1:11" s="45" customFormat="1">
      <c r="A126" s="56"/>
      <c r="F126" s="42"/>
      <c r="G126" s="42"/>
      <c r="H126" s="42"/>
      <c r="I126" s="42"/>
      <c r="J126" s="42"/>
      <c r="K126" s="42"/>
    </row>
    <row r="127" spans="1:11" s="45" customFormat="1">
      <c r="A127" s="56"/>
      <c r="F127" s="42"/>
      <c r="G127" s="42"/>
      <c r="H127" s="42"/>
      <c r="I127" s="42"/>
      <c r="J127" s="42"/>
      <c r="K127" s="42"/>
    </row>
    <row r="128" spans="1:11" s="45" customFormat="1">
      <c r="A128" s="56"/>
      <c r="F128" s="42"/>
      <c r="G128" s="42"/>
      <c r="H128" s="42"/>
      <c r="I128" s="42"/>
      <c r="J128" s="42"/>
      <c r="K128" s="42"/>
    </row>
    <row r="129" spans="1:11" s="45" customFormat="1">
      <c r="A129" s="56"/>
      <c r="F129" s="42"/>
      <c r="G129" s="42"/>
      <c r="H129" s="42"/>
      <c r="I129" s="42"/>
      <c r="J129" s="42"/>
      <c r="K129" s="42"/>
    </row>
    <row r="130" spans="1:11" s="45" customFormat="1">
      <c r="A130" s="56"/>
      <c r="F130" s="42"/>
      <c r="G130" s="42"/>
      <c r="H130" s="42"/>
      <c r="I130" s="42"/>
      <c r="J130" s="42"/>
      <c r="K130" s="42"/>
    </row>
    <row r="131" spans="1:11" s="45" customFormat="1">
      <c r="A131" s="56"/>
      <c r="F131" s="42"/>
      <c r="G131" s="42"/>
      <c r="H131" s="42"/>
      <c r="I131" s="42"/>
      <c r="J131" s="42"/>
      <c r="K131" s="42"/>
    </row>
    <row r="132" spans="1:11" s="45" customFormat="1">
      <c r="A132" s="56"/>
      <c r="F132" s="42"/>
      <c r="G132" s="42"/>
      <c r="H132" s="42"/>
      <c r="I132" s="42"/>
      <c r="J132" s="42"/>
      <c r="K132" s="42"/>
    </row>
    <row r="133" spans="1:11" s="45" customFormat="1">
      <c r="A133" s="56"/>
      <c r="F133" s="42"/>
      <c r="G133" s="42"/>
      <c r="H133" s="42"/>
      <c r="I133" s="42"/>
      <c r="J133" s="42"/>
      <c r="K133" s="42"/>
    </row>
    <row r="134" spans="1:11" s="45" customFormat="1">
      <c r="A134" s="56"/>
      <c r="F134" s="42"/>
      <c r="G134" s="42"/>
      <c r="H134" s="42"/>
      <c r="I134" s="42"/>
      <c r="J134" s="42"/>
      <c r="K134" s="42"/>
    </row>
    <row r="135" spans="1:11" s="45" customFormat="1">
      <c r="A135" s="56"/>
      <c r="F135" s="42"/>
      <c r="G135" s="42"/>
      <c r="H135" s="42"/>
      <c r="I135" s="42"/>
      <c r="J135" s="42"/>
      <c r="K135" s="42"/>
    </row>
    <row r="136" spans="1:11" s="45" customFormat="1">
      <c r="A136" s="56"/>
      <c r="F136" s="42"/>
      <c r="G136" s="42"/>
      <c r="H136" s="42"/>
      <c r="I136" s="42"/>
      <c r="J136" s="42"/>
      <c r="K136" s="42"/>
    </row>
    <row r="137" spans="1:11" s="45" customFormat="1">
      <c r="A137" s="56"/>
      <c r="F137" s="42"/>
      <c r="G137" s="42"/>
      <c r="H137" s="42"/>
      <c r="I137" s="42"/>
      <c r="J137" s="42"/>
      <c r="K137" s="42"/>
    </row>
    <row r="138" spans="1:11" s="45" customFormat="1">
      <c r="A138" s="56"/>
      <c r="F138" s="42"/>
      <c r="G138" s="42"/>
      <c r="H138" s="42"/>
      <c r="I138" s="42"/>
      <c r="J138" s="42"/>
      <c r="K138" s="42"/>
    </row>
    <row r="139" spans="1:11" s="45" customFormat="1">
      <c r="A139" s="56"/>
      <c r="F139" s="42"/>
      <c r="G139" s="42"/>
      <c r="H139" s="42"/>
      <c r="I139" s="42"/>
      <c r="J139" s="42"/>
      <c r="K139" s="42"/>
    </row>
    <row r="140" spans="1:11" s="45" customFormat="1">
      <c r="A140" s="56"/>
      <c r="F140" s="42"/>
      <c r="G140" s="42"/>
      <c r="H140" s="42"/>
      <c r="I140" s="42"/>
      <c r="J140" s="42"/>
      <c r="K140" s="42"/>
    </row>
    <row r="141" spans="1:11" s="45" customFormat="1">
      <c r="A141" s="56"/>
      <c r="F141" s="42"/>
      <c r="G141" s="42"/>
      <c r="H141" s="42"/>
      <c r="I141" s="42"/>
      <c r="J141" s="42"/>
      <c r="K141" s="42"/>
    </row>
    <row r="142" spans="1:11" s="45" customFormat="1">
      <c r="A142" s="56"/>
      <c r="F142" s="42"/>
      <c r="G142" s="42"/>
      <c r="H142" s="42"/>
      <c r="I142" s="42"/>
      <c r="J142" s="42"/>
      <c r="K142" s="42"/>
    </row>
    <row r="143" spans="1:11" s="45" customFormat="1">
      <c r="A143" s="56"/>
      <c r="F143" s="42"/>
      <c r="G143" s="42"/>
      <c r="H143" s="42"/>
      <c r="I143" s="42"/>
      <c r="J143" s="42"/>
      <c r="K143" s="42"/>
    </row>
    <row r="144" spans="1:11" s="45" customFormat="1">
      <c r="A144" s="56"/>
      <c r="F144" s="42"/>
      <c r="G144" s="42"/>
      <c r="H144" s="42"/>
      <c r="I144" s="42"/>
      <c r="J144" s="42"/>
      <c r="K144" s="42"/>
    </row>
    <row r="145" spans="1:11" s="45" customFormat="1">
      <c r="A145" s="56"/>
      <c r="F145" s="42"/>
      <c r="G145" s="42"/>
      <c r="H145" s="42"/>
      <c r="I145" s="42"/>
      <c r="J145" s="42"/>
      <c r="K145" s="42"/>
    </row>
    <row r="146" spans="1:11" s="45" customFormat="1">
      <c r="A146" s="56"/>
      <c r="F146" s="42"/>
      <c r="G146" s="42"/>
      <c r="H146" s="42"/>
      <c r="I146" s="42"/>
      <c r="J146" s="42"/>
      <c r="K146" s="42"/>
    </row>
    <row r="147" spans="1:11" s="45" customFormat="1">
      <c r="A147" s="56"/>
      <c r="F147" s="42"/>
      <c r="G147" s="42"/>
      <c r="H147" s="42"/>
      <c r="I147" s="42"/>
      <c r="J147" s="42"/>
      <c r="K147" s="42"/>
    </row>
    <row r="148" spans="1:11" s="45" customFormat="1">
      <c r="A148" s="56"/>
      <c r="F148" s="42"/>
      <c r="G148" s="42"/>
      <c r="H148" s="42"/>
      <c r="I148" s="42"/>
      <c r="J148" s="42"/>
      <c r="K148" s="42"/>
    </row>
    <row r="149" spans="1:11" s="45" customFormat="1">
      <c r="A149" s="56"/>
      <c r="F149" s="42"/>
      <c r="G149" s="42"/>
      <c r="H149" s="42"/>
      <c r="I149" s="42"/>
      <c r="J149" s="42"/>
      <c r="K149" s="42"/>
    </row>
    <row r="150" spans="1:11" s="45" customFormat="1">
      <c r="A150" s="56"/>
      <c r="F150" s="42"/>
      <c r="G150" s="42"/>
      <c r="H150" s="42"/>
      <c r="I150" s="42"/>
      <c r="J150" s="42"/>
      <c r="K150" s="42"/>
    </row>
    <row r="151" spans="1:11" s="45" customFormat="1">
      <c r="A151" s="56"/>
      <c r="F151" s="42"/>
      <c r="G151" s="42"/>
      <c r="H151" s="42"/>
      <c r="I151" s="42"/>
      <c r="J151" s="42"/>
      <c r="K151" s="42"/>
    </row>
    <row r="152" spans="1:11" s="45" customFormat="1">
      <c r="A152" s="56"/>
      <c r="F152" s="42"/>
      <c r="G152" s="42"/>
      <c r="H152" s="42"/>
      <c r="I152" s="42"/>
      <c r="J152" s="42"/>
      <c r="K152" s="42"/>
    </row>
    <row r="153" spans="1:11" s="45" customFormat="1">
      <c r="A153" s="56"/>
      <c r="F153" s="42"/>
      <c r="G153" s="42"/>
      <c r="H153" s="42"/>
      <c r="I153" s="42"/>
      <c r="J153" s="42"/>
      <c r="K153" s="42"/>
    </row>
    <row r="154" spans="1:11" s="45" customFormat="1">
      <c r="A154" s="56"/>
      <c r="F154" s="42"/>
      <c r="G154" s="42"/>
      <c r="H154" s="42"/>
      <c r="I154" s="42"/>
      <c r="J154" s="42"/>
      <c r="K154" s="42"/>
    </row>
    <row r="155" spans="1:11" s="45" customFormat="1">
      <c r="A155" s="56"/>
      <c r="F155" s="42"/>
      <c r="G155" s="42"/>
      <c r="H155" s="42"/>
      <c r="I155" s="42"/>
      <c r="J155" s="42"/>
      <c r="K155" s="42"/>
    </row>
    <row r="156" spans="1:11" s="45" customFormat="1">
      <c r="A156" s="56"/>
      <c r="F156" s="42"/>
      <c r="G156" s="42"/>
      <c r="H156" s="42"/>
      <c r="I156" s="42"/>
      <c r="J156" s="42"/>
      <c r="K156" s="42"/>
    </row>
    <row r="157" spans="1:11" s="45" customFormat="1">
      <c r="A157" s="56"/>
      <c r="F157" s="42"/>
      <c r="G157" s="42"/>
      <c r="H157" s="42"/>
      <c r="I157" s="42"/>
      <c r="J157" s="42"/>
      <c r="K157" s="42"/>
    </row>
    <row r="158" spans="1:11" s="45" customFormat="1">
      <c r="A158" s="56"/>
      <c r="F158" s="42"/>
      <c r="G158" s="42"/>
      <c r="H158" s="42"/>
      <c r="I158" s="42"/>
      <c r="J158" s="42"/>
      <c r="K158" s="42"/>
    </row>
    <row r="159" spans="1:11" s="45" customFormat="1">
      <c r="A159" s="56"/>
      <c r="F159" s="42"/>
      <c r="G159" s="42"/>
      <c r="H159" s="42"/>
      <c r="I159" s="42"/>
      <c r="J159" s="42"/>
      <c r="K159" s="42"/>
    </row>
    <row r="160" spans="1:11" s="45" customFormat="1">
      <c r="A160" s="56"/>
      <c r="F160" s="42"/>
      <c r="G160" s="42"/>
      <c r="H160" s="42"/>
      <c r="I160" s="42"/>
      <c r="J160" s="42"/>
      <c r="K160" s="42"/>
    </row>
    <row r="161" spans="1:11" s="45" customFormat="1">
      <c r="A161" s="56"/>
      <c r="F161" s="42"/>
      <c r="G161" s="42"/>
      <c r="H161" s="42"/>
      <c r="I161" s="42"/>
      <c r="J161" s="42"/>
      <c r="K161" s="42"/>
    </row>
    <row r="162" spans="1:11" s="45" customFormat="1">
      <c r="A162" s="56"/>
      <c r="F162" s="42"/>
      <c r="G162" s="42"/>
      <c r="H162" s="42"/>
      <c r="I162" s="42"/>
      <c r="J162" s="42"/>
      <c r="K162" s="42"/>
    </row>
    <row r="163" spans="1:11" s="45" customFormat="1">
      <c r="A163" s="56"/>
      <c r="F163" s="42"/>
      <c r="G163" s="42"/>
      <c r="H163" s="42"/>
      <c r="I163" s="42"/>
      <c r="J163" s="42"/>
      <c r="K163" s="42"/>
    </row>
    <row r="164" spans="1:11" s="45" customFormat="1">
      <c r="A164" s="56"/>
      <c r="F164" s="42"/>
      <c r="G164" s="42"/>
      <c r="H164" s="42"/>
      <c r="I164" s="42"/>
      <c r="J164" s="42"/>
      <c r="K164" s="42"/>
    </row>
    <row r="165" spans="1:11" s="45" customFormat="1">
      <c r="A165" s="56"/>
      <c r="F165" s="42"/>
      <c r="G165" s="42"/>
      <c r="H165" s="42"/>
      <c r="I165" s="42"/>
      <c r="J165" s="42"/>
      <c r="K165" s="42"/>
    </row>
    <row r="166" spans="1:11" s="45" customFormat="1">
      <c r="A166" s="56"/>
      <c r="F166" s="42"/>
      <c r="G166" s="42"/>
      <c r="H166" s="42"/>
      <c r="I166" s="42"/>
      <c r="J166" s="42"/>
      <c r="K166" s="42"/>
    </row>
    <row r="167" spans="1:11" s="45" customFormat="1">
      <c r="A167" s="56"/>
      <c r="F167" s="42"/>
      <c r="G167" s="42"/>
      <c r="H167" s="42"/>
      <c r="I167" s="42"/>
      <c r="J167" s="42"/>
      <c r="K167" s="42"/>
    </row>
    <row r="168" spans="1:11" s="45" customFormat="1">
      <c r="A168" s="56"/>
      <c r="F168" s="42"/>
      <c r="G168" s="42"/>
      <c r="H168" s="42"/>
      <c r="I168" s="42"/>
      <c r="J168" s="42"/>
      <c r="K168" s="42"/>
    </row>
    <row r="169" spans="1:11" s="45" customFormat="1">
      <c r="A169" s="56"/>
      <c r="F169" s="42"/>
      <c r="G169" s="42"/>
      <c r="H169" s="42"/>
      <c r="I169" s="42"/>
      <c r="J169" s="42"/>
      <c r="K169" s="42"/>
    </row>
    <row r="170" spans="1:11" s="45" customFormat="1">
      <c r="A170" s="56"/>
      <c r="F170" s="42"/>
      <c r="G170" s="42"/>
      <c r="H170" s="42"/>
      <c r="I170" s="42"/>
      <c r="J170" s="42"/>
      <c r="K170" s="42"/>
    </row>
    <row r="171" spans="1:11" s="45" customFormat="1">
      <c r="A171" s="56"/>
      <c r="F171" s="42"/>
      <c r="G171" s="42"/>
      <c r="H171" s="42"/>
      <c r="I171" s="42"/>
      <c r="J171" s="42"/>
      <c r="K171" s="42"/>
    </row>
    <row r="172" spans="1:11" s="45" customFormat="1">
      <c r="A172" s="56"/>
      <c r="F172" s="42"/>
      <c r="G172" s="42"/>
      <c r="H172" s="42"/>
      <c r="I172" s="42"/>
      <c r="J172" s="42"/>
      <c r="K172" s="42"/>
    </row>
    <row r="173" spans="1:11" s="45" customFormat="1">
      <c r="A173" s="56"/>
      <c r="F173" s="42"/>
      <c r="G173" s="42"/>
      <c r="H173" s="42"/>
      <c r="I173" s="42"/>
      <c r="J173" s="42"/>
      <c r="K173" s="42"/>
    </row>
    <row r="174" spans="1:11" s="45" customFormat="1">
      <c r="A174" s="56"/>
      <c r="F174" s="42"/>
      <c r="G174" s="42"/>
      <c r="H174" s="42"/>
      <c r="I174" s="42"/>
      <c r="J174" s="42"/>
      <c r="K174" s="42"/>
    </row>
    <row r="175" spans="1:11" s="45" customFormat="1">
      <c r="A175" s="56"/>
      <c r="F175" s="42"/>
      <c r="G175" s="42"/>
      <c r="H175" s="42"/>
      <c r="I175" s="42"/>
      <c r="J175" s="42"/>
      <c r="K175" s="42"/>
    </row>
    <row r="176" spans="1:11" s="45" customFormat="1">
      <c r="A176" s="56"/>
      <c r="F176" s="42"/>
      <c r="G176" s="42"/>
      <c r="H176" s="42"/>
      <c r="I176" s="42"/>
      <c r="J176" s="42"/>
      <c r="K176" s="42"/>
    </row>
    <row r="177" spans="1:11" s="45" customFormat="1">
      <c r="A177" s="56"/>
      <c r="F177" s="42"/>
      <c r="G177" s="42"/>
      <c r="H177" s="42"/>
      <c r="I177" s="42"/>
      <c r="J177" s="42"/>
      <c r="K177" s="42"/>
    </row>
    <row r="178" spans="1:11" s="45" customFormat="1">
      <c r="A178" s="56"/>
      <c r="F178" s="42"/>
      <c r="G178" s="42"/>
      <c r="H178" s="42"/>
      <c r="I178" s="42"/>
      <c r="J178" s="42"/>
      <c r="K178" s="42"/>
    </row>
    <row r="179" spans="1:11" s="45" customFormat="1">
      <c r="A179" s="56"/>
      <c r="F179" s="42"/>
      <c r="G179" s="42"/>
      <c r="H179" s="42"/>
      <c r="I179" s="42"/>
      <c r="J179" s="42"/>
      <c r="K179" s="42"/>
    </row>
    <row r="180" spans="1:11" s="45" customFormat="1">
      <c r="A180" s="56"/>
      <c r="F180" s="42"/>
      <c r="G180" s="42"/>
      <c r="H180" s="42"/>
      <c r="I180" s="42"/>
      <c r="J180" s="42"/>
      <c r="K180" s="42"/>
    </row>
    <row r="181" spans="1:11" s="45" customFormat="1">
      <c r="A181" s="56"/>
      <c r="F181" s="42"/>
      <c r="G181" s="42"/>
      <c r="H181" s="42"/>
      <c r="I181" s="42"/>
      <c r="J181" s="42"/>
      <c r="K181" s="42"/>
    </row>
    <row r="182" spans="1:11" s="45" customFormat="1">
      <c r="A182" s="56"/>
      <c r="F182" s="42"/>
      <c r="G182" s="42"/>
      <c r="H182" s="42"/>
      <c r="I182" s="42"/>
      <c r="J182" s="42"/>
      <c r="K182" s="42"/>
    </row>
    <row r="183" spans="1:11" s="45" customFormat="1">
      <c r="A183" s="56"/>
      <c r="F183" s="42"/>
      <c r="G183" s="42"/>
      <c r="H183" s="42"/>
      <c r="I183" s="42"/>
      <c r="J183" s="42"/>
      <c r="K183" s="42"/>
    </row>
    <row r="184" spans="1:11" s="45" customFormat="1">
      <c r="A184" s="56"/>
      <c r="F184" s="42"/>
      <c r="G184" s="42"/>
      <c r="H184" s="42"/>
      <c r="I184" s="42"/>
      <c r="J184" s="42"/>
      <c r="K184" s="42"/>
    </row>
    <row r="185" spans="1:11" s="45" customFormat="1">
      <c r="A185" s="56"/>
      <c r="F185" s="42"/>
      <c r="G185" s="42"/>
      <c r="H185" s="42"/>
      <c r="I185" s="42"/>
      <c r="J185" s="42"/>
      <c r="K185" s="42"/>
    </row>
    <row r="186" spans="1:11" s="45" customFormat="1">
      <c r="A186" s="56"/>
      <c r="F186" s="42"/>
      <c r="G186" s="42"/>
      <c r="H186" s="42"/>
      <c r="I186" s="42"/>
      <c r="J186" s="42"/>
      <c r="K186" s="42"/>
    </row>
    <row r="187" spans="1:11" s="45" customFormat="1">
      <c r="A187" s="56"/>
      <c r="F187" s="42"/>
      <c r="G187" s="42"/>
      <c r="H187" s="42"/>
      <c r="I187" s="42"/>
      <c r="J187" s="42"/>
      <c r="K187" s="42"/>
    </row>
    <row r="188" spans="1:11" s="45" customFormat="1">
      <c r="A188" s="56"/>
      <c r="F188" s="42"/>
      <c r="G188" s="42"/>
      <c r="H188" s="42"/>
      <c r="I188" s="42"/>
      <c r="J188" s="42"/>
      <c r="K188" s="42"/>
    </row>
    <row r="189" spans="1:11" s="45" customFormat="1">
      <c r="A189" s="56"/>
      <c r="F189" s="42"/>
      <c r="G189" s="42"/>
      <c r="H189" s="42"/>
      <c r="I189" s="42"/>
      <c r="J189" s="42"/>
      <c r="K189" s="42"/>
    </row>
    <row r="190" spans="1:11" s="45" customFormat="1">
      <c r="A190" s="56"/>
      <c r="F190" s="42"/>
      <c r="G190" s="42"/>
      <c r="H190" s="42"/>
      <c r="I190" s="42"/>
      <c r="J190" s="42"/>
      <c r="K190" s="42"/>
    </row>
    <row r="191" spans="1:11" s="45" customFormat="1">
      <c r="A191" s="56"/>
      <c r="F191" s="42"/>
      <c r="G191" s="42"/>
      <c r="H191" s="42"/>
      <c r="I191" s="42"/>
      <c r="J191" s="42"/>
      <c r="K191" s="42"/>
    </row>
    <row r="192" spans="1:11" s="45" customFormat="1">
      <c r="A192" s="56"/>
      <c r="F192" s="42"/>
      <c r="G192" s="42"/>
      <c r="H192" s="42"/>
      <c r="I192" s="42"/>
      <c r="J192" s="42"/>
      <c r="K192" s="42"/>
    </row>
  </sheetData>
  <sheetProtection password="C6FB" sheet="1" objects="1" scenarios="1" formatCells="0" formatColumns="0" formatRows="0" insertRows="0" deleteRows="0"/>
  <mergeCells count="13">
    <mergeCell ref="C42:E42"/>
    <mergeCell ref="G42:I42"/>
    <mergeCell ref="A6:I6"/>
    <mergeCell ref="A18:I18"/>
    <mergeCell ref="C41:E41"/>
    <mergeCell ref="G41:I41"/>
    <mergeCell ref="A1:I1"/>
    <mergeCell ref="A3:A4"/>
    <mergeCell ref="B3:B4"/>
    <mergeCell ref="C3:C4"/>
    <mergeCell ref="D3:D4"/>
    <mergeCell ref="E3:E4"/>
    <mergeCell ref="F3:I3"/>
  </mergeCells>
  <phoneticPr fontId="6" type="noConversion"/>
  <pageMargins left="0.78740157480314965" right="0.39370078740157483" top="0.59055118110236227" bottom="0.59055118110236227" header="0.19685039370078741" footer="0.11811023622047245"/>
  <pageSetup paperSize="9" scale="50" fitToHeight="2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</sheetPr>
  <dimension ref="A1:U118"/>
  <sheetViews>
    <sheetView windowProtection="1" view="pageBreakPreview" zoomScale="75" zoomScaleNormal="75" zoomScaleSheetLayoutView="50" workbookViewId="0">
      <pane ySplit="5" topLeftCell="A54" activePane="bottomLeft" state="frozen"/>
      <selection pane="bottomLeft" activeCell="H81" sqref="H81"/>
    </sheetView>
  </sheetViews>
  <sheetFormatPr defaultRowHeight="18.75" outlineLevelRow="1"/>
  <cols>
    <col min="1" max="1" width="57.140625" style="1" customWidth="1"/>
    <col min="2" max="2" width="13.7109375" style="1" customWidth="1"/>
    <col min="3" max="3" width="12.140625" style="1" customWidth="1"/>
    <col min="4" max="4" width="13.140625" style="1" customWidth="1"/>
    <col min="5" max="5" width="13.85546875" style="1" customWidth="1"/>
    <col min="6" max="6" width="12.42578125" style="1" bestFit="1" customWidth="1"/>
    <col min="7" max="7" width="10.7109375" style="1" bestFit="1" customWidth="1"/>
    <col min="8" max="8" width="11.42578125" style="1" bestFit="1" customWidth="1"/>
    <col min="9" max="9" width="10.7109375" style="1" bestFit="1" customWidth="1"/>
    <col min="10" max="10" width="17.7109375" style="1" hidden="1" customWidth="1"/>
    <col min="11" max="11" width="9.85546875" style="1" hidden="1" customWidth="1"/>
    <col min="12" max="16" width="9.140625" style="1" hidden="1" customWidth="1"/>
    <col min="17" max="17" width="14.140625" style="1" hidden="1" customWidth="1"/>
    <col min="18" max="18" width="23" style="1" hidden="1" customWidth="1"/>
    <col min="19" max="19" width="15" style="1" hidden="1" customWidth="1"/>
    <col min="20" max="20" width="15.28515625" style="1" hidden="1" customWidth="1"/>
    <col min="21" max="21" width="27" style="1" hidden="1" customWidth="1"/>
    <col min="22" max="23" width="0" style="1" hidden="1" customWidth="1"/>
    <col min="24" max="16384" width="9.140625" style="1"/>
  </cols>
  <sheetData>
    <row r="1" spans="1:11">
      <c r="A1" s="988" t="s">
        <v>378</v>
      </c>
      <c r="B1" s="988"/>
      <c r="C1" s="988"/>
      <c r="D1" s="988"/>
      <c r="E1" s="988"/>
      <c r="F1" s="988"/>
      <c r="G1" s="988"/>
      <c r="H1" s="988"/>
      <c r="I1" s="988"/>
    </row>
    <row r="2" spans="1:11" outlineLevel="1">
      <c r="A2" s="18"/>
      <c r="B2" s="18"/>
      <c r="C2" s="18"/>
      <c r="D2" s="18"/>
      <c r="E2" s="18"/>
      <c r="F2" s="18"/>
      <c r="G2" s="18"/>
      <c r="H2" s="18"/>
      <c r="I2" s="18"/>
    </row>
    <row r="3" spans="1:11" ht="48" customHeight="1">
      <c r="A3" s="1086" t="s">
        <v>274</v>
      </c>
      <c r="B3" s="1034" t="s">
        <v>0</v>
      </c>
      <c r="C3" s="1034" t="s">
        <v>32</v>
      </c>
      <c r="D3" s="1034" t="s">
        <v>71</v>
      </c>
      <c r="E3" s="1034" t="s">
        <v>181</v>
      </c>
      <c r="F3" s="906" t="s">
        <v>370</v>
      </c>
      <c r="G3" s="906"/>
      <c r="H3" s="906"/>
      <c r="I3" s="906"/>
    </row>
    <row r="4" spans="1:11" ht="38.25" customHeight="1">
      <c r="A4" s="1087"/>
      <c r="B4" s="1034"/>
      <c r="C4" s="1034"/>
      <c r="D4" s="1034"/>
      <c r="E4" s="1034"/>
      <c r="F4" s="424" t="s">
        <v>379</v>
      </c>
      <c r="G4" s="424" t="s">
        <v>372</v>
      </c>
      <c r="H4" s="424" t="s">
        <v>373</v>
      </c>
      <c r="I4" s="424" t="s">
        <v>87</v>
      </c>
    </row>
    <row r="5" spans="1:11" ht="18" customHeight="1">
      <c r="A5" s="425">
        <v>1</v>
      </c>
      <c r="B5" s="424">
        <v>2</v>
      </c>
      <c r="C5" s="488">
        <v>3</v>
      </c>
      <c r="D5" s="424">
        <v>4</v>
      </c>
      <c r="E5" s="424">
        <v>5</v>
      </c>
      <c r="F5" s="424">
        <v>6</v>
      </c>
      <c r="G5" s="424">
        <v>7</v>
      </c>
      <c r="H5" s="424">
        <v>8</v>
      </c>
      <c r="I5" s="424">
        <v>9</v>
      </c>
    </row>
    <row r="6" spans="1:11" s="54" customFormat="1" ht="20.100000000000001" customHeight="1">
      <c r="A6" s="1082" t="s">
        <v>171</v>
      </c>
      <c r="B6" s="1083"/>
      <c r="C6" s="1083"/>
      <c r="D6" s="1083"/>
      <c r="E6" s="1083"/>
      <c r="F6" s="1083"/>
      <c r="G6" s="1083"/>
      <c r="H6" s="1083"/>
      <c r="I6" s="1084"/>
    </row>
    <row r="7" spans="1:11" ht="37.5">
      <c r="A7" s="177" t="s">
        <v>191</v>
      </c>
      <c r="B7" s="162">
        <v>1170</v>
      </c>
      <c r="C7" s="187">
        <f>'I. Фін результат'!C175</f>
        <v>-12867</v>
      </c>
      <c r="D7" s="187">
        <f>'I. Фін результат'!D175</f>
        <v>6229</v>
      </c>
      <c r="E7" s="187">
        <f>'I. Фін результат'!E175</f>
        <v>-49954.157661000063</v>
      </c>
      <c r="F7" s="187">
        <f>'I. Фін результат'!F175</f>
        <v>10511.458583565758</v>
      </c>
      <c r="G7" s="187">
        <f>'I. Фін результат'!G175</f>
        <v>6469.2524218101698</v>
      </c>
      <c r="H7" s="187">
        <f>'I. Фін результат'!H175</f>
        <v>3281.0178425633371</v>
      </c>
      <c r="I7" s="187">
        <f>'I. Фін результат'!I175</f>
        <v>9616.5884461094556</v>
      </c>
    </row>
    <row r="8" spans="1:11" ht="20.100000000000001" customHeight="1">
      <c r="A8" s="177" t="s">
        <v>192</v>
      </c>
      <c r="B8" s="215"/>
      <c r="C8" s="187"/>
      <c r="D8" s="187"/>
      <c r="E8" s="187"/>
      <c r="F8" s="187"/>
      <c r="G8" s="187"/>
      <c r="H8" s="187"/>
      <c r="I8" s="187"/>
    </row>
    <row r="9" spans="1:11" ht="20.100000000000001" customHeight="1">
      <c r="A9" s="177" t="s">
        <v>195</v>
      </c>
      <c r="B9" s="428">
        <v>3000</v>
      </c>
      <c r="C9" s="187">
        <f>'I. Фін результат'!C201</f>
        <v>8280</v>
      </c>
      <c r="D9" s="187">
        <f>'I. Фін результат'!D201</f>
        <v>19861</v>
      </c>
      <c r="E9" s="187">
        <f>'I. Фін результат'!E201</f>
        <v>106641.2497613889</v>
      </c>
      <c r="F9" s="187">
        <f>'I. Фін результат'!F201</f>
        <v>29522.107604166667</v>
      </c>
      <c r="G9" s="187">
        <f>'I. Фін результат'!G201</f>
        <v>58900.850848333335</v>
      </c>
      <c r="H9" s="187">
        <f>'I. Фін результат'!H201</f>
        <v>88351.276272500007</v>
      </c>
      <c r="I9" s="187">
        <f>'I. Фін результат'!I201</f>
        <v>117801.70169666667</v>
      </c>
      <c r="J9" s="1">
        <v>474</v>
      </c>
    </row>
    <row r="10" spans="1:11" ht="20.100000000000001" customHeight="1">
      <c r="A10" s="177" t="s">
        <v>196</v>
      </c>
      <c r="B10" s="428">
        <v>3010</v>
      </c>
      <c r="C10" s="183">
        <v>0</v>
      </c>
      <c r="D10" s="183"/>
      <c r="E10" s="183"/>
      <c r="F10" s="183"/>
      <c r="G10" s="183"/>
      <c r="H10" s="183"/>
      <c r="I10" s="183"/>
      <c r="J10" s="1">
        <v>1</v>
      </c>
    </row>
    <row r="11" spans="1:11" ht="37.5">
      <c r="A11" s="177" t="s">
        <v>197</v>
      </c>
      <c r="B11" s="428">
        <v>3020</v>
      </c>
      <c r="C11" s="183">
        <v>0</v>
      </c>
      <c r="D11" s="183"/>
      <c r="E11" s="183"/>
      <c r="F11" s="183"/>
      <c r="G11" s="183"/>
      <c r="H11" s="183"/>
      <c r="I11" s="183"/>
    </row>
    <row r="12" spans="1:11" ht="56.25">
      <c r="A12" s="177" t="s">
        <v>198</v>
      </c>
      <c r="B12" s="428">
        <v>3030</v>
      </c>
      <c r="C12" s="183">
        <f>C13+C14+C15+C16</f>
        <v>54279</v>
      </c>
      <c r="D12" s="183">
        <f t="shared" ref="D12:I12" si="0">D13+D14+D15+D16</f>
        <v>0</v>
      </c>
      <c r="E12" s="183">
        <f t="shared" si="0"/>
        <v>0</v>
      </c>
      <c r="F12" s="183">
        <f t="shared" si="0"/>
        <v>0</v>
      </c>
      <c r="G12" s="183">
        <f t="shared" si="0"/>
        <v>0</v>
      </c>
      <c r="H12" s="183">
        <f t="shared" si="0"/>
        <v>0</v>
      </c>
      <c r="I12" s="183">
        <f t="shared" si="0"/>
        <v>0</v>
      </c>
    </row>
    <row r="13" spans="1:11">
      <c r="A13" s="177" t="s">
        <v>424</v>
      </c>
      <c r="B13" s="428" t="s">
        <v>422</v>
      </c>
      <c r="C13" s="183">
        <v>83497</v>
      </c>
      <c r="D13" s="183"/>
      <c r="E13" s="183"/>
      <c r="F13" s="183"/>
      <c r="G13" s="183"/>
      <c r="H13" s="183"/>
      <c r="I13" s="183"/>
    </row>
    <row r="14" spans="1:11">
      <c r="A14" s="177" t="s">
        <v>425</v>
      </c>
      <c r="B14" s="428" t="s">
        <v>423</v>
      </c>
      <c r="C14" s="183">
        <v>-29218</v>
      </c>
      <c r="D14" s="183"/>
      <c r="E14" s="183"/>
      <c r="F14" s="183"/>
      <c r="G14" s="183"/>
      <c r="H14" s="183"/>
      <c r="I14" s="183"/>
      <c r="J14" s="1">
        <f>(0+36186)-(0+370+36154)+(5637-5051)-(0+370+36154)-(0+36186)+(5051-5637)</f>
        <v>-73048</v>
      </c>
      <c r="K14" s="1">
        <f>(0+36186)-(0+370+36154)+(5637-5051)+226</f>
        <v>474</v>
      </c>
    </row>
    <row r="15" spans="1:11">
      <c r="A15" s="177" t="s">
        <v>661</v>
      </c>
      <c r="B15" s="428" t="s">
        <v>660</v>
      </c>
      <c r="C15" s="183">
        <v>0</v>
      </c>
      <c r="D15" s="183"/>
      <c r="E15" s="183"/>
      <c r="F15" s="183"/>
      <c r="G15" s="183"/>
      <c r="H15" s="183"/>
      <c r="I15" s="183"/>
    </row>
    <row r="16" spans="1:11">
      <c r="A16" s="177" t="s">
        <v>673</v>
      </c>
      <c r="B16" s="428" t="s">
        <v>672</v>
      </c>
      <c r="C16" s="499">
        <v>0</v>
      </c>
      <c r="D16" s="183"/>
      <c r="E16" s="183"/>
      <c r="F16" s="183"/>
      <c r="G16" s="183"/>
      <c r="H16" s="183"/>
      <c r="I16" s="183"/>
      <c r="J16" s="1" t="s">
        <v>1069</v>
      </c>
    </row>
    <row r="17" spans="1:14" ht="42.75" customHeight="1">
      <c r="A17" s="179" t="s">
        <v>257</v>
      </c>
      <c r="B17" s="216">
        <v>3040</v>
      </c>
      <c r="C17" s="437">
        <f>SUM(C7:C12)</f>
        <v>49692</v>
      </c>
      <c r="D17" s="184">
        <f t="shared" ref="D17:I17" si="1">SUM(D7:D12)</f>
        <v>26090</v>
      </c>
      <c r="E17" s="184">
        <f t="shared" si="1"/>
        <v>56687.092100388836</v>
      </c>
      <c r="F17" s="184">
        <f>SUM(F7:F12)</f>
        <v>40033.566187732424</v>
      </c>
      <c r="G17" s="184">
        <f t="shared" si="1"/>
        <v>65370.103270143503</v>
      </c>
      <c r="H17" s="184">
        <f t="shared" si="1"/>
        <v>91632.294115063341</v>
      </c>
      <c r="I17" s="184">
        <f t="shared" si="1"/>
        <v>127418.29014277612</v>
      </c>
      <c r="J17" s="502">
        <f>4112</f>
        <v>4112</v>
      </c>
      <c r="K17" s="301"/>
      <c r="L17" s="301"/>
      <c r="M17" s="503">
        <f>C17+J17</f>
        <v>53804</v>
      </c>
      <c r="N17" s="301"/>
    </row>
    <row r="18" spans="1:14" ht="37.5">
      <c r="A18" s="177" t="s">
        <v>199</v>
      </c>
      <c r="B18" s="181">
        <v>3050</v>
      </c>
      <c r="C18" s="183">
        <f>C19+C20+C21+C22</f>
        <v>-13715</v>
      </c>
      <c r="D18" s="183">
        <f t="shared" ref="D18:I18" si="2">SUM(D19:D22)</f>
        <v>0</v>
      </c>
      <c r="E18" s="183">
        <f t="shared" si="2"/>
        <v>0</v>
      </c>
      <c r="F18" s="183">
        <f t="shared" si="2"/>
        <v>0</v>
      </c>
      <c r="G18" s="183">
        <f t="shared" si="2"/>
        <v>0</v>
      </c>
      <c r="H18" s="183">
        <f t="shared" si="2"/>
        <v>0</v>
      </c>
      <c r="I18" s="183">
        <f t="shared" si="2"/>
        <v>0</v>
      </c>
      <c r="J18" s="1">
        <f>126324-90592</f>
        <v>35732</v>
      </c>
      <c r="K18" s="435">
        <f>J18-C18</f>
        <v>49447</v>
      </c>
    </row>
    <row r="19" spans="1:14">
      <c r="A19" s="177" t="s">
        <v>427</v>
      </c>
      <c r="B19" s="181" t="s">
        <v>426</v>
      </c>
      <c r="C19" s="183">
        <f>8645-10179</f>
        <v>-1534</v>
      </c>
      <c r="D19" s="183"/>
      <c r="E19" s="183"/>
      <c r="F19" s="183"/>
      <c r="G19" s="183"/>
      <c r="H19" s="183"/>
      <c r="I19" s="183"/>
      <c r="J19" s="1">
        <f>10179-8645</f>
        <v>1534</v>
      </c>
      <c r="K19" s="1">
        <v>-1</v>
      </c>
    </row>
    <row r="20" spans="1:14">
      <c r="A20" s="177" t="s">
        <v>428</v>
      </c>
      <c r="B20" s="181" t="s">
        <v>429</v>
      </c>
      <c r="C20" s="183">
        <v>-33795</v>
      </c>
      <c r="D20" s="183"/>
      <c r="E20" s="183"/>
      <c r="F20" s="183"/>
      <c r="G20" s="183"/>
      <c r="H20" s="183"/>
      <c r="I20" s="183"/>
      <c r="J20" s="1">
        <f>6242+11863+46803+251-4726-26638</f>
        <v>33795</v>
      </c>
      <c r="K20" s="1">
        <v>-1</v>
      </c>
    </row>
    <row r="21" spans="1:14">
      <c r="A21" s="177" t="s">
        <v>430</v>
      </c>
      <c r="B21" s="181" t="s">
        <v>431</v>
      </c>
      <c r="C21" s="183">
        <f>19526-0</f>
        <v>19526</v>
      </c>
      <c r="D21" s="183"/>
      <c r="E21" s="183"/>
      <c r="F21" s="183"/>
      <c r="G21" s="183"/>
      <c r="H21" s="183"/>
      <c r="I21" s="183"/>
      <c r="J21" s="1">
        <f>0-19526</f>
        <v>-19526</v>
      </c>
      <c r="K21" s="1">
        <v>-1</v>
      </c>
    </row>
    <row r="22" spans="1:14">
      <c r="A22" s="177" t="s">
        <v>432</v>
      </c>
      <c r="B22" s="181" t="s">
        <v>433</v>
      </c>
      <c r="C22" s="183">
        <f>4531-2443</f>
        <v>2088</v>
      </c>
      <c r="D22" s="183"/>
      <c r="E22" s="183"/>
      <c r="F22" s="183"/>
      <c r="G22" s="183"/>
      <c r="H22" s="183"/>
      <c r="I22" s="183"/>
      <c r="J22" s="1">
        <f>2443-4531+48543-26526</f>
        <v>19929</v>
      </c>
      <c r="K22" s="1">
        <v>1</v>
      </c>
    </row>
    <row r="23" spans="1:14" ht="37.5">
      <c r="A23" s="177" t="s">
        <v>200</v>
      </c>
      <c r="B23" s="181">
        <v>3060</v>
      </c>
      <c r="C23" s="183">
        <v>173484</v>
      </c>
      <c r="D23" s="183"/>
      <c r="E23" s="183"/>
      <c r="F23" s="183"/>
      <c r="G23" s="183"/>
      <c r="H23" s="183"/>
      <c r="I23" s="183"/>
      <c r="J23" s="1">
        <f>181866-172653-8382</f>
        <v>831</v>
      </c>
      <c r="K23" s="1">
        <v>1</v>
      </c>
    </row>
    <row r="24" spans="1:14">
      <c r="A24" s="177" t="s">
        <v>1142</v>
      </c>
      <c r="B24" s="811" t="s">
        <v>1143</v>
      </c>
      <c r="C24" s="183"/>
      <c r="D24" s="183"/>
      <c r="E24" s="183"/>
      <c r="F24" s="183"/>
      <c r="G24" s="183"/>
      <c r="H24" s="183"/>
      <c r="I24" s="183"/>
    </row>
    <row r="25" spans="1:14">
      <c r="A25" s="177" t="s">
        <v>1144</v>
      </c>
      <c r="B25" s="813" t="s">
        <v>1145</v>
      </c>
      <c r="C25" s="183">
        <v>173484</v>
      </c>
      <c r="D25" s="183"/>
      <c r="E25" s="183"/>
      <c r="F25" s="183"/>
      <c r="G25" s="183"/>
      <c r="H25" s="183"/>
      <c r="I25" s="183"/>
    </row>
    <row r="26" spans="1:14" ht="27.75" customHeight="1">
      <c r="A26" s="179" t="s">
        <v>193</v>
      </c>
      <c r="B26" s="216">
        <v>3070</v>
      </c>
      <c r="C26" s="437">
        <f>SUM(C17:C18)+C23</f>
        <v>209461</v>
      </c>
      <c r="D26" s="184">
        <f t="shared" ref="D26:I26" si="3">SUM(D17:D18)+D23</f>
        <v>26090</v>
      </c>
      <c r="E26" s="184">
        <f t="shared" si="3"/>
        <v>56687.092100388836</v>
      </c>
      <c r="F26" s="184">
        <f>SUM(F17:F18)+F23</f>
        <v>40033.566187732424</v>
      </c>
      <c r="G26" s="184">
        <f t="shared" si="3"/>
        <v>65370.103270143503</v>
      </c>
      <c r="H26" s="184">
        <f t="shared" si="3"/>
        <v>91632.294115063341</v>
      </c>
      <c r="I26" s="184">
        <f t="shared" si="3"/>
        <v>127418.29014277612</v>
      </c>
      <c r="K26" s="1">
        <v>-1</v>
      </c>
    </row>
    <row r="27" spans="1:14" ht="26.25" customHeight="1">
      <c r="A27" s="177" t="s">
        <v>194</v>
      </c>
      <c r="B27" s="181">
        <v>3080</v>
      </c>
      <c r="C27" s="187">
        <f>'I. Фін результат'!C176</f>
        <v>0</v>
      </c>
      <c r="D27" s="182">
        <f>'I. Фін результат'!D176</f>
        <v>1121</v>
      </c>
      <c r="E27" s="182">
        <f>'I. Фін результат'!E176</f>
        <v>0</v>
      </c>
      <c r="F27" s="182">
        <f>'I. Фін результат'!F176</f>
        <v>1892</v>
      </c>
      <c r="G27" s="182">
        <f>'I. Фін результат'!G176</f>
        <v>1892</v>
      </c>
      <c r="H27" s="182">
        <f>'I. Фін результат'!H176</f>
        <v>1892</v>
      </c>
      <c r="I27" s="182">
        <f>'I. Фін результат'!I176</f>
        <v>1892</v>
      </c>
    </row>
    <row r="28" spans="1:14" ht="37.5">
      <c r="A28" s="161" t="s">
        <v>170</v>
      </c>
      <c r="B28" s="216">
        <v>3090</v>
      </c>
      <c r="C28" s="437">
        <f>C26-C27</f>
        <v>209461</v>
      </c>
      <c r="D28" s="184">
        <f t="shared" ref="D28:I28" si="4">D26-D27</f>
        <v>24969</v>
      </c>
      <c r="E28" s="184">
        <f t="shared" si="4"/>
        <v>56687.092100388836</v>
      </c>
      <c r="F28" s="184">
        <f t="shared" si="4"/>
        <v>38141.566187732424</v>
      </c>
      <c r="G28" s="184">
        <f t="shared" si="4"/>
        <v>63478.103270143503</v>
      </c>
      <c r="H28" s="184">
        <f t="shared" si="4"/>
        <v>89740.294115063341</v>
      </c>
      <c r="I28" s="184">
        <f t="shared" si="4"/>
        <v>125526.29014277612</v>
      </c>
    </row>
    <row r="29" spans="1:14" ht="20.100000000000001" customHeight="1">
      <c r="A29" s="1082" t="s">
        <v>172</v>
      </c>
      <c r="B29" s="1083"/>
      <c r="C29" s="1083"/>
      <c r="D29" s="1083"/>
      <c r="E29" s="1083"/>
      <c r="F29" s="1083"/>
      <c r="G29" s="1083"/>
      <c r="H29" s="1083"/>
      <c r="I29" s="1084"/>
    </row>
    <row r="30" spans="1:14" ht="20.100000000000001" customHeight="1">
      <c r="A30" s="179" t="s">
        <v>289</v>
      </c>
      <c r="B30" s="162"/>
      <c r="C30" s="183"/>
      <c r="D30" s="183"/>
      <c r="E30" s="183"/>
      <c r="F30" s="183"/>
      <c r="G30" s="183"/>
      <c r="H30" s="183"/>
      <c r="I30" s="183"/>
    </row>
    <row r="31" spans="1:14" ht="20.100000000000001" customHeight="1">
      <c r="A31" s="69" t="s">
        <v>33</v>
      </c>
      <c r="B31" s="162">
        <v>3200</v>
      </c>
      <c r="C31" s="183"/>
      <c r="D31" s="183"/>
      <c r="E31" s="183"/>
      <c r="F31" s="183"/>
      <c r="G31" s="183"/>
      <c r="H31" s="183"/>
      <c r="I31" s="183"/>
    </row>
    <row r="32" spans="1:14" ht="20.100000000000001" customHeight="1">
      <c r="A32" s="69" t="s">
        <v>34</v>
      </c>
      <c r="B32" s="162">
        <v>3210</v>
      </c>
      <c r="C32" s="183"/>
      <c r="D32" s="183"/>
      <c r="E32" s="183"/>
      <c r="F32" s="183"/>
      <c r="G32" s="183"/>
      <c r="H32" s="183"/>
      <c r="I32" s="183"/>
    </row>
    <row r="33" spans="1:11" ht="20.100000000000001" customHeight="1">
      <c r="A33" s="69" t="s">
        <v>57</v>
      </c>
      <c r="B33" s="162">
        <v>3220</v>
      </c>
      <c r="C33" s="183"/>
      <c r="D33" s="183"/>
      <c r="E33" s="183"/>
      <c r="F33" s="183"/>
      <c r="G33" s="183"/>
      <c r="H33" s="183"/>
      <c r="I33" s="183"/>
    </row>
    <row r="34" spans="1:11" ht="20.100000000000001" customHeight="1">
      <c r="A34" s="177" t="s">
        <v>176</v>
      </c>
      <c r="B34" s="162"/>
      <c r="C34" s="183"/>
      <c r="D34" s="183"/>
      <c r="E34" s="183"/>
      <c r="F34" s="183"/>
      <c r="G34" s="183"/>
      <c r="H34" s="183"/>
      <c r="I34" s="183"/>
    </row>
    <row r="35" spans="1:11" ht="20.100000000000001" customHeight="1">
      <c r="A35" s="69" t="s">
        <v>177</v>
      </c>
      <c r="B35" s="162">
        <v>3230</v>
      </c>
      <c r="C35" s="183"/>
      <c r="D35" s="183"/>
      <c r="E35" s="183"/>
      <c r="F35" s="183"/>
      <c r="G35" s="183"/>
      <c r="H35" s="183"/>
      <c r="I35" s="183"/>
    </row>
    <row r="36" spans="1:11" ht="20.100000000000001" customHeight="1">
      <c r="A36" s="69" t="s">
        <v>178</v>
      </c>
      <c r="B36" s="162">
        <v>3240</v>
      </c>
      <c r="C36" s="183"/>
      <c r="D36" s="183"/>
      <c r="E36" s="183"/>
      <c r="F36" s="183"/>
      <c r="G36" s="183"/>
      <c r="H36" s="183"/>
      <c r="I36" s="183"/>
    </row>
    <row r="37" spans="1:11" ht="20.100000000000001" customHeight="1">
      <c r="A37" s="177" t="s">
        <v>179</v>
      </c>
      <c r="B37" s="162">
        <v>3250</v>
      </c>
      <c r="C37" s="183"/>
      <c r="D37" s="183"/>
      <c r="E37" s="183"/>
      <c r="F37" s="183"/>
      <c r="G37" s="183"/>
      <c r="H37" s="183"/>
      <c r="I37" s="183"/>
    </row>
    <row r="38" spans="1:11" ht="20.100000000000001" customHeight="1">
      <c r="A38" s="69" t="s">
        <v>131</v>
      </c>
      <c r="B38" s="162">
        <v>3260</v>
      </c>
      <c r="C38" s="183"/>
      <c r="D38" s="183"/>
      <c r="E38" s="183"/>
      <c r="F38" s="183"/>
      <c r="G38" s="183"/>
      <c r="H38" s="183"/>
      <c r="I38" s="183"/>
    </row>
    <row r="39" spans="1:11" ht="20.100000000000001" customHeight="1">
      <c r="A39" s="179" t="s">
        <v>291</v>
      </c>
      <c r="B39" s="162"/>
      <c r="C39" s="183"/>
      <c r="D39" s="183"/>
      <c r="E39" s="183"/>
      <c r="F39" s="183"/>
      <c r="G39" s="183"/>
      <c r="H39" s="183"/>
      <c r="I39" s="183"/>
    </row>
    <row r="40" spans="1:11" ht="37.5">
      <c r="A40" s="69" t="s">
        <v>132</v>
      </c>
      <c r="B40" s="162">
        <v>3270</v>
      </c>
      <c r="C40" s="183">
        <f>C41</f>
        <v>152650</v>
      </c>
      <c r="D40" s="183">
        <f t="shared" ref="D40:I40" si="5">D41</f>
        <v>26865</v>
      </c>
      <c r="E40" s="183">
        <f t="shared" si="5"/>
        <v>30800.93</v>
      </c>
      <c r="F40" s="183">
        <f t="shared" si="5"/>
        <v>0</v>
      </c>
      <c r="G40" s="183">
        <f t="shared" si="5"/>
        <v>0</v>
      </c>
      <c r="H40" s="183">
        <f t="shared" si="5"/>
        <v>0</v>
      </c>
      <c r="I40" s="183">
        <f t="shared" si="5"/>
        <v>0</v>
      </c>
    </row>
    <row r="41" spans="1:11" ht="36" customHeight="1">
      <c r="A41" s="274" t="s">
        <v>1047</v>
      </c>
      <c r="B41" s="162" t="s">
        <v>649</v>
      </c>
      <c r="C41" s="183">
        <v>152650</v>
      </c>
      <c r="D41" s="183">
        <v>26865</v>
      </c>
      <c r="E41" s="183">
        <v>30800.93</v>
      </c>
      <c r="F41" s="183"/>
      <c r="G41" s="183"/>
      <c r="H41" s="183"/>
      <c r="I41" s="183"/>
      <c r="J41" s="1">
        <v>130030783.41000001</v>
      </c>
      <c r="K41" s="1">
        <f>J41/1000</f>
        <v>130030.78341000002</v>
      </c>
    </row>
    <row r="42" spans="1:11" ht="20.100000000000001" customHeight="1">
      <c r="A42" s="69" t="s">
        <v>133</v>
      </c>
      <c r="B42" s="162">
        <v>3280</v>
      </c>
      <c r="C42" s="183">
        <v>26066</v>
      </c>
      <c r="D42" s="183"/>
      <c r="E42" s="183"/>
      <c r="F42" s="183"/>
      <c r="G42" s="183"/>
      <c r="H42" s="183"/>
      <c r="I42" s="183"/>
    </row>
    <row r="43" spans="1:11" ht="37.5">
      <c r="A43" s="69" t="s">
        <v>134</v>
      </c>
      <c r="B43" s="162">
        <v>3290</v>
      </c>
      <c r="C43" s="183"/>
      <c r="D43" s="183">
        <v>5</v>
      </c>
      <c r="E43" s="183"/>
      <c r="F43" s="183"/>
      <c r="G43" s="183"/>
      <c r="H43" s="183"/>
      <c r="I43" s="183"/>
    </row>
    <row r="44" spans="1:11" ht="20.100000000000001" customHeight="1">
      <c r="A44" s="69" t="s">
        <v>58</v>
      </c>
      <c r="B44" s="162">
        <v>3300</v>
      </c>
      <c r="C44" s="183"/>
      <c r="D44" s="183"/>
      <c r="E44" s="183"/>
      <c r="F44" s="183"/>
      <c r="G44" s="183"/>
      <c r="H44" s="183"/>
      <c r="I44" s="183"/>
    </row>
    <row r="45" spans="1:11" ht="20.100000000000001" customHeight="1">
      <c r="A45" s="69" t="s">
        <v>126</v>
      </c>
      <c r="B45" s="162">
        <v>3310</v>
      </c>
      <c r="C45" s="183"/>
      <c r="D45" s="183"/>
      <c r="E45" s="183"/>
      <c r="F45" s="183"/>
      <c r="G45" s="183"/>
      <c r="H45" s="183"/>
      <c r="I45" s="183"/>
    </row>
    <row r="46" spans="1:11" ht="37.5">
      <c r="A46" s="179" t="s">
        <v>173</v>
      </c>
      <c r="B46" s="213">
        <v>3320</v>
      </c>
      <c r="C46" s="437">
        <f t="shared" ref="C46:I46" si="6">(C31+C32+C33+C35+C36+C37+C38)-(C40+C42+C43+C44+C45)</f>
        <v>-178716</v>
      </c>
      <c r="D46" s="184">
        <f t="shared" si="6"/>
        <v>-26870</v>
      </c>
      <c r="E46" s="184">
        <f t="shared" si="6"/>
        <v>-30800.93</v>
      </c>
      <c r="F46" s="184">
        <f t="shared" si="6"/>
        <v>0</v>
      </c>
      <c r="G46" s="184">
        <f t="shared" si="6"/>
        <v>0</v>
      </c>
      <c r="H46" s="184">
        <f t="shared" si="6"/>
        <v>0</v>
      </c>
      <c r="I46" s="184">
        <f t="shared" si="6"/>
        <v>0</v>
      </c>
    </row>
    <row r="47" spans="1:11" ht="20.100000000000001" customHeight="1">
      <c r="A47" s="1082" t="s">
        <v>174</v>
      </c>
      <c r="B47" s="1083"/>
      <c r="C47" s="1083"/>
      <c r="D47" s="1083"/>
      <c r="E47" s="1083"/>
      <c r="F47" s="1083"/>
      <c r="G47" s="1083"/>
      <c r="H47" s="1083"/>
      <c r="I47" s="1084"/>
    </row>
    <row r="48" spans="1:11">
      <c r="A48" s="179" t="s">
        <v>290</v>
      </c>
      <c r="B48" s="162"/>
      <c r="C48" s="183"/>
      <c r="D48" s="183"/>
      <c r="E48" s="183"/>
      <c r="F48" s="183"/>
      <c r="G48" s="183"/>
      <c r="H48" s="183"/>
      <c r="I48" s="183"/>
    </row>
    <row r="49" spans="1:11">
      <c r="A49" s="177" t="s">
        <v>180</v>
      </c>
      <c r="B49" s="162">
        <v>3400</v>
      </c>
      <c r="C49" s="183"/>
      <c r="D49" s="183"/>
      <c r="E49" s="183"/>
      <c r="F49" s="183"/>
      <c r="G49" s="183"/>
      <c r="H49" s="183"/>
      <c r="I49" s="183"/>
    </row>
    <row r="50" spans="1:11" ht="37.5">
      <c r="A50" s="69" t="s">
        <v>101</v>
      </c>
      <c r="B50" s="144"/>
      <c r="C50" s="183"/>
      <c r="D50" s="183"/>
      <c r="E50" s="183"/>
      <c r="F50" s="183"/>
      <c r="G50" s="183"/>
      <c r="H50" s="183"/>
      <c r="I50" s="183"/>
    </row>
    <row r="51" spans="1:11" ht="20.100000000000001" customHeight="1">
      <c r="A51" s="69" t="s">
        <v>100</v>
      </c>
      <c r="B51" s="162">
        <v>3410</v>
      </c>
      <c r="C51" s="183"/>
      <c r="D51" s="183"/>
      <c r="E51" s="183"/>
      <c r="F51" s="183"/>
      <c r="G51" s="183"/>
      <c r="H51" s="183"/>
      <c r="I51" s="183"/>
    </row>
    <row r="52" spans="1:11" ht="20.100000000000001" customHeight="1">
      <c r="A52" s="69" t="s">
        <v>105</v>
      </c>
      <c r="B52" s="181">
        <v>3420</v>
      </c>
      <c r="C52" s="183"/>
      <c r="D52" s="183"/>
      <c r="E52" s="183"/>
      <c r="F52" s="183"/>
      <c r="G52" s="183"/>
      <c r="H52" s="183"/>
      <c r="I52" s="183"/>
    </row>
    <row r="53" spans="1:11" ht="20.100000000000001" customHeight="1">
      <c r="A53" s="69" t="s">
        <v>135</v>
      </c>
      <c r="B53" s="162">
        <v>3430</v>
      </c>
      <c r="C53" s="183"/>
      <c r="D53" s="183"/>
      <c r="E53" s="183"/>
      <c r="F53" s="183"/>
      <c r="G53" s="183"/>
      <c r="H53" s="183"/>
      <c r="I53" s="183"/>
    </row>
    <row r="54" spans="1:11" ht="37.5">
      <c r="A54" s="69" t="s">
        <v>103</v>
      </c>
      <c r="B54" s="162"/>
      <c r="C54" s="183"/>
      <c r="D54" s="183"/>
      <c r="E54" s="183"/>
      <c r="F54" s="183"/>
      <c r="G54" s="183"/>
      <c r="H54" s="183"/>
      <c r="I54" s="183"/>
    </row>
    <row r="55" spans="1:11" ht="20.100000000000001" customHeight="1">
      <c r="A55" s="69" t="s">
        <v>100</v>
      </c>
      <c r="B55" s="181">
        <v>3440</v>
      </c>
      <c r="C55" s="183"/>
      <c r="D55" s="183"/>
      <c r="E55" s="183"/>
      <c r="F55" s="183"/>
      <c r="G55" s="183"/>
      <c r="H55" s="183"/>
      <c r="I55" s="183"/>
    </row>
    <row r="56" spans="1:11" ht="20.100000000000001" customHeight="1">
      <c r="A56" s="69" t="s">
        <v>105</v>
      </c>
      <c r="B56" s="181">
        <v>3450</v>
      </c>
      <c r="C56" s="183"/>
      <c r="D56" s="183"/>
      <c r="E56" s="183"/>
      <c r="F56" s="183"/>
      <c r="G56" s="183"/>
      <c r="H56" s="183"/>
      <c r="I56" s="183"/>
    </row>
    <row r="57" spans="1:11" ht="20.100000000000001" customHeight="1">
      <c r="A57" s="69" t="s">
        <v>135</v>
      </c>
      <c r="B57" s="181">
        <v>3460</v>
      </c>
      <c r="C57" s="183"/>
      <c r="D57" s="183"/>
      <c r="E57" s="183"/>
      <c r="F57" s="183"/>
      <c r="G57" s="183"/>
      <c r="H57" s="183"/>
      <c r="I57" s="183"/>
    </row>
    <row r="58" spans="1:11" ht="20.100000000000001" customHeight="1">
      <c r="A58" s="69" t="s">
        <v>130</v>
      </c>
      <c r="B58" s="181">
        <v>3470</v>
      </c>
      <c r="C58" s="183"/>
      <c r="D58" s="183"/>
      <c r="E58" s="183"/>
      <c r="F58" s="183"/>
      <c r="G58" s="183"/>
      <c r="H58" s="183"/>
      <c r="I58" s="183"/>
    </row>
    <row r="59" spans="1:11" ht="20.100000000000001" customHeight="1">
      <c r="A59" s="69" t="s">
        <v>131</v>
      </c>
      <c r="B59" s="181">
        <v>3480</v>
      </c>
      <c r="C59" s="183">
        <f>C61+C60+C62</f>
        <v>0</v>
      </c>
      <c r="D59" s="183">
        <f>D61+D60+D62</f>
        <v>75307</v>
      </c>
      <c r="E59" s="183">
        <f>E61+E60+E62</f>
        <v>94907.176999999996</v>
      </c>
      <c r="F59" s="183">
        <f>F61</f>
        <v>15000</v>
      </c>
      <c r="G59" s="183">
        <f>G61</f>
        <v>21000</v>
      </c>
      <c r="H59" s="183">
        <f>H61</f>
        <v>21000</v>
      </c>
      <c r="I59" s="183">
        <f>I61</f>
        <v>21000</v>
      </c>
      <c r="J59" s="1">
        <v>172653119</v>
      </c>
      <c r="K59" s="1">
        <f>J59/1000</f>
        <v>172653.11900000001</v>
      </c>
    </row>
    <row r="60" spans="1:11" ht="20.100000000000001" customHeight="1">
      <c r="A60" s="427" t="s">
        <v>1048</v>
      </c>
      <c r="B60" s="428" t="s">
        <v>439</v>
      </c>
      <c r="C60" s="183">
        <v>0</v>
      </c>
      <c r="D60" s="183"/>
      <c r="E60" s="183"/>
      <c r="F60" s="183"/>
      <c r="G60" s="183"/>
      <c r="H60" s="183"/>
      <c r="I60" s="183"/>
      <c r="J60" s="1">
        <v>-1</v>
      </c>
    </row>
    <row r="61" spans="1:11" ht="36.75" customHeight="1">
      <c r="A61" s="69" t="s">
        <v>438</v>
      </c>
      <c r="B61" s="181" t="s">
        <v>1049</v>
      </c>
      <c r="C61" s="183"/>
      <c r="D61" s="183">
        <v>75307</v>
      </c>
      <c r="E61" s="183">
        <f>90007.177+4900</f>
        <v>94907.176999999996</v>
      </c>
      <c r="F61" s="183">
        <v>15000</v>
      </c>
      <c r="G61" s="183">
        <v>21000</v>
      </c>
      <c r="H61" s="183">
        <v>21000</v>
      </c>
      <c r="I61" s="183">
        <v>21000</v>
      </c>
      <c r="J61" s="1">
        <v>-1</v>
      </c>
    </row>
    <row r="62" spans="1:11" ht="36.75" customHeight="1">
      <c r="A62" s="427" t="s">
        <v>1050</v>
      </c>
      <c r="B62" s="428" t="s">
        <v>1051</v>
      </c>
      <c r="C62" s="183"/>
      <c r="D62" s="183"/>
      <c r="E62" s="183"/>
      <c r="F62" s="183"/>
      <c r="G62" s="183"/>
      <c r="H62" s="183"/>
      <c r="I62" s="183"/>
      <c r="J62" s="1">
        <v>-1</v>
      </c>
    </row>
    <row r="63" spans="1:11" ht="20.100000000000001" customHeight="1">
      <c r="A63" s="179" t="s">
        <v>291</v>
      </c>
      <c r="B63" s="162"/>
      <c r="C63" s="183"/>
      <c r="D63" s="183"/>
      <c r="E63" s="183"/>
      <c r="F63" s="183"/>
      <c r="G63" s="183"/>
      <c r="H63" s="183"/>
      <c r="I63" s="183"/>
    </row>
    <row r="64" spans="1:11" ht="37.5">
      <c r="A64" s="69" t="s">
        <v>376</v>
      </c>
      <c r="B64" s="162">
        <v>3490</v>
      </c>
      <c r="C64" s="187">
        <f>'ІІ. Розр. з бюджетом'!C9</f>
        <v>0</v>
      </c>
      <c r="D64" s="182">
        <f>'ІІ. Розр. з бюджетом'!D9</f>
        <v>766</v>
      </c>
      <c r="E64" s="182">
        <f>'ІІ. Розр. з бюджетом'!E9</f>
        <v>0</v>
      </c>
      <c r="F64" s="182">
        <f>'ІІ. Розр. з бюджетом'!F9</f>
        <v>1293</v>
      </c>
      <c r="G64" s="182">
        <f>'ІІ. Розр. з бюджетом'!G9</f>
        <v>1293</v>
      </c>
      <c r="H64" s="182">
        <f>'ІІ. Розр. з бюджетом'!H9</f>
        <v>1293</v>
      </c>
      <c r="I64" s="182">
        <f>'ІІ. Розр. з бюджетом'!I9</f>
        <v>1293</v>
      </c>
    </row>
    <row r="65" spans="1:21" ht="112.5">
      <c r="A65" s="69" t="s">
        <v>377</v>
      </c>
      <c r="B65" s="162">
        <v>3500</v>
      </c>
      <c r="C65" s="187">
        <f>'ІІ. Розр. з бюджетом'!C10</f>
        <v>0</v>
      </c>
      <c r="D65" s="182">
        <f>'ІІ. Розр. з бюджетом'!D10</f>
        <v>2605</v>
      </c>
      <c r="E65" s="182">
        <f>'ІІ. Розр. з бюджетом'!E10</f>
        <v>0</v>
      </c>
      <c r="F65" s="182">
        <f>'ІІ. Розр. з бюджетом'!F10</f>
        <v>4396</v>
      </c>
      <c r="G65" s="182">
        <f>'ІІ. Розр. з бюджетом'!G10</f>
        <v>4396</v>
      </c>
      <c r="H65" s="182">
        <f>'ІІ. Розр. з бюджетом'!H10</f>
        <v>4396</v>
      </c>
      <c r="I65" s="182">
        <f>'ІІ. Розр. з бюджетом'!I10</f>
        <v>4396</v>
      </c>
    </row>
    <row r="66" spans="1:21" ht="37.5">
      <c r="A66" s="69" t="s">
        <v>104</v>
      </c>
      <c r="B66" s="162"/>
      <c r="C66" s="183">
        <v>0</v>
      </c>
      <c r="D66" s="183"/>
      <c r="E66" s="183"/>
      <c r="F66" s="183"/>
      <c r="G66" s="183"/>
      <c r="H66" s="183"/>
      <c r="I66" s="183"/>
    </row>
    <row r="67" spans="1:21" ht="20.100000000000001" customHeight="1">
      <c r="A67" s="69" t="s">
        <v>100</v>
      </c>
      <c r="B67" s="181">
        <v>3510</v>
      </c>
      <c r="C67" s="183"/>
      <c r="D67" s="183"/>
      <c r="E67" s="183"/>
      <c r="F67" s="183"/>
      <c r="G67" s="183"/>
      <c r="H67" s="183"/>
      <c r="I67" s="183"/>
    </row>
    <row r="68" spans="1:21" ht="20.100000000000001" customHeight="1">
      <c r="A68" s="69" t="s">
        <v>105</v>
      </c>
      <c r="B68" s="181">
        <v>3520</v>
      </c>
      <c r="C68" s="183"/>
      <c r="D68" s="183"/>
      <c r="E68" s="183"/>
      <c r="F68" s="183"/>
      <c r="G68" s="183"/>
      <c r="H68" s="183"/>
      <c r="I68" s="183"/>
    </row>
    <row r="69" spans="1:21" ht="20.100000000000001" customHeight="1">
      <c r="A69" s="69" t="s">
        <v>135</v>
      </c>
      <c r="B69" s="181">
        <v>3530</v>
      </c>
      <c r="C69" s="183"/>
      <c r="D69" s="183"/>
      <c r="E69" s="183"/>
      <c r="F69" s="183"/>
      <c r="G69" s="183"/>
      <c r="H69" s="183"/>
      <c r="I69" s="183"/>
    </row>
    <row r="70" spans="1:21" ht="37.5">
      <c r="A70" s="69" t="s">
        <v>102</v>
      </c>
      <c r="B70" s="162"/>
      <c r="C70" s="183">
        <v>0</v>
      </c>
      <c r="D70" s="183"/>
      <c r="E70" s="183"/>
      <c r="F70" s="183"/>
      <c r="G70" s="183"/>
      <c r="H70" s="183"/>
      <c r="I70" s="183"/>
    </row>
    <row r="71" spans="1:21">
      <c r="A71" s="69" t="s">
        <v>1020</v>
      </c>
      <c r="B71" s="181">
        <v>3540</v>
      </c>
      <c r="C71" s="183"/>
      <c r="D71" s="183"/>
      <c r="E71" s="183"/>
      <c r="F71" s="183"/>
      <c r="G71" s="183"/>
      <c r="H71" s="183"/>
      <c r="I71" s="183"/>
    </row>
    <row r="72" spans="1:21" ht="20.100000000000001" customHeight="1">
      <c r="A72" s="69" t="s">
        <v>105</v>
      </c>
      <c r="B72" s="181">
        <v>3550</v>
      </c>
      <c r="C72" s="183"/>
      <c r="D72" s="183"/>
      <c r="E72" s="183"/>
      <c r="F72" s="183"/>
      <c r="G72" s="183"/>
      <c r="H72" s="183"/>
      <c r="I72" s="183"/>
    </row>
    <row r="73" spans="1:21" ht="20.100000000000001" customHeight="1">
      <c r="A73" s="69" t="s">
        <v>135</v>
      </c>
      <c r="B73" s="181">
        <v>3560</v>
      </c>
      <c r="C73" s="183"/>
      <c r="D73" s="183"/>
      <c r="E73" s="183"/>
      <c r="F73" s="183"/>
      <c r="G73" s="183"/>
      <c r="H73" s="183"/>
      <c r="I73" s="183"/>
    </row>
    <row r="74" spans="1:21" ht="19.5" customHeight="1">
      <c r="A74" s="69" t="s">
        <v>126</v>
      </c>
      <c r="B74" s="181">
        <v>3570</v>
      </c>
      <c r="C74" s="183">
        <f>C75</f>
        <v>8733</v>
      </c>
      <c r="D74" s="183">
        <f t="shared" ref="D74:I74" si="7">D75+D76</f>
        <v>59236</v>
      </c>
      <c r="E74" s="183">
        <f t="shared" si="7"/>
        <v>98208</v>
      </c>
      <c r="F74" s="183">
        <f t="shared" si="7"/>
        <v>14347.496314395834</v>
      </c>
      <c r="G74" s="183">
        <f t="shared" si="7"/>
        <v>18997.266943851388</v>
      </c>
      <c r="H74" s="183">
        <f t="shared" si="7"/>
        <v>18997.266943851388</v>
      </c>
      <c r="I74" s="183">
        <f t="shared" si="7"/>
        <v>18997.266943851388</v>
      </c>
    </row>
    <row r="75" spans="1:21" ht="30.75" customHeight="1">
      <c r="A75" s="69" t="s">
        <v>435</v>
      </c>
      <c r="B75" s="181" t="s">
        <v>434</v>
      </c>
      <c r="C75" s="183">
        <v>8733</v>
      </c>
      <c r="D75" s="183"/>
      <c r="E75" s="183">
        <f>551687-516221</f>
        <v>35466</v>
      </c>
      <c r="F75" s="183"/>
      <c r="G75" s="183"/>
      <c r="H75" s="183"/>
      <c r="I75" s="183"/>
    </row>
    <row r="76" spans="1:21" ht="43.5" customHeight="1">
      <c r="A76" s="817" t="s">
        <v>1146</v>
      </c>
      <c r="B76" s="818" t="s">
        <v>1033</v>
      </c>
      <c r="C76" s="183">
        <v>0</v>
      </c>
      <c r="D76" s="183">
        <v>59236</v>
      </c>
      <c r="E76" s="183">
        <f>62742</f>
        <v>62742</v>
      </c>
      <c r="F76" s="183">
        <f>R76/1000</f>
        <v>14347.496314395834</v>
      </c>
      <c r="G76" s="183">
        <f>U76/1000</f>
        <v>18997.266943851388</v>
      </c>
      <c r="H76" s="183">
        <f>G76</f>
        <v>18997.266943851388</v>
      </c>
      <c r="I76" s="183">
        <f>H76</f>
        <v>18997.266943851388</v>
      </c>
      <c r="O76" s="1" t="s">
        <v>1139</v>
      </c>
      <c r="R76" s="301">
        <v>14347496.314395834</v>
      </c>
      <c r="S76" s="301"/>
      <c r="T76" s="301"/>
      <c r="U76" s="301">
        <v>18997266.943851389</v>
      </c>
    </row>
    <row r="77" spans="1:21" ht="37.5">
      <c r="A77" s="53" t="s">
        <v>175</v>
      </c>
      <c r="B77" s="88">
        <v>3580</v>
      </c>
      <c r="C77" s="437">
        <f t="shared" ref="C77:I77" si="8">(C49+C51+C52+C53+C55+C56+C57+C58+C59)-(C64+C65+C67+C68+C69+C71+C72+C73+C74)</f>
        <v>-8733</v>
      </c>
      <c r="D77" s="184">
        <f t="shared" si="8"/>
        <v>12700</v>
      </c>
      <c r="E77" s="184">
        <f t="shared" si="8"/>
        <v>-3300.823000000004</v>
      </c>
      <c r="F77" s="184">
        <f t="shared" si="8"/>
        <v>-5036.4963143958339</v>
      </c>
      <c r="G77" s="184">
        <f t="shared" si="8"/>
        <v>-3686.2669438513876</v>
      </c>
      <c r="H77" s="184">
        <f t="shared" si="8"/>
        <v>-3686.2669438513876</v>
      </c>
      <c r="I77" s="184">
        <f t="shared" si="8"/>
        <v>-3686.2669438513876</v>
      </c>
    </row>
    <row r="78" spans="1:21" s="12" customFormat="1" ht="33.75" customHeight="1">
      <c r="A78" s="8" t="s">
        <v>35</v>
      </c>
      <c r="B78" s="6"/>
      <c r="C78" s="187"/>
      <c r="D78" s="187"/>
      <c r="E78" s="187"/>
      <c r="F78" s="187"/>
      <c r="G78" s="187"/>
      <c r="H78" s="187"/>
      <c r="I78" s="187"/>
    </row>
    <row r="79" spans="1:21" s="12" customFormat="1" ht="31.5" customHeight="1">
      <c r="A79" s="9" t="s">
        <v>36</v>
      </c>
      <c r="B79" s="6">
        <v>3600</v>
      </c>
      <c r="C79" s="183">
        <v>26526</v>
      </c>
      <c r="D79" s="183">
        <v>48543</v>
      </c>
      <c r="E79" s="182">
        <f>C81</f>
        <v>48538</v>
      </c>
      <c r="F79" s="182">
        <f>E81</f>
        <v>71123.339100388839</v>
      </c>
      <c r="G79" s="182">
        <f>E81</f>
        <v>71123.339100388839</v>
      </c>
      <c r="H79" s="182">
        <f>E81</f>
        <v>71123.339100388839</v>
      </c>
      <c r="I79" s="182">
        <f>E81</f>
        <v>71123.339100388839</v>
      </c>
      <c r="J79" s="471">
        <f>69246+172653+684+370</f>
        <v>242953</v>
      </c>
      <c r="K79" s="88">
        <v>102736</v>
      </c>
      <c r="L79" s="88">
        <v>19787</v>
      </c>
      <c r="M79" s="88">
        <v>5251</v>
      </c>
      <c r="N79" s="88">
        <v>6261</v>
      </c>
      <c r="O79" s="88">
        <v>86887</v>
      </c>
      <c r="P79" s="88">
        <v>14</v>
      </c>
      <c r="Q79" s="88">
        <f>SUM(K79:P79)</f>
        <v>220936</v>
      </c>
      <c r="R79" s="470">
        <f>J79-Q79</f>
        <v>22017</v>
      </c>
    </row>
    <row r="80" spans="1:21" s="12" customFormat="1" ht="37.5">
      <c r="A80" s="69" t="s">
        <v>184</v>
      </c>
      <c r="B80" s="6">
        <v>3610</v>
      </c>
      <c r="C80" s="183"/>
      <c r="D80" s="183"/>
      <c r="E80" s="183"/>
      <c r="F80" s="183"/>
      <c r="G80" s="183"/>
      <c r="H80" s="183"/>
      <c r="I80" s="183"/>
    </row>
    <row r="81" spans="1:10" s="12" customFormat="1" ht="20.100000000000001" customHeight="1">
      <c r="A81" s="9" t="s">
        <v>59</v>
      </c>
      <c r="B81" s="6">
        <v>3620</v>
      </c>
      <c r="C81" s="184">
        <f t="shared" ref="C81:I81" si="9">C79+C28+C46+C77</f>
        <v>48538</v>
      </c>
      <c r="D81" s="184">
        <f t="shared" si="9"/>
        <v>59342</v>
      </c>
      <c r="E81" s="184">
        <f t="shared" si="9"/>
        <v>71123.339100388839</v>
      </c>
      <c r="F81" s="184">
        <f t="shared" si="9"/>
        <v>104228.40897372543</v>
      </c>
      <c r="G81" s="184">
        <f t="shared" si="9"/>
        <v>130915.17542668096</v>
      </c>
      <c r="H81" s="184">
        <f t="shared" si="9"/>
        <v>157177.3662716008</v>
      </c>
      <c r="I81" s="184">
        <f t="shared" si="9"/>
        <v>192963.36229931357</v>
      </c>
    </row>
    <row r="82" spans="1:10" s="12" customFormat="1" ht="20.100000000000001" customHeight="1">
      <c r="A82" s="9" t="s">
        <v>37</v>
      </c>
      <c r="B82" s="6">
        <v>3630</v>
      </c>
      <c r="C82" s="437">
        <f t="shared" ref="C82:I82" si="10">SUM(C28,C46,C77)</f>
        <v>22012</v>
      </c>
      <c r="D82" s="184">
        <f t="shared" si="10"/>
        <v>10799</v>
      </c>
      <c r="E82" s="184">
        <f t="shared" si="10"/>
        <v>22585.339100388832</v>
      </c>
      <c r="F82" s="184">
        <f t="shared" si="10"/>
        <v>33105.069873336586</v>
      </c>
      <c r="G82" s="184">
        <f t="shared" si="10"/>
        <v>59791.836326292119</v>
      </c>
      <c r="H82" s="184">
        <f t="shared" si="10"/>
        <v>86054.027171211957</v>
      </c>
      <c r="I82" s="184">
        <f t="shared" si="10"/>
        <v>121840.02319892474</v>
      </c>
      <c r="J82" s="469">
        <f>C83-C82</f>
        <v>-22012</v>
      </c>
    </row>
    <row r="83" spans="1:10" s="12" customFormat="1" ht="20.100000000000001" customHeight="1">
      <c r="A83" s="144"/>
      <c r="B83" s="151"/>
      <c r="C83" s="504"/>
      <c r="D83" s="152"/>
      <c r="E83" s="152"/>
      <c r="F83" s="152"/>
      <c r="G83" s="152"/>
      <c r="H83" s="152"/>
      <c r="I83" s="152"/>
      <c r="J83" s="469">
        <f>C83-C81</f>
        <v>-48538</v>
      </c>
    </row>
    <row r="84" spans="1:10" s="12" customFormat="1" ht="20.100000000000001" customHeight="1">
      <c r="A84" s="144"/>
      <c r="B84" s="151"/>
      <c r="C84" s="472"/>
      <c r="D84" s="152"/>
      <c r="E84" s="152"/>
      <c r="F84" s="152"/>
      <c r="G84" s="152"/>
      <c r="H84" s="152"/>
      <c r="I84" s="152"/>
    </row>
    <row r="85" spans="1:10" s="12" customFormat="1" ht="20.100000000000001" customHeight="1">
      <c r="A85" s="144"/>
      <c r="B85" s="151"/>
      <c r="C85" s="472"/>
      <c r="D85" s="152"/>
      <c r="E85" s="152"/>
      <c r="F85" s="152"/>
      <c r="G85" s="152"/>
      <c r="H85" s="152"/>
      <c r="I85" s="152"/>
    </row>
    <row r="86" spans="1:10" s="2" customFormat="1" ht="37.5">
      <c r="A86" s="136" t="s">
        <v>443</v>
      </c>
      <c r="B86" s="137"/>
      <c r="C86" s="1000" t="s">
        <v>120</v>
      </c>
      <c r="D86" s="1001"/>
      <c r="E86" s="1001"/>
      <c r="F86" s="138"/>
      <c r="G86" s="1004" t="s">
        <v>1149</v>
      </c>
      <c r="H86" s="1004"/>
      <c r="I86" s="1004"/>
    </row>
    <row r="87" spans="1:10" ht="20.100000000000001" customHeight="1">
      <c r="A87" s="94" t="s">
        <v>390</v>
      </c>
      <c r="B87" s="107"/>
      <c r="C87" s="889" t="s">
        <v>85</v>
      </c>
      <c r="D87" s="889"/>
      <c r="E87" s="889"/>
      <c r="F87" s="139"/>
      <c r="G87" s="991" t="s">
        <v>116</v>
      </c>
      <c r="H87" s="991"/>
      <c r="I87" s="991"/>
    </row>
    <row r="88" spans="1:10">
      <c r="C88" s="493"/>
    </row>
    <row r="89" spans="1:10">
      <c r="C89" s="493"/>
    </row>
    <row r="90" spans="1:10">
      <c r="C90" s="493"/>
    </row>
    <row r="91" spans="1:10">
      <c r="C91" s="493"/>
    </row>
    <row r="92" spans="1:10">
      <c r="C92" s="493"/>
    </row>
    <row r="93" spans="1:10">
      <c r="C93" s="493"/>
    </row>
    <row r="94" spans="1:10">
      <c r="C94" s="493"/>
    </row>
    <row r="95" spans="1:10">
      <c r="C95" s="493"/>
    </row>
    <row r="96" spans="1:10">
      <c r="C96" s="493"/>
    </row>
    <row r="97" spans="3:3">
      <c r="C97" s="493"/>
    </row>
    <row r="98" spans="3:3">
      <c r="C98" s="493"/>
    </row>
    <row r="99" spans="3:3">
      <c r="C99" s="493"/>
    </row>
    <row r="100" spans="3:3">
      <c r="C100" s="493"/>
    </row>
    <row r="101" spans="3:3">
      <c r="C101" s="493"/>
    </row>
    <row r="102" spans="3:3">
      <c r="C102" s="493"/>
    </row>
    <row r="103" spans="3:3">
      <c r="C103" s="493"/>
    </row>
    <row r="104" spans="3:3">
      <c r="C104" s="493"/>
    </row>
    <row r="105" spans="3:3">
      <c r="C105" s="493"/>
    </row>
    <row r="106" spans="3:3">
      <c r="C106" s="493"/>
    </row>
    <row r="107" spans="3:3">
      <c r="C107" s="493"/>
    </row>
    <row r="108" spans="3:3">
      <c r="C108" s="493"/>
    </row>
    <row r="109" spans="3:3">
      <c r="C109" s="493"/>
    </row>
    <row r="110" spans="3:3">
      <c r="C110" s="493"/>
    </row>
    <row r="111" spans="3:3">
      <c r="C111" s="493"/>
    </row>
    <row r="112" spans="3:3">
      <c r="C112" s="493"/>
    </row>
    <row r="113" spans="3:3">
      <c r="C113" s="493"/>
    </row>
    <row r="114" spans="3:3">
      <c r="C114" s="493"/>
    </row>
    <row r="115" spans="3:3">
      <c r="C115" s="493"/>
    </row>
    <row r="116" spans="3:3">
      <c r="C116" s="493"/>
    </row>
    <row r="117" spans="3:3">
      <c r="C117" s="493"/>
    </row>
    <row r="118" spans="3:3">
      <c r="C118" s="493"/>
    </row>
  </sheetData>
  <sheetProtection password="CF66" sheet="1" objects="1" scenarios="1" formatCells="0" formatColumns="0" formatRows="0" insertColumns="0" insertRows="0" insertHyperlinks="0" deleteColumns="0" deleteRows="0" sort="0"/>
  <mergeCells count="14">
    <mergeCell ref="C87:E87"/>
    <mergeCell ref="G87:I87"/>
    <mergeCell ref="A29:I29"/>
    <mergeCell ref="A6:I6"/>
    <mergeCell ref="A47:I47"/>
    <mergeCell ref="C86:E86"/>
    <mergeCell ref="G86:I86"/>
    <mergeCell ref="A1:I1"/>
    <mergeCell ref="A3:A4"/>
    <mergeCell ref="B3:B4"/>
    <mergeCell ref="C3:C4"/>
    <mergeCell ref="D3:D4"/>
    <mergeCell ref="E3:E4"/>
    <mergeCell ref="F3:I3"/>
  </mergeCells>
  <phoneticPr fontId="6" type="noConversion"/>
  <pageMargins left="0.78740157480314965" right="0.39370078740157483" top="0.59055118110236227" bottom="0.59055118110236227" header="0.19685039370078741" footer="0.23622047244094491"/>
  <pageSetup paperSize="9" scale="50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P182"/>
  <sheetViews>
    <sheetView windowProtection="1" view="pageBreakPreview" zoomScale="70" zoomScaleNormal="75" zoomScaleSheetLayoutView="70" workbookViewId="0">
      <selection activeCell="G15" sqref="G15:I15"/>
    </sheetView>
  </sheetViews>
  <sheetFormatPr defaultRowHeight="18.75"/>
  <cols>
    <col min="1" max="1" width="45" style="2" customWidth="1"/>
    <col min="2" max="2" width="11.7109375" style="22" customWidth="1"/>
    <col min="3" max="4" width="16" style="22" customWidth="1"/>
    <col min="5" max="5" width="15.28515625" style="22" customWidth="1"/>
    <col min="6" max="7" width="16.28515625" style="2" customWidth="1"/>
    <col min="8" max="8" width="15.85546875" style="2" customWidth="1"/>
    <col min="9" max="9" width="15.28515625" style="2" customWidth="1"/>
    <col min="10" max="10" width="9.5703125" style="2" customWidth="1"/>
    <col min="11" max="11" width="9.85546875" style="2" customWidth="1"/>
    <col min="12" max="16384" width="9.140625" style="2"/>
  </cols>
  <sheetData>
    <row r="1" spans="1:16">
      <c r="A1" s="988" t="s">
        <v>229</v>
      </c>
      <c r="B1" s="988"/>
      <c r="C1" s="988"/>
      <c r="D1" s="988"/>
      <c r="E1" s="988"/>
      <c r="F1" s="988"/>
      <c r="G1" s="988"/>
      <c r="H1" s="988"/>
      <c r="I1" s="988"/>
    </row>
    <row r="2" spans="1:16">
      <c r="A2" s="1088"/>
      <c r="B2" s="1088"/>
      <c r="C2" s="1088"/>
      <c r="D2" s="1088"/>
      <c r="E2" s="1088"/>
      <c r="F2" s="1088"/>
      <c r="G2" s="1088"/>
      <c r="H2" s="1088"/>
      <c r="I2" s="1088"/>
    </row>
    <row r="3" spans="1:16" ht="43.5" customHeight="1">
      <c r="A3" s="899" t="s">
        <v>274</v>
      </c>
      <c r="B3" s="906" t="s">
        <v>18</v>
      </c>
      <c r="C3" s="906" t="s">
        <v>32</v>
      </c>
      <c r="D3" s="906" t="s">
        <v>40</v>
      </c>
      <c r="E3" s="1034" t="s">
        <v>181</v>
      </c>
      <c r="F3" s="906" t="s">
        <v>370</v>
      </c>
      <c r="G3" s="906"/>
      <c r="H3" s="906"/>
      <c r="I3" s="906"/>
    </row>
    <row r="4" spans="1:16" ht="56.25" customHeight="1">
      <c r="A4" s="899"/>
      <c r="B4" s="906"/>
      <c r="C4" s="906"/>
      <c r="D4" s="906"/>
      <c r="E4" s="1034"/>
      <c r="F4" s="11" t="s">
        <v>379</v>
      </c>
      <c r="G4" s="11" t="s">
        <v>372</v>
      </c>
      <c r="H4" s="11" t="s">
        <v>373</v>
      </c>
      <c r="I4" s="11" t="s">
        <v>87</v>
      </c>
    </row>
    <row r="5" spans="1:16" ht="18" customHeight="1">
      <c r="A5" s="6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</row>
    <row r="6" spans="1:16" s="5" customFormat="1" ht="42.75" customHeight="1">
      <c r="A6" s="8" t="s">
        <v>89</v>
      </c>
      <c r="B6" s="72">
        <v>4000</v>
      </c>
      <c r="C6" s="187">
        <f t="shared" ref="C6:I6" si="0">SUM(C7:C11)</f>
        <v>21875</v>
      </c>
      <c r="D6" s="187">
        <f t="shared" si="0"/>
        <v>22388</v>
      </c>
      <c r="E6" s="187">
        <f t="shared" si="0"/>
        <v>65817.191999999995</v>
      </c>
      <c r="F6" s="187">
        <f t="shared" si="0"/>
        <v>0</v>
      </c>
      <c r="G6" s="187">
        <f t="shared" si="0"/>
        <v>0</v>
      </c>
      <c r="H6" s="187">
        <f t="shared" si="0"/>
        <v>0</v>
      </c>
      <c r="I6" s="187">
        <f t="shared" si="0"/>
        <v>0</v>
      </c>
    </row>
    <row r="7" spans="1:16" ht="30" customHeight="1">
      <c r="A7" s="8" t="s">
        <v>1</v>
      </c>
      <c r="B7" s="73" t="s">
        <v>238</v>
      </c>
      <c r="C7" s="183"/>
      <c r="D7" s="183"/>
      <c r="E7" s="183"/>
      <c r="F7" s="183"/>
      <c r="G7" s="183"/>
      <c r="H7" s="183"/>
      <c r="I7" s="183"/>
    </row>
    <row r="8" spans="1:16" ht="37.5">
      <c r="A8" s="8" t="s">
        <v>2</v>
      </c>
      <c r="B8" s="72">
        <v>4020</v>
      </c>
      <c r="C8" s="505">
        <v>21875</v>
      </c>
      <c r="D8" s="183">
        <v>22388</v>
      </c>
      <c r="E8" s="183">
        <v>65817.191999999995</v>
      </c>
      <c r="F8" s="183">
        <v>0</v>
      </c>
      <c r="G8" s="183">
        <v>0</v>
      </c>
      <c r="H8" s="183">
        <v>0</v>
      </c>
      <c r="I8" s="183">
        <v>0</v>
      </c>
      <c r="P8" s="18"/>
    </row>
    <row r="9" spans="1:16" ht="37.5">
      <c r="A9" s="8" t="s">
        <v>31</v>
      </c>
      <c r="B9" s="73">
        <v>4030</v>
      </c>
      <c r="C9" s="183"/>
      <c r="D9" s="183"/>
      <c r="E9" s="183"/>
      <c r="F9" s="183"/>
      <c r="G9" s="183"/>
      <c r="H9" s="183"/>
      <c r="I9" s="183"/>
      <c r="O9" s="18"/>
    </row>
    <row r="10" spans="1:16" ht="37.5">
      <c r="A10" s="8" t="s">
        <v>3</v>
      </c>
      <c r="B10" s="72">
        <v>4040</v>
      </c>
      <c r="C10" s="183"/>
      <c r="D10" s="183"/>
      <c r="E10" s="183"/>
      <c r="F10" s="183"/>
      <c r="G10" s="183"/>
      <c r="H10" s="183"/>
      <c r="I10" s="183"/>
    </row>
    <row r="11" spans="1:16" ht="56.25">
      <c r="A11" s="8" t="s">
        <v>75</v>
      </c>
      <c r="B11" s="73">
        <v>4050</v>
      </c>
      <c r="C11" s="183"/>
      <c r="D11" s="183"/>
      <c r="E11" s="183"/>
      <c r="F11" s="183"/>
      <c r="G11" s="183"/>
      <c r="H11" s="183"/>
      <c r="I11" s="183"/>
    </row>
    <row r="12" spans="1:16" ht="20.100000000000001" customHeight="1">
      <c r="A12" s="107"/>
      <c r="B12" s="107"/>
      <c r="C12" s="107"/>
      <c r="D12" s="107"/>
      <c r="E12" s="107"/>
      <c r="F12" s="153"/>
      <c r="G12" s="153"/>
      <c r="H12" s="153"/>
      <c r="I12" s="153"/>
    </row>
    <row r="13" spans="1:16" ht="20.100000000000001" customHeight="1">
      <c r="A13" s="107"/>
      <c r="B13" s="107"/>
      <c r="C13" s="107"/>
      <c r="D13" s="107"/>
      <c r="E13" s="107"/>
      <c r="F13" s="153"/>
      <c r="G13" s="153"/>
      <c r="H13" s="153"/>
      <c r="I13" s="153"/>
    </row>
    <row r="14" spans="1:16" s="1" customFormat="1">
      <c r="A14" s="129"/>
      <c r="B14" s="144"/>
      <c r="C14" s="107"/>
      <c r="D14" s="107"/>
      <c r="E14" s="107"/>
      <c r="F14" s="107"/>
      <c r="G14" s="107"/>
      <c r="H14" s="107"/>
      <c r="I14" s="107"/>
      <c r="J14" s="2"/>
    </row>
    <row r="15" spans="1:16" ht="56.25">
      <c r="A15" s="136" t="s">
        <v>441</v>
      </c>
      <c r="B15" s="137"/>
      <c r="C15" s="1000" t="s">
        <v>120</v>
      </c>
      <c r="D15" s="1001"/>
      <c r="E15" s="1001"/>
      <c r="F15" s="138"/>
      <c r="G15" s="1004" t="s">
        <v>1149</v>
      </c>
      <c r="H15" s="1004"/>
      <c r="I15" s="1004"/>
    </row>
    <row r="16" spans="1:16" s="1" customFormat="1" ht="20.100000000000001" customHeight="1">
      <c r="A16" s="108" t="s">
        <v>84</v>
      </c>
      <c r="B16" s="107"/>
      <c r="C16" s="889" t="s">
        <v>85</v>
      </c>
      <c r="D16" s="889"/>
      <c r="E16" s="889"/>
      <c r="F16" s="139"/>
      <c r="G16" s="991" t="s">
        <v>116</v>
      </c>
      <c r="H16" s="991"/>
      <c r="I16" s="991"/>
    </row>
    <row r="17" spans="1:9">
      <c r="A17" s="154"/>
      <c r="B17" s="108"/>
      <c r="C17" s="108"/>
      <c r="D17" s="108"/>
      <c r="E17" s="108"/>
      <c r="F17" s="107"/>
      <c r="G17" s="107"/>
      <c r="H17" s="107"/>
      <c r="I17" s="107"/>
    </row>
    <row r="18" spans="1:9">
      <c r="A18" s="154"/>
      <c r="B18" s="108"/>
      <c r="C18" s="108"/>
      <c r="D18" s="108"/>
      <c r="E18" s="108"/>
      <c r="F18" s="107"/>
      <c r="G18" s="107"/>
      <c r="H18" s="107"/>
      <c r="I18" s="107"/>
    </row>
    <row r="19" spans="1:9">
      <c r="A19" s="47"/>
    </row>
    <row r="20" spans="1:9">
      <c r="A20" s="47"/>
    </row>
    <row r="21" spans="1:9">
      <c r="A21" s="47"/>
    </row>
    <row r="22" spans="1:9">
      <c r="A22" s="47"/>
    </row>
    <row r="23" spans="1:9">
      <c r="A23" s="47"/>
    </row>
    <row r="24" spans="1:9">
      <c r="A24" s="47"/>
    </row>
    <row r="25" spans="1:9">
      <c r="A25" s="47"/>
    </row>
    <row r="26" spans="1:9">
      <c r="A26" s="47"/>
    </row>
    <row r="27" spans="1:9">
      <c r="A27" s="47"/>
    </row>
    <row r="28" spans="1:9">
      <c r="A28" s="47"/>
    </row>
    <row r="29" spans="1:9">
      <c r="A29" s="47"/>
    </row>
    <row r="30" spans="1:9">
      <c r="A30" s="47"/>
    </row>
    <row r="31" spans="1:9">
      <c r="A31" s="47"/>
    </row>
    <row r="32" spans="1:9">
      <c r="A32" s="47"/>
    </row>
    <row r="33" spans="1:1">
      <c r="A33" s="47"/>
    </row>
    <row r="34" spans="1:1">
      <c r="A34" s="47"/>
    </row>
    <row r="35" spans="1:1">
      <c r="A35" s="47"/>
    </row>
    <row r="36" spans="1:1">
      <c r="A36" s="47"/>
    </row>
    <row r="37" spans="1:1">
      <c r="A37" s="47"/>
    </row>
    <row r="38" spans="1:1">
      <c r="A38" s="47"/>
    </row>
    <row r="39" spans="1:1">
      <c r="A39" s="47"/>
    </row>
    <row r="40" spans="1:1">
      <c r="A40" s="47"/>
    </row>
    <row r="41" spans="1:1">
      <c r="A41" s="47"/>
    </row>
    <row r="42" spans="1:1">
      <c r="A42" s="47"/>
    </row>
    <row r="43" spans="1:1">
      <c r="A43" s="47"/>
    </row>
    <row r="44" spans="1:1">
      <c r="A44" s="47"/>
    </row>
    <row r="45" spans="1:1">
      <c r="A45" s="47"/>
    </row>
    <row r="46" spans="1:1">
      <c r="A46" s="47"/>
    </row>
    <row r="47" spans="1:1">
      <c r="A47" s="47"/>
    </row>
    <row r="48" spans="1:1">
      <c r="A48" s="47"/>
    </row>
    <row r="49" spans="1:1">
      <c r="A49" s="47"/>
    </row>
    <row r="50" spans="1:1">
      <c r="A50" s="47"/>
    </row>
    <row r="51" spans="1:1">
      <c r="A51" s="47"/>
    </row>
    <row r="52" spans="1:1">
      <c r="A52" s="47"/>
    </row>
    <row r="53" spans="1:1">
      <c r="A53" s="47"/>
    </row>
    <row r="54" spans="1:1">
      <c r="A54" s="47"/>
    </row>
    <row r="55" spans="1:1">
      <c r="A55" s="47"/>
    </row>
    <row r="56" spans="1:1">
      <c r="A56" s="47"/>
    </row>
    <row r="57" spans="1:1">
      <c r="A57" s="47"/>
    </row>
    <row r="58" spans="1:1">
      <c r="A58" s="47"/>
    </row>
    <row r="59" spans="1:1">
      <c r="A59" s="47"/>
    </row>
    <row r="60" spans="1:1">
      <c r="A60" s="47"/>
    </row>
    <row r="61" spans="1:1">
      <c r="A61" s="47"/>
    </row>
    <row r="62" spans="1:1">
      <c r="A62" s="47"/>
    </row>
    <row r="63" spans="1:1">
      <c r="A63" s="47"/>
    </row>
    <row r="64" spans="1:1">
      <c r="A64" s="47"/>
    </row>
    <row r="65" spans="1:1">
      <c r="A65" s="47"/>
    </row>
    <row r="66" spans="1:1">
      <c r="A66" s="47"/>
    </row>
    <row r="67" spans="1:1">
      <c r="A67" s="47"/>
    </row>
    <row r="68" spans="1:1">
      <c r="A68" s="47"/>
    </row>
    <row r="69" spans="1:1">
      <c r="A69" s="47"/>
    </row>
    <row r="70" spans="1:1">
      <c r="A70" s="47"/>
    </row>
    <row r="71" spans="1:1">
      <c r="A71" s="47"/>
    </row>
    <row r="72" spans="1:1">
      <c r="A72" s="47"/>
    </row>
    <row r="73" spans="1:1">
      <c r="A73" s="47"/>
    </row>
    <row r="74" spans="1:1">
      <c r="A74" s="47"/>
    </row>
    <row r="75" spans="1:1">
      <c r="A75" s="47"/>
    </row>
    <row r="76" spans="1:1">
      <c r="A76" s="47"/>
    </row>
    <row r="77" spans="1:1">
      <c r="A77" s="47"/>
    </row>
    <row r="78" spans="1:1">
      <c r="A78" s="47"/>
    </row>
    <row r="79" spans="1:1">
      <c r="A79" s="47"/>
    </row>
    <row r="80" spans="1:1">
      <c r="A80" s="47"/>
    </row>
    <row r="81" spans="1:1">
      <c r="A81" s="47"/>
    </row>
    <row r="82" spans="1:1">
      <c r="A82" s="47"/>
    </row>
    <row r="83" spans="1:1">
      <c r="A83" s="47"/>
    </row>
    <row r="84" spans="1:1">
      <c r="A84" s="47"/>
    </row>
    <row r="85" spans="1:1">
      <c r="A85" s="47"/>
    </row>
    <row r="86" spans="1:1">
      <c r="A86" s="47"/>
    </row>
    <row r="87" spans="1:1">
      <c r="A87" s="47"/>
    </row>
    <row r="88" spans="1:1">
      <c r="A88" s="47"/>
    </row>
    <row r="89" spans="1:1">
      <c r="A89" s="47"/>
    </row>
    <row r="90" spans="1:1">
      <c r="A90" s="47"/>
    </row>
    <row r="91" spans="1:1">
      <c r="A91" s="47"/>
    </row>
    <row r="92" spans="1:1">
      <c r="A92" s="47"/>
    </row>
    <row r="93" spans="1:1">
      <c r="A93" s="47"/>
    </row>
    <row r="94" spans="1:1">
      <c r="A94" s="47"/>
    </row>
    <row r="95" spans="1:1">
      <c r="A95" s="47"/>
    </row>
    <row r="96" spans="1:1">
      <c r="A96" s="47"/>
    </row>
    <row r="97" spans="1:1">
      <c r="A97" s="47"/>
    </row>
    <row r="98" spans="1:1">
      <c r="A98" s="47"/>
    </row>
    <row r="99" spans="1:1">
      <c r="A99" s="47"/>
    </row>
    <row r="100" spans="1:1">
      <c r="A100" s="47"/>
    </row>
    <row r="101" spans="1:1">
      <c r="A101" s="47"/>
    </row>
    <row r="102" spans="1:1">
      <c r="A102" s="47"/>
    </row>
    <row r="103" spans="1:1">
      <c r="A103" s="47"/>
    </row>
    <row r="104" spans="1:1">
      <c r="A104" s="47"/>
    </row>
    <row r="105" spans="1:1">
      <c r="A105" s="47"/>
    </row>
    <row r="106" spans="1:1">
      <c r="A106" s="47"/>
    </row>
    <row r="107" spans="1:1">
      <c r="A107" s="47"/>
    </row>
    <row r="108" spans="1:1">
      <c r="A108" s="47"/>
    </row>
    <row r="109" spans="1:1">
      <c r="A109" s="47"/>
    </row>
    <row r="110" spans="1:1">
      <c r="A110" s="47"/>
    </row>
    <row r="111" spans="1:1">
      <c r="A111" s="47"/>
    </row>
    <row r="112" spans="1:1">
      <c r="A112" s="47"/>
    </row>
    <row r="113" spans="1:1">
      <c r="A113" s="47"/>
    </row>
    <row r="114" spans="1:1">
      <c r="A114" s="47"/>
    </row>
    <row r="115" spans="1:1">
      <c r="A115" s="47"/>
    </row>
    <row r="116" spans="1:1">
      <c r="A116" s="47"/>
    </row>
    <row r="117" spans="1:1">
      <c r="A117" s="47"/>
    </row>
    <row r="118" spans="1:1">
      <c r="A118" s="47"/>
    </row>
    <row r="119" spans="1:1">
      <c r="A119" s="47"/>
    </row>
    <row r="120" spans="1:1">
      <c r="A120" s="47"/>
    </row>
    <row r="121" spans="1:1">
      <c r="A121" s="47"/>
    </row>
    <row r="122" spans="1:1">
      <c r="A122" s="47"/>
    </row>
    <row r="123" spans="1:1">
      <c r="A123" s="47"/>
    </row>
    <row r="124" spans="1:1">
      <c r="A124" s="47"/>
    </row>
    <row r="125" spans="1:1">
      <c r="A125" s="47"/>
    </row>
    <row r="126" spans="1:1">
      <c r="A126" s="47"/>
    </row>
    <row r="127" spans="1:1">
      <c r="A127" s="47"/>
    </row>
    <row r="128" spans="1:1">
      <c r="A128" s="47"/>
    </row>
    <row r="129" spans="1:1">
      <c r="A129" s="47"/>
    </row>
    <row r="130" spans="1:1">
      <c r="A130" s="47"/>
    </row>
    <row r="131" spans="1:1">
      <c r="A131" s="47"/>
    </row>
    <row r="132" spans="1:1">
      <c r="A132" s="47"/>
    </row>
    <row r="133" spans="1:1">
      <c r="A133" s="47"/>
    </row>
    <row r="134" spans="1:1">
      <c r="A134" s="47"/>
    </row>
    <row r="135" spans="1:1">
      <c r="A135" s="47"/>
    </row>
    <row r="136" spans="1:1">
      <c r="A136" s="47"/>
    </row>
    <row r="137" spans="1:1">
      <c r="A137" s="47"/>
    </row>
    <row r="138" spans="1:1">
      <c r="A138" s="47"/>
    </row>
    <row r="139" spans="1:1">
      <c r="A139" s="47"/>
    </row>
    <row r="140" spans="1:1">
      <c r="A140" s="47"/>
    </row>
    <row r="141" spans="1:1">
      <c r="A141" s="47"/>
    </row>
    <row r="142" spans="1:1">
      <c r="A142" s="47"/>
    </row>
    <row r="143" spans="1:1">
      <c r="A143" s="47"/>
    </row>
    <row r="144" spans="1:1">
      <c r="A144" s="47"/>
    </row>
    <row r="145" spans="1:1">
      <c r="A145" s="47"/>
    </row>
    <row r="146" spans="1:1">
      <c r="A146" s="47"/>
    </row>
    <row r="147" spans="1:1">
      <c r="A147" s="47"/>
    </row>
    <row r="148" spans="1:1">
      <c r="A148" s="47"/>
    </row>
    <row r="149" spans="1:1">
      <c r="A149" s="47"/>
    </row>
    <row r="150" spans="1:1">
      <c r="A150" s="47"/>
    </row>
    <row r="151" spans="1:1">
      <c r="A151" s="47"/>
    </row>
    <row r="152" spans="1:1">
      <c r="A152" s="47"/>
    </row>
    <row r="153" spans="1:1">
      <c r="A153" s="47"/>
    </row>
    <row r="154" spans="1:1">
      <c r="A154" s="47"/>
    </row>
    <row r="155" spans="1:1">
      <c r="A155" s="47"/>
    </row>
    <row r="156" spans="1:1">
      <c r="A156" s="47"/>
    </row>
    <row r="157" spans="1:1">
      <c r="A157" s="47"/>
    </row>
    <row r="158" spans="1:1">
      <c r="A158" s="47"/>
    </row>
    <row r="159" spans="1:1">
      <c r="A159" s="47"/>
    </row>
    <row r="160" spans="1:1">
      <c r="A160" s="47"/>
    </row>
    <row r="161" spans="1:1">
      <c r="A161" s="47"/>
    </row>
    <row r="162" spans="1:1">
      <c r="A162" s="47"/>
    </row>
    <row r="163" spans="1:1">
      <c r="A163" s="47"/>
    </row>
    <row r="164" spans="1:1">
      <c r="A164" s="47"/>
    </row>
    <row r="165" spans="1:1">
      <c r="A165" s="47"/>
    </row>
    <row r="166" spans="1:1">
      <c r="A166" s="47"/>
    </row>
    <row r="167" spans="1:1">
      <c r="A167" s="47"/>
    </row>
    <row r="168" spans="1:1">
      <c r="A168" s="47"/>
    </row>
    <row r="169" spans="1:1">
      <c r="A169" s="47"/>
    </row>
    <row r="170" spans="1:1">
      <c r="A170" s="47"/>
    </row>
    <row r="171" spans="1:1">
      <c r="A171" s="47"/>
    </row>
    <row r="172" spans="1:1">
      <c r="A172" s="47"/>
    </row>
    <row r="173" spans="1:1">
      <c r="A173" s="47"/>
    </row>
    <row r="174" spans="1:1">
      <c r="A174" s="47"/>
    </row>
    <row r="175" spans="1:1">
      <c r="A175" s="47"/>
    </row>
    <row r="176" spans="1:1">
      <c r="A176" s="47"/>
    </row>
    <row r="177" spans="1:1">
      <c r="A177" s="47"/>
    </row>
    <row r="178" spans="1:1">
      <c r="A178" s="47"/>
    </row>
    <row r="179" spans="1:1">
      <c r="A179" s="47"/>
    </row>
    <row r="180" spans="1:1">
      <c r="A180" s="47"/>
    </row>
    <row r="181" spans="1:1">
      <c r="A181" s="47"/>
    </row>
    <row r="182" spans="1:1">
      <c r="A182" s="47"/>
    </row>
  </sheetData>
  <sheetProtection password="C6FB" sheet="1" formatCells="0" formatColumns="0" formatRows="0"/>
  <mergeCells count="12">
    <mergeCell ref="C15:E15"/>
    <mergeCell ref="G15:I15"/>
    <mergeCell ref="C16:E16"/>
    <mergeCell ref="G16:I16"/>
    <mergeCell ref="A1:I1"/>
    <mergeCell ref="B3:B4"/>
    <mergeCell ref="C3:C4"/>
    <mergeCell ref="D3:D4"/>
    <mergeCell ref="A2:I2"/>
    <mergeCell ref="F3:I3"/>
    <mergeCell ref="E3:E4"/>
    <mergeCell ref="A3:A4"/>
  </mergeCells>
  <phoneticPr fontId="0" type="noConversion"/>
  <pageMargins left="0.78740157480314965" right="0.39370078740157483" top="0.59055118110236227" bottom="0.59055118110236227" header="0.27559055118110237" footer="0.31496062992125984"/>
  <pageSetup paperSize="9" scale="50" firstPageNumber="9" orientation="portrait" useFirstPageNumber="1" r:id="rId1"/>
  <headerFooter alignWithMargins="0"/>
  <ignoredErrors>
    <ignoredError sqref="B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J31"/>
  <sheetViews>
    <sheetView windowProtection="1" view="pageBreakPreview" zoomScale="75" zoomScaleNormal="75" zoomScaleSheetLayoutView="75" workbookViewId="0">
      <pane ySplit="5" topLeftCell="A6" activePane="bottomLeft" state="frozen"/>
      <selection pane="bottomLeft" activeCell="I64" sqref="I64"/>
    </sheetView>
  </sheetViews>
  <sheetFormatPr defaultRowHeight="12.75"/>
  <cols>
    <col min="1" max="1" width="61" style="29" customWidth="1"/>
    <col min="2" max="2" width="13.85546875" style="29" customWidth="1"/>
    <col min="3" max="3" width="17.42578125" style="29" customWidth="1"/>
    <col min="4" max="4" width="18.28515625" style="29" customWidth="1"/>
    <col min="5" max="5" width="19.7109375" style="219" customWidth="1"/>
    <col min="6" max="6" width="18.5703125" style="29" customWidth="1"/>
    <col min="7" max="7" width="18.85546875" style="29" customWidth="1"/>
    <col min="8" max="8" width="37.42578125" style="29" customWidth="1"/>
    <col min="9" max="9" width="9.5703125" style="29" customWidth="1"/>
    <col min="10" max="16384" width="9.140625" style="29"/>
  </cols>
  <sheetData>
    <row r="1" spans="1:8" ht="25.5" customHeight="1">
      <c r="A1" s="1089" t="s">
        <v>231</v>
      </c>
      <c r="B1" s="1089"/>
      <c r="C1" s="1089"/>
      <c r="D1" s="1089"/>
      <c r="E1" s="1089"/>
      <c r="F1" s="1089"/>
      <c r="G1" s="1089"/>
      <c r="H1" s="1089"/>
    </row>
    <row r="2" spans="1:8" ht="16.5" customHeight="1">
      <c r="E2" s="29"/>
    </row>
    <row r="3" spans="1:8" ht="45" customHeight="1">
      <c r="A3" s="1090" t="s">
        <v>274</v>
      </c>
      <c r="B3" s="1090" t="s">
        <v>0</v>
      </c>
      <c r="C3" s="1090" t="s">
        <v>111</v>
      </c>
      <c r="D3" s="1090" t="s">
        <v>32</v>
      </c>
      <c r="E3" s="1090" t="s">
        <v>112</v>
      </c>
      <c r="F3" s="1053" t="s">
        <v>181</v>
      </c>
      <c r="G3" s="1090" t="s">
        <v>113</v>
      </c>
      <c r="H3" s="1090" t="s">
        <v>114</v>
      </c>
    </row>
    <row r="4" spans="1:8" ht="52.5" customHeight="1">
      <c r="A4" s="1091"/>
      <c r="B4" s="1091"/>
      <c r="C4" s="1091"/>
      <c r="D4" s="1091"/>
      <c r="E4" s="1091"/>
      <c r="F4" s="1054"/>
      <c r="G4" s="1091"/>
      <c r="H4" s="1091"/>
    </row>
    <row r="5" spans="1:8" s="58" customFormat="1" ht="18" customHeight="1">
      <c r="A5" s="38">
        <v>1</v>
      </c>
      <c r="B5" s="38">
        <v>2</v>
      </c>
      <c r="C5" s="38">
        <v>3</v>
      </c>
      <c r="D5" s="38">
        <v>4</v>
      </c>
      <c r="E5" s="38">
        <v>5</v>
      </c>
      <c r="F5" s="38">
        <v>6</v>
      </c>
      <c r="G5" s="38">
        <v>7</v>
      </c>
      <c r="H5" s="38">
        <v>8</v>
      </c>
    </row>
    <row r="6" spans="1:8" s="58" customFormat="1" ht="20.100000000000001" customHeight="1">
      <c r="A6" s="74" t="s">
        <v>203</v>
      </c>
      <c r="B6" s="57"/>
      <c r="C6" s="38"/>
      <c r="D6" s="38"/>
      <c r="E6" s="38"/>
      <c r="F6" s="38"/>
      <c r="G6" s="38"/>
      <c r="H6" s="38"/>
    </row>
    <row r="7" spans="1:8" ht="75">
      <c r="A7" s="8" t="s">
        <v>355</v>
      </c>
      <c r="B7" s="7">
        <v>5000</v>
      </c>
      <c r="C7" s="76" t="s">
        <v>342</v>
      </c>
      <c r="D7" s="188">
        <f>'Осн. фін. пок.'!C40*100/'Осн. фін. пок.'!C38</f>
        <v>28.810746740418807</v>
      </c>
      <c r="E7" s="189">
        <f>F7</f>
        <v>6.26149726126632</v>
      </c>
      <c r="F7" s="190">
        <f>'Осн. фін. пок.'!F40*100/'Осн. фін. пок.'!F38</f>
        <v>6.26149726126632</v>
      </c>
      <c r="G7" s="188">
        <f>'Осн. фін. пок.'!E40*100/'Осн. фін. пок.'!E38</f>
        <v>9.4705145211657129</v>
      </c>
      <c r="H7" s="84"/>
    </row>
    <row r="8" spans="1:8" ht="63.95" customHeight="1">
      <c r="A8" s="8" t="s">
        <v>356</v>
      </c>
      <c r="B8" s="7">
        <v>5010</v>
      </c>
      <c r="C8" s="76" t="s">
        <v>342</v>
      </c>
      <c r="D8" s="188">
        <f>'Осн. фін. пок.'!C45*100/'Осн. фін. пок.'!C38</f>
        <v>-7.7834847886210987</v>
      </c>
      <c r="E8" s="189">
        <f t="shared" ref="E8:E18" si="0">F8</f>
        <v>28.053759993453383</v>
      </c>
      <c r="F8" s="190">
        <f>'Осн. фін. пок.'!F45*100/'Осн. фін. пок.'!F38</f>
        <v>28.053759993453383</v>
      </c>
      <c r="G8" s="188">
        <f>'Осн. фін. пок.'!E45*100/'Осн. фін. пок.'!E38</f>
        <v>53.685032641871949</v>
      </c>
      <c r="H8" s="84"/>
    </row>
    <row r="9" spans="1:8" ht="76.5" customHeight="1">
      <c r="A9" s="86" t="s">
        <v>362</v>
      </c>
      <c r="B9" s="7">
        <v>5020</v>
      </c>
      <c r="C9" s="76" t="s">
        <v>342</v>
      </c>
      <c r="D9" s="188">
        <f>'Осн. фін. пок.'!C51/'Осн. фін. пок.'!C77</f>
        <v>-1.392698264944961E-2</v>
      </c>
      <c r="E9" s="189">
        <f t="shared" si="0"/>
        <v>-5.2095148443173055E-2</v>
      </c>
      <c r="F9" s="190">
        <f>'Осн. фін. пок.'!F51/'Осн. фін. пок.'!F77</f>
        <v>-5.2095148443173055E-2</v>
      </c>
      <c r="G9" s="188">
        <f>'Осн. фін. пок.'!E51/'Осн. фін. пок.'!E77</f>
        <v>8.2027027575956677E-3</v>
      </c>
      <c r="H9" s="84" t="s">
        <v>343</v>
      </c>
    </row>
    <row r="10" spans="1:8" ht="56.25">
      <c r="A10" s="86" t="s">
        <v>363</v>
      </c>
      <c r="B10" s="7">
        <v>5030</v>
      </c>
      <c r="C10" s="76" t="s">
        <v>342</v>
      </c>
      <c r="D10" s="188">
        <f>'Осн. фін. пок.'!C51/'Осн. фін. пок.'!C83</f>
        <v>-1.7340409474626159E-2</v>
      </c>
      <c r="E10" s="189">
        <f t="shared" si="0"/>
        <v>-5.4435446961185761E-2</v>
      </c>
      <c r="F10" s="190">
        <f>'Осн. фін. пок.'!F51/'Осн. фін. пок.'!F83</f>
        <v>-5.4435446961185761E-2</v>
      </c>
      <c r="G10" s="188">
        <f>'Осн. фін. пок.'!E51/'Осн. фін. пок.'!E83</f>
        <v>8.3989156429406398E-3</v>
      </c>
      <c r="H10" s="84"/>
    </row>
    <row r="11" spans="1:8" ht="75">
      <c r="A11" s="86" t="s">
        <v>364</v>
      </c>
      <c r="B11" s="7">
        <v>5040</v>
      </c>
      <c r="C11" s="76" t="s">
        <v>115</v>
      </c>
      <c r="D11" s="188">
        <f>'Осн. фін. пок.'!C51/'Осн. фін. пок.'!C38</f>
        <v>-0.2033504543658633</v>
      </c>
      <c r="E11" s="189">
        <f t="shared" si="0"/>
        <v>-0.24168731438798</v>
      </c>
      <c r="F11" s="190">
        <f>'Осн. фін. пок.'!F51/'Осн. фін. пок.'!F38</f>
        <v>-0.24168731438798</v>
      </c>
      <c r="G11" s="188">
        <f>'Осн. фін. пок.'!E51/'Осн. фін. пок.'!E38</f>
        <v>3.2172887528164121E-2</v>
      </c>
      <c r="H11" s="84" t="s">
        <v>344</v>
      </c>
    </row>
    <row r="12" spans="1:8" ht="20.100000000000001" customHeight="1">
      <c r="A12" s="74" t="s">
        <v>205</v>
      </c>
      <c r="B12" s="7"/>
      <c r="C12" s="77"/>
      <c r="D12" s="85"/>
      <c r="E12" s="189"/>
      <c r="F12" s="85"/>
      <c r="G12" s="85"/>
      <c r="H12" s="84"/>
    </row>
    <row r="13" spans="1:8" ht="63.95" customHeight="1">
      <c r="A13" s="75" t="s">
        <v>312</v>
      </c>
      <c r="B13" s="7">
        <v>5100</v>
      </c>
      <c r="C13" s="76"/>
      <c r="D13" s="188">
        <f>('Осн. фін. пок.'!C78+'Осн. фін. пок.'!C79)/'Осн. фін. пок.'!C45</f>
        <v>-36.927106598984771</v>
      </c>
      <c r="E13" s="189">
        <f t="shared" si="0"/>
        <v>0.71097603681758004</v>
      </c>
      <c r="F13" s="190">
        <f>('Осн. фін. пок.'!F78+'Осн. фін. пок.'!F79)/'Осн. фін. пок.'!F45</f>
        <v>0.71097603681758004</v>
      </c>
      <c r="G13" s="188">
        <f>('Осн. фін. пок.'!E78+'Осн. фін. пок.'!E79)/'Осн. фін. пок.'!E45</f>
        <v>0.1706805956693126</v>
      </c>
      <c r="H13" s="84"/>
    </row>
    <row r="14" spans="1:8" s="58" customFormat="1" ht="75">
      <c r="A14" s="75" t="s">
        <v>313</v>
      </c>
      <c r="B14" s="7">
        <v>5110</v>
      </c>
      <c r="C14" s="76" t="s">
        <v>190</v>
      </c>
      <c r="D14" s="188">
        <f>'Осн. фін. пок.'!C83/('Осн. фін. пок.'!C78+'Осн. фін. пок.'!C79)</f>
        <v>4.0800589444975968</v>
      </c>
      <c r="E14" s="189">
        <f t="shared" si="0"/>
        <v>22.260044196161093</v>
      </c>
      <c r="F14" s="190">
        <f>'Осн. фін. пок.'!F83/('Осн. фін. пок.'!F78+'Осн. фін. пок.'!F79)</f>
        <v>22.260044196161093</v>
      </c>
      <c r="G14" s="188">
        <f>'Осн. фін. пок.'!E83/('Осн. фін. пок.'!E78+'Осн. фін. пок.'!E79)</f>
        <v>41.805117656641336</v>
      </c>
      <c r="H14" s="84" t="s">
        <v>345</v>
      </c>
    </row>
    <row r="15" spans="1:8" s="58" customFormat="1" ht="112.5">
      <c r="A15" s="75" t="s">
        <v>314</v>
      </c>
      <c r="B15" s="7">
        <v>5120</v>
      </c>
      <c r="C15" s="76" t="s">
        <v>190</v>
      </c>
      <c r="D15" s="188">
        <f>'Осн. фін. пок.'!C75/'Осн. фін. пок.'!C79</f>
        <v>0.69459932037874039</v>
      </c>
      <c r="E15" s="189">
        <f t="shared" si="0"/>
        <v>9.7356154151906793</v>
      </c>
      <c r="F15" s="190">
        <f>'Осн. фін. пок.'!F75/'Осн. фін. пок.'!F79</f>
        <v>9.7356154151906793</v>
      </c>
      <c r="G15" s="188">
        <f>'Осн. фін. пок.'!E75/'Осн. фін. пок.'!E79</f>
        <v>14.704640461035273</v>
      </c>
      <c r="H15" s="84" t="s">
        <v>347</v>
      </c>
    </row>
    <row r="16" spans="1:8" ht="20.100000000000001" customHeight="1">
      <c r="A16" s="74" t="s">
        <v>204</v>
      </c>
      <c r="B16" s="7"/>
      <c r="C16" s="76"/>
      <c r="D16" s="190"/>
      <c r="E16" s="189"/>
      <c r="F16" s="190"/>
      <c r="G16" s="190"/>
      <c r="H16" s="84"/>
    </row>
    <row r="17" spans="1:10" ht="56.25">
      <c r="A17" s="75" t="s">
        <v>315</v>
      </c>
      <c r="B17" s="7">
        <v>5200</v>
      </c>
      <c r="C17" s="76"/>
      <c r="D17" s="188">
        <f>'Осн. фін. пок.'!C68/'I. Фін результат'!C201</f>
        <v>2.6419082125603865</v>
      </c>
      <c r="E17" s="189">
        <f t="shared" si="0"/>
        <v>0.61718323957443078</v>
      </c>
      <c r="F17" s="190">
        <f>'Осн. фін. пок.'!F68/'I. Фін результат'!E201</f>
        <v>0.61718323957443078</v>
      </c>
      <c r="G17" s="188">
        <f>'Осн. фін. пок.'!E68/'I. Фін результат'!I201</f>
        <v>0</v>
      </c>
      <c r="H17" s="84"/>
    </row>
    <row r="18" spans="1:10" ht="75">
      <c r="A18" s="75" t="s">
        <v>316</v>
      </c>
      <c r="B18" s="7">
        <v>5210</v>
      </c>
      <c r="C18" s="76"/>
      <c r="D18" s="188">
        <f>'Осн. фін. пок.'!C68/'Осн. фін. пок.'!C38</f>
        <v>0.34571315685499804</v>
      </c>
      <c r="E18" s="189">
        <f t="shared" si="0"/>
        <v>0.31843556412236346</v>
      </c>
      <c r="F18" s="190">
        <f>'Осн. фін. пок.'!F68/'Осн. фін. пок.'!F38</f>
        <v>0.31843556412236346</v>
      </c>
      <c r="G18" s="188">
        <f>'Осн. фін. пок.'!E68/'Осн. фін. пок.'!E38</f>
        <v>0</v>
      </c>
      <c r="H18" s="84"/>
    </row>
    <row r="19" spans="1:10" ht="63.95" customHeight="1">
      <c r="A19" s="75" t="s">
        <v>357</v>
      </c>
      <c r="B19" s="7">
        <v>5220</v>
      </c>
      <c r="C19" s="76" t="s">
        <v>342</v>
      </c>
      <c r="D19" s="189">
        <v>0.24</v>
      </c>
      <c r="E19" s="189">
        <v>0.28999999999999998</v>
      </c>
      <c r="F19" s="189">
        <v>0.28999999999999998</v>
      </c>
      <c r="G19" s="189">
        <v>0.28999999999999998</v>
      </c>
      <c r="H19" s="84" t="s">
        <v>346</v>
      </c>
    </row>
    <row r="20" spans="1:10" ht="20.100000000000001" customHeight="1">
      <c r="A20" s="57" t="s">
        <v>292</v>
      </c>
      <c r="B20" s="7"/>
      <c r="C20" s="76"/>
      <c r="D20" s="190"/>
      <c r="E20" s="189"/>
      <c r="F20" s="190"/>
      <c r="G20" s="190"/>
      <c r="H20" s="84"/>
    </row>
    <row r="21" spans="1:10" ht="112.5">
      <c r="A21" s="86" t="s">
        <v>358</v>
      </c>
      <c r="B21" s="7">
        <v>5300</v>
      </c>
      <c r="C21" s="76"/>
      <c r="D21" s="189"/>
      <c r="E21" s="189"/>
      <c r="F21" s="189"/>
      <c r="G21" s="189"/>
      <c r="H21" s="155"/>
    </row>
    <row r="22" spans="1:10" ht="20.100000000000001" customHeight="1">
      <c r="A22" s="156"/>
      <c r="B22" s="156"/>
      <c r="C22" s="156"/>
      <c r="D22" s="156"/>
      <c r="E22" s="156"/>
      <c r="F22" s="156"/>
      <c r="G22" s="156"/>
      <c r="H22" s="156"/>
    </row>
    <row r="23" spans="1:10" ht="20.100000000000001" customHeight="1">
      <c r="A23" s="156"/>
      <c r="B23" s="156"/>
      <c r="C23" s="156"/>
      <c r="D23" s="156"/>
      <c r="E23" s="156"/>
      <c r="F23" s="156"/>
      <c r="G23" s="156"/>
      <c r="H23" s="156"/>
    </row>
    <row r="24" spans="1:10" ht="20.100000000000001" customHeight="1">
      <c r="A24" s="156"/>
      <c r="B24" s="156"/>
      <c r="C24" s="156"/>
      <c r="D24" s="156"/>
      <c r="E24" s="156"/>
      <c r="F24" s="156"/>
      <c r="G24" s="156"/>
      <c r="H24" s="156"/>
    </row>
    <row r="25" spans="1:10" s="2" customFormat="1" ht="39.75" customHeight="1">
      <c r="A25" s="136" t="s">
        <v>442</v>
      </c>
      <c r="B25" s="136"/>
      <c r="C25" s="137"/>
      <c r="D25" s="1000" t="s">
        <v>120</v>
      </c>
      <c r="E25" s="1001"/>
      <c r="F25" s="1001"/>
      <c r="G25" s="1001"/>
      <c r="H25" s="107" t="s">
        <v>1150</v>
      </c>
    </row>
    <row r="26" spans="1:10" s="1" customFormat="1" ht="20.100000000000001" customHeight="1">
      <c r="A26" s="94" t="s">
        <v>270</v>
      </c>
      <c r="B26" s="157"/>
      <c r="C26" s="107"/>
      <c r="D26" s="889" t="s">
        <v>85</v>
      </c>
      <c r="E26" s="889"/>
      <c r="F26" s="889"/>
      <c r="G26" s="889"/>
      <c r="H26" s="144" t="s">
        <v>271</v>
      </c>
      <c r="I26" s="55"/>
      <c r="J26" s="55"/>
    </row>
    <row r="27" spans="1:10">
      <c r="A27" s="156"/>
      <c r="B27" s="156"/>
      <c r="C27" s="156"/>
      <c r="D27" s="156"/>
      <c r="E27" s="220"/>
      <c r="F27" s="156"/>
      <c r="G27" s="156"/>
      <c r="H27" s="156"/>
    </row>
    <row r="28" spans="1:10">
      <c r="A28" s="156"/>
      <c r="B28" s="156"/>
      <c r="C28" s="156"/>
      <c r="D28" s="156"/>
      <c r="E28" s="220"/>
      <c r="F28" s="156"/>
      <c r="G28" s="156"/>
      <c r="H28" s="156"/>
    </row>
    <row r="29" spans="1:10">
      <c r="A29" s="156"/>
      <c r="B29" s="156"/>
      <c r="C29" s="156"/>
      <c r="D29" s="156"/>
      <c r="E29" s="220"/>
      <c r="F29" s="156"/>
      <c r="G29" s="156"/>
      <c r="H29" s="156"/>
    </row>
    <row r="30" spans="1:10">
      <c r="A30" s="156"/>
      <c r="B30" s="156"/>
      <c r="C30" s="156"/>
      <c r="D30" s="156"/>
      <c r="E30" s="220"/>
      <c r="F30" s="156"/>
      <c r="G30" s="156"/>
      <c r="H30" s="156"/>
    </row>
    <row r="31" spans="1:10">
      <c r="A31" s="156"/>
      <c r="B31" s="156"/>
      <c r="C31" s="156"/>
      <c r="D31" s="156"/>
      <c r="E31" s="220"/>
      <c r="F31" s="156"/>
      <c r="G31" s="156"/>
      <c r="H31" s="156"/>
    </row>
  </sheetData>
  <sheetProtection password="C6FB" sheet="1" formatCells="0" formatColumns="0" formatRows="0"/>
  <mergeCells count="11">
    <mergeCell ref="A1:H1"/>
    <mergeCell ref="H3:H4"/>
    <mergeCell ref="D25:G25"/>
    <mergeCell ref="D26:G26"/>
    <mergeCell ref="A3:A4"/>
    <mergeCell ref="B3:B4"/>
    <mergeCell ref="C3:C4"/>
    <mergeCell ref="D3:D4"/>
    <mergeCell ref="E3:E4"/>
    <mergeCell ref="F3:F4"/>
    <mergeCell ref="G3:G4"/>
  </mergeCells>
  <phoneticPr fontId="6" type="noConversion"/>
  <pageMargins left="0.78740157480314965" right="0.39370078740157483" top="0.59055118110236227" bottom="0.59055118110236227" header="0.27559055118110237" footer="0.31496062992125984"/>
  <pageSetup paperSize="9" scale="4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D99"/>
  <sheetViews>
    <sheetView windowProtection="1" tabSelected="1" view="pageBreakPreview" zoomScale="70" zoomScaleNormal="60" zoomScaleSheetLayoutView="70" workbookViewId="0">
      <selection activeCell="AV74" sqref="AV74"/>
    </sheetView>
  </sheetViews>
  <sheetFormatPr defaultRowHeight="18.75"/>
  <cols>
    <col min="1" max="1" width="44.85546875" style="1" customWidth="1"/>
    <col min="2" max="2" width="13.5703125" style="17" customWidth="1"/>
    <col min="3" max="3" width="12.7109375" style="1" customWidth="1"/>
    <col min="4" max="4" width="16.140625" style="1" customWidth="1"/>
    <col min="5" max="5" width="15.42578125" style="1" customWidth="1"/>
    <col min="6" max="6" width="16.5703125" style="1" customWidth="1"/>
    <col min="7" max="7" width="15.28515625" style="1" customWidth="1"/>
    <col min="8" max="8" width="16.5703125" style="1" customWidth="1"/>
    <col min="9" max="9" width="16.140625" style="1" customWidth="1"/>
    <col min="10" max="10" width="16.42578125" style="1" customWidth="1"/>
    <col min="11" max="11" width="16.5703125" style="1" customWidth="1"/>
    <col min="12" max="12" width="16.85546875" style="1" customWidth="1"/>
    <col min="13" max="14" width="16.7109375" style="1" customWidth="1"/>
    <col min="15" max="15" width="19.5703125" style="1" customWidth="1"/>
    <col min="16" max="18" width="0" style="1122" hidden="1" customWidth="1"/>
    <col min="19" max="21" width="10.140625" style="1122" hidden="1" customWidth="1"/>
    <col min="22" max="30" width="0" style="1122" hidden="1" customWidth="1"/>
    <col min="31" max="16384" width="9.140625" style="1"/>
  </cols>
  <sheetData>
    <row r="1" spans="1:30">
      <c r="A1" s="888" t="s">
        <v>136</v>
      </c>
      <c r="B1" s="888"/>
      <c r="C1" s="888"/>
      <c r="D1" s="888"/>
      <c r="E1" s="888"/>
      <c r="F1" s="888"/>
      <c r="G1" s="888"/>
      <c r="H1" s="888"/>
      <c r="I1" s="888"/>
      <c r="J1" s="888"/>
      <c r="K1" s="888"/>
      <c r="L1" s="888"/>
      <c r="M1" s="888"/>
      <c r="N1" s="888"/>
      <c r="O1" s="888"/>
    </row>
    <row r="2" spans="1:30">
      <c r="A2" s="888" t="s">
        <v>1153</v>
      </c>
      <c r="B2" s="888"/>
      <c r="C2" s="888"/>
      <c r="D2" s="888"/>
      <c r="E2" s="888"/>
      <c r="F2" s="888"/>
      <c r="G2" s="888"/>
      <c r="H2" s="888"/>
      <c r="I2" s="888"/>
      <c r="J2" s="888"/>
      <c r="K2" s="888"/>
      <c r="L2" s="888"/>
      <c r="M2" s="888"/>
      <c r="N2" s="888"/>
      <c r="O2" s="888"/>
    </row>
    <row r="3" spans="1:30">
      <c r="A3" s="889" t="s">
        <v>436</v>
      </c>
      <c r="B3" s="889"/>
      <c r="C3" s="889"/>
      <c r="D3" s="889"/>
      <c r="E3" s="889"/>
      <c r="F3" s="889"/>
      <c r="G3" s="889"/>
      <c r="H3" s="889"/>
      <c r="I3" s="889"/>
      <c r="J3" s="889"/>
      <c r="K3" s="889"/>
      <c r="L3" s="889"/>
      <c r="M3" s="889"/>
      <c r="N3" s="889"/>
      <c r="O3" s="889"/>
    </row>
    <row r="4" spans="1:30" ht="20.100000000000001" customHeight="1">
      <c r="A4" s="890" t="s">
        <v>145</v>
      </c>
      <c r="B4" s="890"/>
      <c r="C4" s="890"/>
      <c r="D4" s="890"/>
      <c r="E4" s="890"/>
      <c r="F4" s="890"/>
      <c r="G4" s="890"/>
      <c r="H4" s="890"/>
      <c r="I4" s="890"/>
      <c r="J4" s="890"/>
      <c r="K4" s="890"/>
      <c r="L4" s="890"/>
      <c r="M4" s="890"/>
      <c r="N4" s="890"/>
      <c r="O4" s="890"/>
    </row>
    <row r="5" spans="1:30" ht="21.95" customHeight="1">
      <c r="A5" s="892" t="s">
        <v>99</v>
      </c>
      <c r="B5" s="892"/>
      <c r="C5" s="892"/>
      <c r="D5" s="892"/>
      <c r="E5" s="892"/>
      <c r="F5" s="892"/>
      <c r="G5" s="892"/>
      <c r="H5" s="892"/>
      <c r="I5" s="892"/>
      <c r="J5" s="892"/>
      <c r="K5" s="892"/>
      <c r="L5" s="892"/>
      <c r="M5" s="892"/>
      <c r="N5" s="892"/>
      <c r="O5" s="892"/>
    </row>
    <row r="6" spans="1:30" ht="10.5" customHeight="1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</row>
    <row r="7" spans="1:30" ht="16.5" customHeight="1">
      <c r="A7" s="891" t="s">
        <v>348</v>
      </c>
      <c r="B7" s="891"/>
      <c r="C7" s="891"/>
      <c r="D7" s="891"/>
      <c r="E7" s="891"/>
      <c r="F7" s="891"/>
      <c r="G7" s="891"/>
      <c r="H7" s="891"/>
      <c r="I7" s="891"/>
      <c r="J7" s="891"/>
      <c r="K7" s="891"/>
      <c r="L7" s="891"/>
      <c r="M7" s="891"/>
      <c r="N7" s="891"/>
      <c r="O7" s="891"/>
    </row>
    <row r="8" spans="1:30" ht="27.75" customHeight="1">
      <c r="A8" s="80"/>
      <c r="B8" s="80"/>
      <c r="C8" s="80"/>
      <c r="D8" s="80"/>
      <c r="E8" s="80"/>
      <c r="F8" s="417"/>
      <c r="G8" s="417"/>
      <c r="H8" s="417"/>
      <c r="I8" s="417"/>
      <c r="J8" s="877"/>
      <c r="K8" s="877"/>
      <c r="L8" s="80"/>
      <c r="M8" s="80"/>
      <c r="N8" s="80"/>
      <c r="O8" s="80"/>
    </row>
    <row r="9" spans="1:30" s="2" customFormat="1" ht="40.5" customHeight="1">
      <c r="A9" s="884" t="s">
        <v>274</v>
      </c>
      <c r="B9" s="884"/>
      <c r="C9" s="884"/>
      <c r="D9" s="882" t="s">
        <v>147</v>
      </c>
      <c r="E9" s="882"/>
      <c r="F9" s="882" t="s">
        <v>32</v>
      </c>
      <c r="G9" s="882"/>
      <c r="H9" s="882" t="s">
        <v>71</v>
      </c>
      <c r="I9" s="882"/>
      <c r="J9" s="882" t="s">
        <v>148</v>
      </c>
      <c r="K9" s="882"/>
      <c r="L9" s="882" t="s">
        <v>295</v>
      </c>
      <c r="M9" s="882"/>
      <c r="N9" s="882" t="s">
        <v>296</v>
      </c>
      <c r="O9" s="882"/>
      <c r="P9" s="1123"/>
      <c r="Q9" s="1123"/>
      <c r="R9" s="1123"/>
      <c r="S9" s="1123"/>
      <c r="T9" s="1123"/>
      <c r="U9" s="1123"/>
      <c r="V9" s="1123"/>
      <c r="W9" s="1123"/>
      <c r="X9" s="1123"/>
      <c r="Y9" s="1123"/>
      <c r="Z9" s="1123"/>
      <c r="AA9" s="1123"/>
      <c r="AB9" s="1123"/>
      <c r="AC9" s="1123"/>
      <c r="AD9" s="1123"/>
    </row>
    <row r="10" spans="1:30" s="2" customFormat="1" ht="18" customHeight="1">
      <c r="A10" s="884">
        <v>1</v>
      </c>
      <c r="B10" s="884"/>
      <c r="C10" s="884"/>
      <c r="D10" s="882">
        <v>2</v>
      </c>
      <c r="E10" s="882"/>
      <c r="F10" s="882">
        <v>3</v>
      </c>
      <c r="G10" s="882"/>
      <c r="H10" s="882">
        <v>4</v>
      </c>
      <c r="I10" s="882"/>
      <c r="J10" s="882">
        <v>5</v>
      </c>
      <c r="K10" s="882"/>
      <c r="L10" s="882">
        <v>6</v>
      </c>
      <c r="M10" s="882"/>
      <c r="N10" s="882">
        <v>7</v>
      </c>
      <c r="O10" s="882"/>
      <c r="P10" s="1123"/>
      <c r="Q10" s="1123"/>
      <c r="R10" s="1123"/>
      <c r="S10" s="1123"/>
      <c r="T10" s="1123"/>
      <c r="U10" s="1123"/>
      <c r="V10" s="1123"/>
      <c r="W10" s="1123"/>
      <c r="X10" s="1123"/>
      <c r="Y10" s="1123"/>
      <c r="Z10" s="1123"/>
      <c r="AA10" s="1123"/>
      <c r="AB10" s="1123"/>
      <c r="AC10" s="1123"/>
      <c r="AD10" s="1123"/>
    </row>
    <row r="11" spans="1:30" s="2" customFormat="1" ht="20.100000000000001" customHeight="1">
      <c r="A11" s="885" t="s">
        <v>146</v>
      </c>
      <c r="B11" s="886"/>
      <c r="C11" s="886"/>
      <c r="D11" s="886"/>
      <c r="E11" s="886"/>
      <c r="F11" s="886"/>
      <c r="G11" s="886"/>
      <c r="H11" s="886"/>
      <c r="I11" s="886"/>
      <c r="J11" s="886"/>
      <c r="K11" s="887"/>
      <c r="L11" s="880"/>
      <c r="M11" s="881"/>
      <c r="N11" s="880"/>
      <c r="O11" s="881"/>
      <c r="P11" s="1123"/>
      <c r="Q11" s="1123"/>
      <c r="R11" s="1123"/>
      <c r="S11" s="1123"/>
      <c r="T11" s="1123"/>
      <c r="U11" s="1123"/>
      <c r="V11" s="1123"/>
      <c r="W11" s="1123"/>
      <c r="X11" s="1123"/>
      <c r="Y11" s="1123"/>
      <c r="Z11" s="1123"/>
      <c r="AA11" s="1123"/>
      <c r="AB11" s="1123"/>
      <c r="AC11" s="1123"/>
      <c r="AD11" s="1123"/>
    </row>
    <row r="12" spans="1:30" s="2" customFormat="1" ht="20.100000000000001" customHeight="1">
      <c r="A12" s="883" t="s">
        <v>317</v>
      </c>
      <c r="B12" s="883"/>
      <c r="C12" s="883"/>
      <c r="D12" s="878">
        <v>22</v>
      </c>
      <c r="E12" s="879"/>
      <c r="F12" s="878">
        <v>17</v>
      </c>
      <c r="G12" s="879"/>
      <c r="H12" s="878">
        <f>ФОП!G173</f>
        <v>19</v>
      </c>
      <c r="I12" s="879"/>
      <c r="J12" s="878">
        <f>ФОП!G173</f>
        <v>19</v>
      </c>
      <c r="K12" s="879"/>
      <c r="L12" s="880">
        <f>J12/H12*100%</f>
        <v>1</v>
      </c>
      <c r="M12" s="881"/>
      <c r="N12" s="880">
        <f>J12/F12*100%</f>
        <v>1.1176470588235294</v>
      </c>
      <c r="O12" s="881"/>
      <c r="P12" s="1123"/>
      <c r="Q12" s="1123"/>
      <c r="R12" s="1123"/>
      <c r="S12" s="1123"/>
      <c r="T12" s="1123"/>
      <c r="U12" s="1123"/>
      <c r="V12" s="1123"/>
      <c r="W12" s="1123"/>
      <c r="X12" s="1123"/>
      <c r="Y12" s="1123"/>
      <c r="Z12" s="1123"/>
      <c r="AA12" s="1123"/>
      <c r="AB12" s="1123"/>
      <c r="AC12" s="1123"/>
      <c r="AD12" s="1123"/>
    </row>
    <row r="13" spans="1:30" s="2" customFormat="1" ht="20.100000000000001" customHeight="1">
      <c r="A13" s="883" t="s">
        <v>318</v>
      </c>
      <c r="B13" s="883"/>
      <c r="C13" s="883"/>
      <c r="D13" s="878">
        <v>13</v>
      </c>
      <c r="E13" s="879"/>
      <c r="F13" s="878">
        <v>13</v>
      </c>
      <c r="G13" s="879"/>
      <c r="H13" s="878">
        <v>26</v>
      </c>
      <c r="I13" s="879"/>
      <c r="J13" s="878">
        <f>ФОП!G174</f>
        <v>24</v>
      </c>
      <c r="K13" s="879"/>
      <c r="L13" s="880">
        <f t="shared" ref="L13:L33" si="0">J13/H13*100%</f>
        <v>0.92307692307692313</v>
      </c>
      <c r="M13" s="881"/>
      <c r="N13" s="880">
        <f t="shared" ref="N13:N33" si="1">J13/F13*100%</f>
        <v>1.8461538461538463</v>
      </c>
      <c r="O13" s="881"/>
      <c r="P13" s="1123"/>
      <c r="Q13" s="1123"/>
      <c r="R13" s="1123"/>
      <c r="S13" s="1123"/>
      <c r="T13" s="1123"/>
      <c r="U13" s="1123"/>
      <c r="V13" s="1123"/>
      <c r="W13" s="1123"/>
      <c r="X13" s="1123"/>
      <c r="Y13" s="1123"/>
      <c r="Z13" s="1123"/>
      <c r="AA13" s="1123"/>
      <c r="AB13" s="1123"/>
      <c r="AC13" s="1123"/>
      <c r="AD13" s="1123"/>
    </row>
    <row r="14" spans="1:30" s="2" customFormat="1" ht="20.100000000000001" customHeight="1">
      <c r="A14" s="883" t="s">
        <v>319</v>
      </c>
      <c r="B14" s="883"/>
      <c r="C14" s="883"/>
      <c r="D14" s="878">
        <v>13</v>
      </c>
      <c r="E14" s="879"/>
      <c r="F14" s="878">
        <v>12</v>
      </c>
      <c r="G14" s="879"/>
      <c r="H14" s="878">
        <v>21</v>
      </c>
      <c r="I14" s="879"/>
      <c r="J14" s="878">
        <f>ФОП!G175</f>
        <v>15</v>
      </c>
      <c r="K14" s="879"/>
      <c r="L14" s="880">
        <f t="shared" si="0"/>
        <v>0.7142857142857143</v>
      </c>
      <c r="M14" s="881"/>
      <c r="N14" s="880">
        <f t="shared" si="1"/>
        <v>1.25</v>
      </c>
      <c r="O14" s="881"/>
      <c r="P14" s="1123"/>
      <c r="Q14" s="1123"/>
      <c r="R14" s="1123"/>
      <c r="S14" s="1123"/>
      <c r="T14" s="1123"/>
      <c r="U14" s="1123"/>
      <c r="V14" s="1123"/>
      <c r="W14" s="1123"/>
      <c r="X14" s="1123"/>
      <c r="Y14" s="1123"/>
      <c r="Z14" s="1123"/>
      <c r="AA14" s="1123"/>
      <c r="AB14" s="1123"/>
      <c r="AC14" s="1123"/>
      <c r="AD14" s="1123"/>
    </row>
    <row r="15" spans="1:30" s="2" customFormat="1" ht="20.100000000000001" customHeight="1">
      <c r="A15" s="883" t="s">
        <v>320</v>
      </c>
      <c r="B15" s="883"/>
      <c r="C15" s="883"/>
      <c r="D15" s="878">
        <v>2</v>
      </c>
      <c r="E15" s="879"/>
      <c r="F15" s="878">
        <v>2</v>
      </c>
      <c r="G15" s="879"/>
      <c r="H15" s="878">
        <f>ФОП!G176</f>
        <v>2</v>
      </c>
      <c r="I15" s="879"/>
      <c r="J15" s="878">
        <f>ФОП!G176</f>
        <v>2</v>
      </c>
      <c r="K15" s="879"/>
      <c r="L15" s="880">
        <f t="shared" si="0"/>
        <v>1</v>
      </c>
      <c r="M15" s="881"/>
      <c r="N15" s="880">
        <f t="shared" si="1"/>
        <v>1</v>
      </c>
      <c r="O15" s="881"/>
      <c r="P15" s="1123"/>
      <c r="Q15" s="1123"/>
      <c r="R15" s="1123"/>
      <c r="S15" s="1123"/>
      <c r="T15" s="1123"/>
      <c r="U15" s="1123"/>
      <c r="V15" s="1123"/>
      <c r="W15" s="1123"/>
      <c r="X15" s="1123"/>
      <c r="Y15" s="1123"/>
      <c r="Z15" s="1123"/>
      <c r="AA15" s="1123"/>
      <c r="AB15" s="1123"/>
      <c r="AC15" s="1123"/>
      <c r="AD15" s="1123"/>
    </row>
    <row r="16" spans="1:30" s="2" customFormat="1" ht="20.100000000000001" customHeight="1">
      <c r="A16" s="883" t="s">
        <v>321</v>
      </c>
      <c r="B16" s="883"/>
      <c r="C16" s="883"/>
      <c r="D16" s="878">
        <v>162</v>
      </c>
      <c r="E16" s="879"/>
      <c r="F16" s="878">
        <v>196</v>
      </c>
      <c r="G16" s="879"/>
      <c r="H16" s="878">
        <v>192</v>
      </c>
      <c r="I16" s="879"/>
      <c r="J16" s="878">
        <f>ФОП!G177</f>
        <v>362</v>
      </c>
      <c r="K16" s="879"/>
      <c r="L16" s="880">
        <f t="shared" si="0"/>
        <v>1.8854166666666667</v>
      </c>
      <c r="M16" s="881"/>
      <c r="N16" s="880">
        <f t="shared" si="1"/>
        <v>1.846938775510204</v>
      </c>
      <c r="O16" s="881"/>
      <c r="P16" s="1123"/>
      <c r="Q16" s="1123"/>
      <c r="R16" s="1123"/>
      <c r="S16" s="1123"/>
      <c r="T16" s="1123"/>
      <c r="U16" s="1123"/>
      <c r="V16" s="1123"/>
      <c r="W16" s="1123"/>
      <c r="X16" s="1123"/>
      <c r="Y16" s="1123"/>
      <c r="Z16" s="1123"/>
      <c r="AA16" s="1123"/>
      <c r="AB16" s="1123"/>
      <c r="AC16" s="1123"/>
      <c r="AD16" s="1123"/>
    </row>
    <row r="17" spans="1:30" s="2" customFormat="1" ht="20.100000000000001" customHeight="1">
      <c r="A17" s="883" t="s">
        <v>322</v>
      </c>
      <c r="B17" s="883"/>
      <c r="C17" s="883"/>
      <c r="D17" s="878">
        <v>8</v>
      </c>
      <c r="E17" s="879"/>
      <c r="F17" s="878">
        <v>0</v>
      </c>
      <c r="G17" s="879"/>
      <c r="H17" s="878">
        <v>8</v>
      </c>
      <c r="I17" s="879"/>
      <c r="J17" s="878">
        <f>ФОП!G178</f>
        <v>2</v>
      </c>
      <c r="K17" s="879"/>
      <c r="L17" s="880">
        <f t="shared" si="0"/>
        <v>0.25</v>
      </c>
      <c r="M17" s="881"/>
      <c r="N17" s="880" t="e">
        <f t="shared" si="1"/>
        <v>#DIV/0!</v>
      </c>
      <c r="O17" s="881"/>
      <c r="P17" s="1123"/>
      <c r="Q17" s="1123"/>
      <c r="R17" s="1123"/>
      <c r="S17" s="1123"/>
      <c r="T17" s="1123"/>
      <c r="U17" s="1123"/>
      <c r="V17" s="1123"/>
      <c r="W17" s="1123"/>
      <c r="X17" s="1123"/>
      <c r="Y17" s="1123"/>
      <c r="Z17" s="1123"/>
      <c r="AA17" s="1123"/>
      <c r="AB17" s="1123"/>
      <c r="AC17" s="1123"/>
      <c r="AD17" s="1123"/>
    </row>
    <row r="18" spans="1:30" s="2" customFormat="1" ht="20.100000000000001" customHeight="1">
      <c r="A18" s="885" t="s">
        <v>293</v>
      </c>
      <c r="B18" s="886"/>
      <c r="C18" s="886"/>
      <c r="D18" s="886"/>
      <c r="E18" s="886"/>
      <c r="F18" s="886"/>
      <c r="G18" s="886"/>
      <c r="H18" s="886"/>
      <c r="I18" s="886"/>
      <c r="J18" s="886"/>
      <c r="K18" s="887"/>
      <c r="L18" s="880"/>
      <c r="M18" s="881"/>
      <c r="N18" s="880"/>
      <c r="O18" s="881"/>
      <c r="P18" s="1123"/>
      <c r="Q18" s="1123"/>
      <c r="R18" s="1123"/>
      <c r="S18" s="1123"/>
      <c r="T18" s="1123"/>
      <c r="U18" s="1123"/>
      <c r="V18" s="1123"/>
      <c r="W18" s="1123"/>
      <c r="X18" s="1123"/>
      <c r="Y18" s="1123"/>
      <c r="Z18" s="1123"/>
      <c r="AA18" s="1123"/>
      <c r="AB18" s="1123"/>
      <c r="AC18" s="1123"/>
      <c r="AD18" s="1123"/>
    </row>
    <row r="19" spans="1:30" s="2" customFormat="1" ht="20.100000000000001" customHeight="1">
      <c r="A19" s="894" t="s">
        <v>272</v>
      </c>
      <c r="B19" s="894"/>
      <c r="C19" s="894"/>
      <c r="D19" s="893">
        <v>201</v>
      </c>
      <c r="E19" s="893"/>
      <c r="F19" s="875">
        <v>486</v>
      </c>
      <c r="G19" s="876"/>
      <c r="H19" s="875">
        <v>329</v>
      </c>
      <c r="I19" s="876"/>
      <c r="J19" s="875">
        <f>ФОП!AB202/1000</f>
        <v>436.29216000000002</v>
      </c>
      <c r="K19" s="876"/>
      <c r="L19" s="880">
        <f>J19/H23*100%</f>
        <v>1.0880103740648379</v>
      </c>
      <c r="M19" s="881"/>
      <c r="N19" s="880">
        <f>J19/F23*100%</f>
        <v>0.73583647035013167</v>
      </c>
      <c r="O19" s="881"/>
      <c r="P19" s="1123"/>
      <c r="Q19" s="1123"/>
      <c r="R19" s="1123"/>
      <c r="S19" s="1123">
        <f>D19/$S$23</f>
        <v>7.8216203595610559E-3</v>
      </c>
      <c r="T19" s="1123"/>
      <c r="U19" s="1123">
        <f>$T$23*S19</f>
        <v>193.76893919682468</v>
      </c>
      <c r="V19" s="1123"/>
      <c r="W19" s="1123"/>
      <c r="X19" s="1123"/>
      <c r="Y19" s="1123"/>
      <c r="Z19" s="1123"/>
      <c r="AA19" s="1123"/>
      <c r="AB19" s="1123"/>
      <c r="AC19" s="1123"/>
      <c r="AD19" s="1123"/>
    </row>
    <row r="20" spans="1:30" s="2" customFormat="1" ht="20.100000000000001" customHeight="1">
      <c r="A20" s="894" t="s">
        <v>297</v>
      </c>
      <c r="B20" s="894"/>
      <c r="C20" s="894"/>
      <c r="D20" s="893">
        <v>4830</v>
      </c>
      <c r="E20" s="893"/>
      <c r="F20" s="875">
        <v>4638</v>
      </c>
      <c r="G20" s="876"/>
      <c r="H20" s="875">
        <v>5760</v>
      </c>
      <c r="I20" s="876"/>
      <c r="J20" s="875">
        <f>ФОП!AB205/1000-J19</f>
        <v>4495.8349500000004</v>
      </c>
      <c r="K20" s="876"/>
      <c r="L20" s="880">
        <f>J20/H24*100%</f>
        <v>0.63979435747829805</v>
      </c>
      <c r="M20" s="881"/>
      <c r="N20" s="880">
        <f>J20/F24*100%</f>
        <v>0.7945473511759592</v>
      </c>
      <c r="O20" s="881"/>
      <c r="P20" s="1124" t="s">
        <v>637</v>
      </c>
      <c r="Q20" s="1123"/>
      <c r="R20" s="1123"/>
      <c r="S20" s="1123">
        <f>D20/$S$23</f>
        <v>0.18795236983422833</v>
      </c>
      <c r="T20" s="1123"/>
      <c r="U20" s="1123">
        <f>T24*T27</f>
        <v>4600.8801744675848</v>
      </c>
      <c r="V20" s="1123"/>
      <c r="W20" s="1123"/>
      <c r="X20" s="1123"/>
      <c r="Y20" s="1123"/>
      <c r="Z20" s="1123"/>
      <c r="AA20" s="1123"/>
      <c r="AB20" s="1123"/>
      <c r="AC20" s="1123"/>
      <c r="AD20" s="1123"/>
    </row>
    <row r="21" spans="1:30" s="2" customFormat="1" ht="20.100000000000001" customHeight="1">
      <c r="A21" s="894" t="s">
        <v>273</v>
      </c>
      <c r="B21" s="894"/>
      <c r="C21" s="894"/>
      <c r="D21" s="893">
        <v>20667</v>
      </c>
      <c r="E21" s="893"/>
      <c r="F21" s="875">
        <v>19649</v>
      </c>
      <c r="G21" s="876"/>
      <c r="H21" s="875">
        <v>24722</v>
      </c>
      <c r="I21" s="876"/>
      <c r="J21" s="875">
        <f>ФОП!AB207/1000</f>
        <v>50855.733130000015</v>
      </c>
      <c r="K21" s="876"/>
      <c r="L21" s="880">
        <f>J21/H25*100%</f>
        <v>1.6928211547167304</v>
      </c>
      <c r="M21" s="881"/>
      <c r="N21" s="880">
        <f>J21/F25*100%</f>
        <v>2.1262731378079409</v>
      </c>
      <c r="O21" s="881"/>
      <c r="P21" s="1124" t="s">
        <v>638</v>
      </c>
      <c r="Q21" s="1123"/>
      <c r="R21" s="1123"/>
      <c r="S21" s="1123">
        <f>D21/$S$23</f>
        <v>0.80422600980621062</v>
      </c>
      <c r="T21" s="1123"/>
      <c r="U21" s="1125">
        <f>T28*T24</f>
        <v>19686.623305532416</v>
      </c>
      <c r="V21" s="1123"/>
      <c r="W21" s="1123"/>
      <c r="X21" s="1123"/>
      <c r="Y21" s="1123"/>
      <c r="Z21" s="1123"/>
      <c r="AA21" s="1123"/>
      <c r="AB21" s="1123"/>
      <c r="AC21" s="1123"/>
      <c r="AD21" s="1123"/>
    </row>
    <row r="22" spans="1:30" s="2" customFormat="1" ht="20.100000000000001" customHeight="1">
      <c r="A22" s="895" t="s">
        <v>294</v>
      </c>
      <c r="B22" s="896"/>
      <c r="C22" s="896"/>
      <c r="D22" s="896"/>
      <c r="E22" s="896"/>
      <c r="F22" s="896"/>
      <c r="G22" s="896"/>
      <c r="H22" s="896"/>
      <c r="I22" s="896"/>
      <c r="J22" s="896"/>
      <c r="K22" s="897"/>
      <c r="L22" s="880"/>
      <c r="M22" s="881"/>
      <c r="N22" s="880"/>
      <c r="O22" s="881"/>
      <c r="P22" s="1124"/>
      <c r="Q22" s="1123"/>
      <c r="R22" s="1123"/>
      <c r="S22" s="1123"/>
      <c r="T22" s="1123"/>
      <c r="U22" s="1123"/>
      <c r="V22" s="1123"/>
      <c r="W22" s="1123"/>
      <c r="X22" s="1123"/>
      <c r="Y22" s="1123"/>
      <c r="Z22" s="1123"/>
      <c r="AA22" s="1123"/>
      <c r="AB22" s="1123"/>
      <c r="AC22" s="1123"/>
      <c r="AD22" s="1123"/>
    </row>
    <row r="23" spans="1:30" s="2" customFormat="1" ht="20.100000000000001" customHeight="1">
      <c r="A23" s="894" t="s">
        <v>272</v>
      </c>
      <c r="B23" s="894"/>
      <c r="C23" s="894"/>
      <c r="D23" s="875">
        <v>201</v>
      </c>
      <c r="E23" s="876"/>
      <c r="F23" s="875">
        <f>F19*1.22</f>
        <v>592.91999999999996</v>
      </c>
      <c r="G23" s="876"/>
      <c r="H23" s="875">
        <v>401</v>
      </c>
      <c r="I23" s="876"/>
      <c r="J23" s="875">
        <f>ФОП!AB211/1000</f>
        <v>532.27643520000004</v>
      </c>
      <c r="K23" s="876"/>
      <c r="L23" s="880">
        <f>J23/H19*100%</f>
        <v>1.6178615051671734</v>
      </c>
      <c r="M23" s="881"/>
      <c r="N23" s="880">
        <f>J23/F19*100%</f>
        <v>1.0952190024691359</v>
      </c>
      <c r="O23" s="881"/>
      <c r="P23" s="1124"/>
      <c r="Q23" s="1123"/>
      <c r="R23" s="1123"/>
      <c r="S23" s="1125">
        <f>D23+D24+D25</f>
        <v>25698</v>
      </c>
      <c r="T23" s="1123">
        <v>24773.503479999999</v>
      </c>
      <c r="U23" s="1123"/>
      <c r="V23" s="1123"/>
      <c r="W23" s="1123"/>
      <c r="X23" s="1123"/>
      <c r="Y23" s="1123"/>
      <c r="Z23" s="1123"/>
      <c r="AA23" s="1123"/>
      <c r="AB23" s="1123"/>
      <c r="AC23" s="1123"/>
      <c r="AD23" s="1123"/>
    </row>
    <row r="24" spans="1:30" s="2" customFormat="1" ht="20.100000000000001" customHeight="1">
      <c r="A24" s="894" t="s">
        <v>297</v>
      </c>
      <c r="B24" s="894"/>
      <c r="C24" s="894"/>
      <c r="D24" s="875">
        <v>4830</v>
      </c>
      <c r="E24" s="876"/>
      <c r="F24" s="875">
        <f>F20*1.22</f>
        <v>5658.36</v>
      </c>
      <c r="G24" s="876"/>
      <c r="H24" s="875">
        <v>7027</v>
      </c>
      <c r="I24" s="876"/>
      <c r="J24" s="875">
        <f>ФОП!AB212/1000</f>
        <v>5458.1076047999995</v>
      </c>
      <c r="K24" s="876"/>
      <c r="L24" s="880">
        <f>J24/H20*100%</f>
        <v>0.94758812583333329</v>
      </c>
      <c r="M24" s="881"/>
      <c r="N24" s="880">
        <f>J24/F20*100%</f>
        <v>1.1768235456662353</v>
      </c>
      <c r="O24" s="881"/>
      <c r="P24" s="1124" t="s">
        <v>639</v>
      </c>
      <c r="Q24" s="1123"/>
      <c r="R24" s="1123"/>
      <c r="S24" s="1123"/>
      <c r="T24" s="1125">
        <f>T23-F19</f>
        <v>24287.503479999999</v>
      </c>
      <c r="U24" s="1123"/>
      <c r="V24" s="1123"/>
      <c r="W24" s="1123"/>
      <c r="X24" s="1123"/>
      <c r="Y24" s="1123"/>
      <c r="Z24" s="1123"/>
      <c r="AA24" s="1123"/>
      <c r="AB24" s="1123"/>
      <c r="AC24" s="1123"/>
      <c r="AD24" s="1123"/>
    </row>
    <row r="25" spans="1:30" s="2" customFormat="1" ht="20.100000000000001" customHeight="1">
      <c r="A25" s="894" t="s">
        <v>273</v>
      </c>
      <c r="B25" s="894"/>
      <c r="C25" s="894"/>
      <c r="D25" s="875">
        <v>20667</v>
      </c>
      <c r="E25" s="876"/>
      <c r="F25" s="875">
        <f>F21*1.22-54</f>
        <v>23917.78</v>
      </c>
      <c r="G25" s="876"/>
      <c r="H25" s="875">
        <v>30042</v>
      </c>
      <c r="I25" s="876"/>
      <c r="J25" s="875">
        <f>ФОП!AB213/1000</f>
        <v>61767.542810000006</v>
      </c>
      <c r="K25" s="876"/>
      <c r="L25" s="880">
        <f>J25/H21*100%</f>
        <v>2.4984848640886663</v>
      </c>
      <c r="M25" s="881"/>
      <c r="N25" s="880">
        <f>J25/F21*100%</f>
        <v>3.1435463794595147</v>
      </c>
      <c r="O25" s="881"/>
      <c r="P25" s="1124" t="s">
        <v>640</v>
      </c>
      <c r="Q25" s="1123"/>
      <c r="R25" s="1123"/>
      <c r="S25" s="1123"/>
      <c r="T25" s="1123"/>
      <c r="U25" s="1123"/>
      <c r="V25" s="1123"/>
      <c r="W25" s="1123"/>
      <c r="X25" s="1123"/>
      <c r="Y25" s="1123"/>
      <c r="Z25" s="1123"/>
      <c r="AA25" s="1123"/>
      <c r="AB25" s="1123"/>
      <c r="AC25" s="1123"/>
      <c r="AD25" s="1123"/>
    </row>
    <row r="26" spans="1:30" s="2" customFormat="1" ht="38.25" customHeight="1">
      <c r="A26" s="885" t="s">
        <v>323</v>
      </c>
      <c r="B26" s="886"/>
      <c r="C26" s="886"/>
      <c r="D26" s="886"/>
      <c r="E26" s="886"/>
      <c r="F26" s="886"/>
      <c r="G26" s="886"/>
      <c r="H26" s="886"/>
      <c r="I26" s="886"/>
      <c r="J26" s="886"/>
      <c r="K26" s="887"/>
      <c r="L26" s="880"/>
      <c r="M26" s="881"/>
      <c r="N26" s="880"/>
      <c r="O26" s="881"/>
      <c r="P26" s="1123"/>
      <c r="Q26" s="1123"/>
      <c r="R26" s="1123"/>
      <c r="S26" s="1123"/>
      <c r="T26" s="1123"/>
      <c r="U26" s="1123"/>
      <c r="V26" s="1123"/>
      <c r="W26" s="1123"/>
      <c r="X26" s="1123"/>
      <c r="Y26" s="1123"/>
      <c r="Z26" s="1123"/>
      <c r="AA26" s="1123"/>
      <c r="AB26" s="1123"/>
      <c r="AC26" s="1123"/>
      <c r="AD26" s="1123"/>
    </row>
    <row r="27" spans="1:30" s="2" customFormat="1" ht="39" customHeight="1">
      <c r="A27" s="894" t="s">
        <v>272</v>
      </c>
      <c r="B27" s="894"/>
      <c r="C27" s="894"/>
      <c r="D27" s="875">
        <v>16750</v>
      </c>
      <c r="E27" s="876"/>
      <c r="F27" s="875">
        <v>24243</v>
      </c>
      <c r="G27" s="876"/>
      <c r="H27" s="875">
        <v>27442</v>
      </c>
      <c r="I27" s="876"/>
      <c r="J27" s="878">
        <f>ФОП!AB216</f>
        <v>36357.68</v>
      </c>
      <c r="K27" s="879"/>
      <c r="L27" s="880">
        <f t="shared" si="0"/>
        <v>1.3248917717367539</v>
      </c>
      <c r="M27" s="881"/>
      <c r="N27" s="880">
        <f t="shared" si="1"/>
        <v>1.4997186816813102</v>
      </c>
      <c r="O27" s="881"/>
      <c r="P27" s="1123" t="s">
        <v>1140</v>
      </c>
      <c r="Q27" s="1123"/>
      <c r="R27" s="1123"/>
      <c r="S27" s="1125">
        <f>S23-D19</f>
        <v>25497</v>
      </c>
      <c r="T27" s="1126">
        <f>D20/S27</f>
        <v>0.18943405106483116</v>
      </c>
      <c r="U27" s="1123"/>
      <c r="V27" s="1123"/>
      <c r="W27" s="1123"/>
      <c r="X27" s="1123"/>
      <c r="Y27" s="1123"/>
      <c r="Z27" s="1123"/>
      <c r="AA27" s="1123"/>
      <c r="AB27" s="1123"/>
      <c r="AC27" s="1123"/>
      <c r="AD27" s="1123"/>
    </row>
    <row r="28" spans="1:30" s="2" customFormat="1" ht="20.100000000000001" customHeight="1">
      <c r="A28" s="894" t="s">
        <v>297</v>
      </c>
      <c r="B28" s="894"/>
      <c r="C28" s="894"/>
      <c r="D28" s="875">
        <v>9583</v>
      </c>
      <c r="E28" s="876"/>
      <c r="F28" s="875">
        <v>9202</v>
      </c>
      <c r="G28" s="876"/>
      <c r="H28" s="875">
        <v>8748</v>
      </c>
      <c r="I28" s="876"/>
      <c r="J28" s="875">
        <f>ФОП!AB217</f>
        <v>16614.380984848485</v>
      </c>
      <c r="K28" s="876"/>
      <c r="L28" s="880">
        <f t="shared" si="0"/>
        <v>1.8992205058125839</v>
      </c>
      <c r="M28" s="881"/>
      <c r="N28" s="880">
        <f t="shared" si="1"/>
        <v>1.8055184725981837</v>
      </c>
      <c r="O28" s="881"/>
      <c r="P28" s="1123"/>
      <c r="Q28" s="1123"/>
      <c r="R28" s="1123"/>
      <c r="S28" s="1123"/>
      <c r="T28" s="1123">
        <f>D25/S27</f>
        <v>0.81056594893516887</v>
      </c>
      <c r="U28" s="1123"/>
      <c r="V28" s="1123"/>
      <c r="W28" s="1123"/>
      <c r="X28" s="1123"/>
      <c r="Y28" s="1123"/>
      <c r="Z28" s="1123"/>
      <c r="AA28" s="1123"/>
      <c r="AB28" s="1123"/>
      <c r="AC28" s="1123"/>
      <c r="AD28" s="1123"/>
    </row>
    <row r="29" spans="1:30" s="2" customFormat="1" ht="20.100000000000001" customHeight="1">
      <c r="A29" s="894" t="s">
        <v>273</v>
      </c>
      <c r="B29" s="894"/>
      <c r="C29" s="894"/>
      <c r="D29" s="875">
        <v>9463</v>
      </c>
      <c r="E29" s="876"/>
      <c r="F29" s="875">
        <v>6298</v>
      </c>
      <c r="G29" s="876"/>
      <c r="H29" s="875">
        <v>4374</v>
      </c>
      <c r="I29" s="876"/>
      <c r="J29" s="875">
        <f>ФОП!AB218</f>
        <v>7240.1228595178754</v>
      </c>
      <c r="K29" s="876"/>
      <c r="L29" s="880">
        <f t="shared" si="0"/>
        <v>1.6552635709917412</v>
      </c>
      <c r="M29" s="881"/>
      <c r="N29" s="880">
        <f t="shared" si="1"/>
        <v>1.1495908001774968</v>
      </c>
      <c r="O29" s="881"/>
      <c r="P29" s="1123"/>
      <c r="Q29" s="1123"/>
      <c r="R29" s="1123"/>
      <c r="S29" s="1123"/>
      <c r="T29" s="1123"/>
      <c r="U29" s="1123"/>
      <c r="V29" s="1123"/>
      <c r="W29" s="1123"/>
      <c r="X29" s="1123"/>
      <c r="Y29" s="1123"/>
      <c r="Z29" s="1123"/>
      <c r="AA29" s="1123"/>
      <c r="AB29" s="1123"/>
      <c r="AC29" s="1123"/>
      <c r="AD29" s="1123"/>
    </row>
    <row r="30" spans="1:30" s="2" customFormat="1" ht="20.100000000000001" customHeight="1">
      <c r="A30" s="895" t="s">
        <v>324</v>
      </c>
      <c r="B30" s="896"/>
      <c r="C30" s="896"/>
      <c r="D30" s="896"/>
      <c r="E30" s="896"/>
      <c r="F30" s="896"/>
      <c r="G30" s="896"/>
      <c r="H30" s="896"/>
      <c r="I30" s="896"/>
      <c r="J30" s="896"/>
      <c r="K30" s="897"/>
      <c r="L30" s="880"/>
      <c r="M30" s="881"/>
      <c r="N30" s="880"/>
      <c r="O30" s="881"/>
      <c r="P30" s="1123"/>
      <c r="Q30" s="1123"/>
      <c r="R30" s="1123"/>
      <c r="S30" s="1123"/>
      <c r="T30" s="1123"/>
      <c r="U30" s="1123"/>
      <c r="V30" s="1123"/>
      <c r="W30" s="1123"/>
      <c r="X30" s="1123"/>
      <c r="Y30" s="1123"/>
      <c r="Z30" s="1123"/>
      <c r="AA30" s="1123"/>
      <c r="AB30" s="1123"/>
      <c r="AC30" s="1123"/>
      <c r="AD30" s="1123"/>
    </row>
    <row r="31" spans="1:30" s="2" customFormat="1" ht="39.75" customHeight="1">
      <c r="A31" s="894" t="s">
        <v>272</v>
      </c>
      <c r="B31" s="894"/>
      <c r="C31" s="894"/>
      <c r="D31" s="875">
        <v>16750</v>
      </c>
      <c r="E31" s="876"/>
      <c r="F31" s="875">
        <v>40527</v>
      </c>
      <c r="G31" s="876"/>
      <c r="H31" s="875">
        <f>H27</f>
        <v>27442</v>
      </c>
      <c r="I31" s="876"/>
      <c r="J31" s="878">
        <f>ФОП!AB221</f>
        <v>36357.68</v>
      </c>
      <c r="K31" s="879"/>
      <c r="L31" s="880">
        <f t="shared" si="0"/>
        <v>1.3248917717367539</v>
      </c>
      <c r="M31" s="881"/>
      <c r="N31" s="880">
        <f t="shared" si="1"/>
        <v>0.89712241221901445</v>
      </c>
      <c r="O31" s="881"/>
      <c r="P31" s="1123"/>
      <c r="Q31" s="1123"/>
      <c r="R31" s="1123"/>
      <c r="S31" s="1123"/>
      <c r="T31" s="1123"/>
      <c r="U31" s="1123"/>
      <c r="V31" s="1123"/>
      <c r="W31" s="1123"/>
      <c r="X31" s="1123"/>
      <c r="Y31" s="1123"/>
      <c r="Z31" s="1123"/>
      <c r="AA31" s="1123"/>
      <c r="AB31" s="1123"/>
      <c r="AC31" s="1123"/>
      <c r="AD31" s="1123"/>
    </row>
    <row r="32" spans="1:30" s="2" customFormat="1" ht="20.100000000000001" customHeight="1">
      <c r="A32" s="894" t="s">
        <v>297</v>
      </c>
      <c r="B32" s="894"/>
      <c r="C32" s="894"/>
      <c r="D32" s="875">
        <v>9583</v>
      </c>
      <c r="E32" s="876"/>
      <c r="F32" s="875">
        <v>9202</v>
      </c>
      <c r="G32" s="876"/>
      <c r="H32" s="875">
        <f>H28</f>
        <v>8748</v>
      </c>
      <c r="I32" s="876"/>
      <c r="J32" s="875">
        <f>ФОП!AB222</f>
        <v>17029.677840909091</v>
      </c>
      <c r="K32" s="876"/>
      <c r="L32" s="880">
        <f t="shared" si="0"/>
        <v>1.946693854699256</v>
      </c>
      <c r="M32" s="881"/>
      <c r="N32" s="880">
        <f t="shared" si="1"/>
        <v>1.8506496240935766</v>
      </c>
      <c r="O32" s="881"/>
      <c r="P32" s="1123"/>
      <c r="Q32" s="1123"/>
      <c r="R32" s="1123"/>
      <c r="S32" s="1123"/>
      <c r="T32" s="1123"/>
      <c r="U32" s="1123"/>
      <c r="V32" s="1123"/>
      <c r="W32" s="1123"/>
      <c r="X32" s="1123"/>
      <c r="Y32" s="1123"/>
      <c r="Z32" s="1123"/>
      <c r="AA32" s="1123"/>
      <c r="AB32" s="1123"/>
      <c r="AC32" s="1123"/>
      <c r="AD32" s="1123"/>
    </row>
    <row r="33" spans="1:30" s="2" customFormat="1" ht="20.100000000000001" customHeight="1">
      <c r="A33" s="894" t="s">
        <v>273</v>
      </c>
      <c r="B33" s="894"/>
      <c r="C33" s="894"/>
      <c r="D33" s="875">
        <v>9463</v>
      </c>
      <c r="E33" s="876"/>
      <c r="F33" s="875">
        <v>8997</v>
      </c>
      <c r="G33" s="876"/>
      <c r="H33" s="875">
        <v>8729</v>
      </c>
      <c r="I33" s="876"/>
      <c r="J33" s="875">
        <f>ФОП!AB223</f>
        <v>10568.523094347469</v>
      </c>
      <c r="K33" s="876"/>
      <c r="L33" s="880">
        <f t="shared" si="0"/>
        <v>1.2107369795334482</v>
      </c>
      <c r="M33" s="881"/>
      <c r="N33" s="880">
        <f t="shared" si="1"/>
        <v>1.1746719011167577</v>
      </c>
      <c r="O33" s="881"/>
      <c r="P33" s="1123"/>
      <c r="Q33" s="1123"/>
      <c r="R33" s="1123"/>
      <c r="S33" s="1123"/>
      <c r="T33" s="1123"/>
      <c r="U33" s="1123"/>
      <c r="V33" s="1123"/>
      <c r="W33" s="1123"/>
      <c r="X33" s="1123"/>
      <c r="Y33" s="1123"/>
      <c r="Z33" s="1123"/>
      <c r="AA33" s="1123"/>
      <c r="AB33" s="1123"/>
      <c r="AC33" s="1123"/>
      <c r="AD33" s="1123"/>
    </row>
    <row r="34" spans="1:30" ht="10.5" customHeight="1">
      <c r="A34" s="20"/>
      <c r="B34" s="20"/>
      <c r="C34" s="20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</row>
    <row r="35" spans="1:30" ht="20.100000000000001" customHeight="1">
      <c r="A35" s="902" t="s">
        <v>325</v>
      </c>
      <c r="B35" s="902"/>
      <c r="C35" s="902"/>
      <c r="D35" s="902"/>
      <c r="E35" s="902"/>
      <c r="F35" s="902"/>
      <c r="G35" s="902"/>
      <c r="H35" s="902"/>
      <c r="I35" s="902"/>
      <c r="J35" s="902"/>
      <c r="K35" s="902"/>
      <c r="L35" s="902"/>
      <c r="M35" s="902"/>
      <c r="N35" s="902"/>
      <c r="O35" s="902"/>
    </row>
    <row r="36" spans="1:30" ht="15" customHeight="1">
      <c r="A36" s="21"/>
      <c r="B36" s="21"/>
      <c r="C36" s="21"/>
      <c r="D36" s="21"/>
      <c r="E36" s="21"/>
      <c r="F36" s="21"/>
      <c r="G36" s="21"/>
      <c r="H36" s="21"/>
      <c r="I36" s="21"/>
    </row>
    <row r="37" spans="1:30" ht="21.95" customHeight="1">
      <c r="A37" s="898" t="s">
        <v>326</v>
      </c>
      <c r="B37" s="898"/>
      <c r="C37" s="898"/>
      <c r="D37" s="898"/>
      <c r="E37" s="898"/>
      <c r="F37" s="898"/>
      <c r="G37" s="898"/>
      <c r="H37" s="898"/>
      <c r="I37" s="898"/>
      <c r="J37" s="898"/>
      <c r="K37" s="898"/>
      <c r="L37" s="898"/>
      <c r="M37" s="898"/>
      <c r="N37" s="898"/>
      <c r="O37" s="898"/>
    </row>
    <row r="38" spans="1:30" ht="10.5" customHeight="1"/>
    <row r="39" spans="1:30" ht="60" customHeight="1">
      <c r="A39" s="36" t="s">
        <v>149</v>
      </c>
      <c r="B39" s="900" t="s">
        <v>327</v>
      </c>
      <c r="C39" s="901"/>
      <c r="D39" s="901"/>
      <c r="E39" s="901"/>
      <c r="F39" s="899" t="s">
        <v>93</v>
      </c>
      <c r="G39" s="899"/>
      <c r="H39" s="899"/>
      <c r="I39" s="899"/>
      <c r="J39" s="899"/>
      <c r="K39" s="899"/>
      <c r="L39" s="899"/>
      <c r="M39" s="899"/>
      <c r="N39" s="899"/>
      <c r="O39" s="899"/>
    </row>
    <row r="40" spans="1:30" ht="18" customHeight="1">
      <c r="A40" s="36">
        <v>1</v>
      </c>
      <c r="B40" s="900">
        <v>2</v>
      </c>
      <c r="C40" s="901"/>
      <c r="D40" s="901"/>
      <c r="E40" s="901"/>
      <c r="F40" s="899">
        <v>3</v>
      </c>
      <c r="G40" s="899"/>
      <c r="H40" s="899"/>
      <c r="I40" s="899"/>
      <c r="J40" s="899"/>
      <c r="K40" s="899"/>
      <c r="L40" s="899"/>
      <c r="M40" s="899"/>
      <c r="N40" s="899"/>
      <c r="O40" s="899"/>
    </row>
    <row r="41" spans="1:30" ht="20.100000000000001" customHeight="1">
      <c r="A41" s="158"/>
      <c r="B41" s="904"/>
      <c r="C41" s="905"/>
      <c r="D41" s="905"/>
      <c r="E41" s="905"/>
      <c r="F41" s="903"/>
      <c r="G41" s="903"/>
      <c r="H41" s="903"/>
      <c r="I41" s="903"/>
      <c r="J41" s="903"/>
      <c r="K41" s="903"/>
      <c r="L41" s="903"/>
      <c r="M41" s="903"/>
      <c r="N41" s="903"/>
      <c r="O41" s="903"/>
    </row>
    <row r="42" spans="1:30" ht="20.100000000000001" customHeight="1">
      <c r="A42" s="158"/>
      <c r="B42" s="904"/>
      <c r="C42" s="905"/>
      <c r="D42" s="905"/>
      <c r="E42" s="905"/>
      <c r="F42" s="903"/>
      <c r="G42" s="903"/>
      <c r="H42" s="903"/>
      <c r="I42" s="903"/>
      <c r="J42" s="903"/>
      <c r="K42" s="903"/>
      <c r="L42" s="903"/>
      <c r="M42" s="903"/>
      <c r="N42" s="903"/>
      <c r="O42" s="903"/>
    </row>
    <row r="43" spans="1:30" ht="20.100000000000001" customHeight="1">
      <c r="A43" s="158"/>
      <c r="B43" s="904"/>
      <c r="C43" s="905"/>
      <c r="D43" s="905"/>
      <c r="E43" s="905"/>
      <c r="F43" s="903"/>
      <c r="G43" s="903"/>
      <c r="H43" s="903"/>
      <c r="I43" s="903"/>
      <c r="J43" s="903"/>
      <c r="K43" s="903"/>
      <c r="L43" s="903"/>
      <c r="M43" s="903"/>
      <c r="N43" s="903"/>
      <c r="O43" s="903"/>
    </row>
    <row r="44" spans="1:30" ht="20.100000000000001" customHeight="1">
      <c r="A44" s="158"/>
      <c r="B44" s="904"/>
      <c r="C44" s="905"/>
      <c r="D44" s="905"/>
      <c r="E44" s="905"/>
      <c r="F44" s="903"/>
      <c r="G44" s="903"/>
      <c r="H44" s="903"/>
      <c r="I44" s="903"/>
      <c r="J44" s="903"/>
      <c r="K44" s="903"/>
      <c r="L44" s="903"/>
      <c r="M44" s="903"/>
      <c r="N44" s="903"/>
      <c r="O44" s="903"/>
    </row>
    <row r="45" spans="1:30" ht="20.100000000000001" customHeight="1">
      <c r="A45" s="158"/>
      <c r="B45" s="904"/>
      <c r="C45" s="905"/>
      <c r="D45" s="905"/>
      <c r="E45" s="905"/>
      <c r="F45" s="903"/>
      <c r="G45" s="903"/>
      <c r="H45" s="903"/>
      <c r="I45" s="903"/>
      <c r="J45" s="903"/>
      <c r="K45" s="903"/>
      <c r="L45" s="903"/>
      <c r="M45" s="903"/>
      <c r="N45" s="903"/>
      <c r="O45" s="903"/>
    </row>
    <row r="46" spans="1:30" ht="20.100000000000001" customHeight="1">
      <c r="A46" s="158"/>
      <c r="B46" s="904"/>
      <c r="C46" s="905"/>
      <c r="D46" s="905"/>
      <c r="E46" s="905"/>
      <c r="F46" s="903"/>
      <c r="G46" s="903"/>
      <c r="H46" s="903"/>
      <c r="I46" s="903"/>
      <c r="J46" s="903"/>
      <c r="K46" s="903"/>
      <c r="L46" s="903"/>
      <c r="M46" s="903"/>
      <c r="N46" s="903"/>
      <c r="O46" s="903"/>
    </row>
    <row r="47" spans="1:30" ht="20.100000000000001" customHeight="1">
      <c r="A47" s="158"/>
      <c r="B47" s="904"/>
      <c r="C47" s="905"/>
      <c r="D47" s="905"/>
      <c r="E47" s="905"/>
      <c r="F47" s="903"/>
      <c r="G47" s="903"/>
      <c r="H47" s="903"/>
      <c r="I47" s="903"/>
      <c r="J47" s="903"/>
      <c r="K47" s="903"/>
      <c r="L47" s="903"/>
      <c r="M47" s="903"/>
      <c r="N47" s="903"/>
      <c r="O47" s="903"/>
    </row>
    <row r="48" spans="1:30" ht="20.100000000000001" customHeight="1">
      <c r="A48" s="158"/>
      <c r="B48" s="904"/>
      <c r="C48" s="905"/>
      <c r="D48" s="905"/>
      <c r="E48" s="905"/>
      <c r="F48" s="904"/>
      <c r="G48" s="905"/>
      <c r="H48" s="905"/>
      <c r="I48" s="905"/>
      <c r="J48" s="905"/>
      <c r="K48" s="905"/>
      <c r="L48" s="905"/>
      <c r="M48" s="905"/>
      <c r="N48" s="905"/>
      <c r="O48" s="914"/>
    </row>
    <row r="49" spans="1:15" ht="20.100000000000001" customHeight="1">
      <c r="A49" s="158"/>
      <c r="B49" s="904"/>
      <c r="C49" s="905"/>
      <c r="D49" s="905"/>
      <c r="E49" s="914"/>
      <c r="F49" s="904"/>
      <c r="G49" s="905"/>
      <c r="H49" s="905"/>
      <c r="I49" s="905"/>
      <c r="J49" s="905"/>
      <c r="K49" s="905"/>
      <c r="L49" s="905"/>
      <c r="M49" s="905"/>
      <c r="N49" s="905"/>
      <c r="O49" s="914"/>
    </row>
    <row r="50" spans="1:15" ht="20.100000000000001" customHeight="1">
      <c r="A50" s="68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1:15" ht="21.95" customHeight="1">
      <c r="A51" s="915" t="s">
        <v>252</v>
      </c>
      <c r="B51" s="915"/>
      <c r="C51" s="915"/>
      <c r="D51" s="915"/>
      <c r="E51" s="915"/>
      <c r="F51" s="915"/>
      <c r="G51" s="915"/>
      <c r="H51" s="915"/>
      <c r="I51" s="915"/>
      <c r="J51" s="915"/>
    </row>
    <row r="52" spans="1:15" ht="20.100000000000001" customHeight="1">
      <c r="A52" s="16"/>
    </row>
    <row r="53" spans="1:15" ht="63.95" customHeight="1">
      <c r="A53" s="906" t="s">
        <v>274</v>
      </c>
      <c r="B53" s="906" t="s">
        <v>328</v>
      </c>
      <c r="C53" s="906"/>
      <c r="D53" s="909" t="s">
        <v>1021</v>
      </c>
      <c r="E53" s="909"/>
      <c r="F53" s="909"/>
      <c r="G53" s="909" t="s">
        <v>1025</v>
      </c>
      <c r="H53" s="909"/>
      <c r="I53" s="909"/>
      <c r="J53" s="910" t="s">
        <v>1023</v>
      </c>
      <c r="K53" s="911"/>
      <c r="L53" s="912"/>
      <c r="M53" s="909" t="s">
        <v>1022</v>
      </c>
      <c r="N53" s="909"/>
      <c r="O53" s="909"/>
    </row>
    <row r="54" spans="1:15" ht="168.75">
      <c r="A54" s="906"/>
      <c r="B54" s="7" t="s">
        <v>79</v>
      </c>
      <c r="C54" s="7" t="s">
        <v>80</v>
      </c>
      <c r="D54" s="444" t="s">
        <v>329</v>
      </c>
      <c r="E54" s="444" t="s">
        <v>330</v>
      </c>
      <c r="F54" s="444" t="s">
        <v>331</v>
      </c>
      <c r="G54" s="416" t="s">
        <v>329</v>
      </c>
      <c r="H54" s="416" t="s">
        <v>330</v>
      </c>
      <c r="I54" s="416" t="s">
        <v>331</v>
      </c>
      <c r="J54" s="7" t="s">
        <v>329</v>
      </c>
      <c r="K54" s="7" t="s">
        <v>330</v>
      </c>
      <c r="L54" s="7" t="s">
        <v>331</v>
      </c>
      <c r="M54" s="7" t="s">
        <v>329</v>
      </c>
      <c r="N54" s="7" t="s">
        <v>330</v>
      </c>
      <c r="O54" s="7" t="s">
        <v>331</v>
      </c>
    </row>
    <row r="55" spans="1:15" ht="18" customHeight="1">
      <c r="A55" s="7">
        <v>1</v>
      </c>
      <c r="B55" s="7">
        <v>2</v>
      </c>
      <c r="C55" s="7">
        <v>3</v>
      </c>
      <c r="D55" s="444">
        <v>4</v>
      </c>
      <c r="E55" s="444">
        <v>5</v>
      </c>
      <c r="F55" s="444">
        <v>6</v>
      </c>
      <c r="G55" s="416">
        <v>7</v>
      </c>
      <c r="H55" s="415">
        <v>8</v>
      </c>
      <c r="I55" s="415">
        <v>9</v>
      </c>
      <c r="J55" s="6">
        <v>10</v>
      </c>
      <c r="K55" s="6">
        <v>11</v>
      </c>
      <c r="L55" s="6">
        <v>12</v>
      </c>
      <c r="M55" s="6">
        <v>13</v>
      </c>
      <c r="N55" s="6">
        <v>14</v>
      </c>
      <c r="O55" s="6">
        <v>15</v>
      </c>
    </row>
    <row r="56" spans="1:15" ht="46.5" customHeight="1">
      <c r="A56" s="159" t="s">
        <v>1034</v>
      </c>
      <c r="B56" s="473">
        <f>D56/D61</f>
        <v>0.81879494376684181</v>
      </c>
      <c r="C56" s="473">
        <f>M56/M61</f>
        <v>0.79829108729677078</v>
      </c>
      <c r="D56" s="183">
        <f>'Розшифр дох 2017'!G2/1000</f>
        <v>51809.720266666664</v>
      </c>
      <c r="E56" s="183">
        <f>D56/F56/10</f>
        <v>28.06198491364524</v>
      </c>
      <c r="F56" s="447">
        <f>205.14*0.9</f>
        <v>184.626</v>
      </c>
      <c r="G56" s="421">
        <v>155473</v>
      </c>
      <c r="H56" s="421">
        <v>253</v>
      </c>
      <c r="I56" s="421">
        <v>205.14</v>
      </c>
      <c r="J56" s="106">
        <v>135686</v>
      </c>
      <c r="K56" s="106">
        <v>689.81600000000003</v>
      </c>
      <c r="L56" s="268">
        <f>J56/K56/1000*1000</f>
        <v>196.69882983288295</v>
      </c>
      <c r="M56" s="183">
        <f>'I. Фін результат'!I8</f>
        <v>191666.66666666669</v>
      </c>
      <c r="N56" s="268">
        <f>M56/O56</f>
        <v>847.31905526976516</v>
      </c>
      <c r="O56" s="439">
        <f>L56*1.15</f>
        <v>226.20365430781538</v>
      </c>
    </row>
    <row r="57" spans="1:15" ht="54" customHeight="1">
      <c r="A57" s="159" t="s">
        <v>1035</v>
      </c>
      <c r="B57" s="473">
        <f>D57/D61</f>
        <v>2.5378573309249926E-2</v>
      </c>
      <c r="C57" s="473">
        <f>M57/M61</f>
        <v>0.1066239226163339</v>
      </c>
      <c r="D57" s="183">
        <f>'Розшифр дох 2017'!G7/1000</f>
        <v>1605.8438000000001</v>
      </c>
      <c r="E57" s="183">
        <f>D57/F57*1000</f>
        <v>2745.8347653758624</v>
      </c>
      <c r="F57" s="268">
        <f>649.81*0.9</f>
        <v>584.82899999999995</v>
      </c>
      <c r="G57" s="421">
        <v>2501</v>
      </c>
      <c r="H57" s="421">
        <v>3849</v>
      </c>
      <c r="I57" s="421">
        <v>649.80999999999995</v>
      </c>
      <c r="J57" s="106">
        <v>6483</v>
      </c>
      <c r="K57" s="106">
        <v>5472</v>
      </c>
      <c r="L57" s="268">
        <f>J57/K57*1000</f>
        <v>1184.7587719298244</v>
      </c>
      <c r="M57" s="183">
        <f>'I. Фін результат'!I9</f>
        <v>25600</v>
      </c>
      <c r="N57" s="421">
        <v>23273</v>
      </c>
      <c r="O57" s="183">
        <f>M57/N57*1000</f>
        <v>1099.9871095260603</v>
      </c>
    </row>
    <row r="58" spans="1:15" ht="31.5" customHeight="1">
      <c r="A58" s="159" t="s">
        <v>413</v>
      </c>
      <c r="B58" s="473">
        <f>D58/D61</f>
        <v>3.6865889837306133E-2</v>
      </c>
      <c r="C58" s="474">
        <f>M58/M61</f>
        <v>1.2099316218767578E-2</v>
      </c>
      <c r="D58" s="183">
        <f>'Розшифр дох 2017'!G3/1000+'Розшифр дох 2017'!G5/1000+'Розшифр дох 2017'!G6/1000+'Розшифр дох 2017'!G8/1000</f>
        <v>2332.7103500000003</v>
      </c>
      <c r="E58" s="447"/>
      <c r="F58" s="447"/>
      <c r="G58" s="421">
        <v>227</v>
      </c>
      <c r="H58" s="421">
        <v>6262</v>
      </c>
      <c r="I58" s="421">
        <v>36.25</v>
      </c>
      <c r="J58" s="106">
        <v>1805</v>
      </c>
      <c r="K58" s="106"/>
      <c r="L58" s="106"/>
      <c r="M58" s="183">
        <f>'I. Фін результат'!I10+'I. Фін результат'!I11</f>
        <v>2905</v>
      </c>
      <c r="N58" s="421"/>
      <c r="O58" s="421"/>
    </row>
    <row r="59" spans="1:15" ht="40.5" customHeight="1">
      <c r="A59" s="159" t="s">
        <v>1037</v>
      </c>
      <c r="B59" s="473">
        <f>D59/D61</f>
        <v>0.11896059308660209</v>
      </c>
      <c r="C59" s="473">
        <f>M59/M61</f>
        <v>8.2985673868127746E-2</v>
      </c>
      <c r="D59" s="183">
        <f>'Розшифр дох 2017'!G4/1000</f>
        <v>7527.299841666666</v>
      </c>
      <c r="E59" s="183">
        <f>D59/F59</f>
        <v>167.13961812031854</v>
      </c>
      <c r="F59" s="447">
        <f>I59*0.9</f>
        <v>45.036000000000001</v>
      </c>
      <c r="G59" s="421">
        <v>12060</v>
      </c>
      <c r="H59" s="421">
        <v>241</v>
      </c>
      <c r="I59" s="421">
        <v>50.04</v>
      </c>
      <c r="J59" s="106">
        <v>8624</v>
      </c>
      <c r="K59" s="106">
        <v>108</v>
      </c>
      <c r="L59" s="440">
        <f>J59/K59-0.3</f>
        <v>79.55185185185185</v>
      </c>
      <c r="M59" s="183">
        <f>'I. Фін результат'!I12</f>
        <v>19924.546001448878</v>
      </c>
      <c r="N59" s="183">
        <f>M59/O59</f>
        <v>217.79118614910811</v>
      </c>
      <c r="O59" s="268">
        <f>L59*1.15</f>
        <v>91.484629629629623</v>
      </c>
    </row>
    <row r="60" spans="1:15" ht="30" customHeight="1">
      <c r="A60" s="159" t="s">
        <v>1024</v>
      </c>
      <c r="B60" s="421"/>
      <c r="C60" s="421"/>
      <c r="D60" s="447"/>
      <c r="E60" s="447"/>
      <c r="F60" s="447"/>
      <c r="G60" s="421"/>
      <c r="H60" s="421"/>
      <c r="I60" s="421"/>
      <c r="J60" s="421">
        <v>-2070</v>
      </c>
      <c r="K60" s="421"/>
      <c r="L60" s="440"/>
      <c r="M60" s="183"/>
      <c r="N60" s="421"/>
      <c r="O60" s="421"/>
    </row>
    <row r="61" spans="1:15" ht="20.100000000000001" customHeight="1">
      <c r="A61" s="160" t="s">
        <v>61</v>
      </c>
      <c r="B61" s="73">
        <v>100</v>
      </c>
      <c r="C61" s="73">
        <v>100</v>
      </c>
      <c r="D61" s="187">
        <f>SUM(D56:D59)</f>
        <v>63275.574258333334</v>
      </c>
      <c r="E61" s="447"/>
      <c r="F61" s="147"/>
      <c r="G61" s="422">
        <f>SUM(G56:G59)</f>
        <v>170261</v>
      </c>
      <c r="H61" s="147"/>
      <c r="I61" s="147"/>
      <c r="J61" s="90">
        <f>SUM(J56:J60)</f>
        <v>150528</v>
      </c>
      <c r="K61" s="147"/>
      <c r="L61" s="147"/>
      <c r="M61" s="182">
        <f>SUM(M56:M59)</f>
        <v>240096.21266811556</v>
      </c>
      <c r="N61" s="147"/>
      <c r="O61" s="147"/>
    </row>
    <row r="62" spans="1:15" ht="20.100000000000001" customHeight="1">
      <c r="A62" s="18"/>
      <c r="B62" s="19"/>
      <c r="C62" s="19"/>
      <c r="D62" s="19"/>
      <c r="E62" s="19"/>
      <c r="F62" s="411"/>
      <c r="G62" s="411"/>
      <c r="H62" s="411"/>
      <c r="I62" s="420"/>
      <c r="J62" s="5"/>
      <c r="K62" s="5"/>
      <c r="L62" s="5"/>
      <c r="M62" s="5"/>
      <c r="N62" s="5"/>
      <c r="O62" s="5"/>
    </row>
    <row r="63" spans="1:15" ht="21.95" customHeight="1">
      <c r="A63" s="898" t="s">
        <v>81</v>
      </c>
      <c r="B63" s="898"/>
      <c r="C63" s="898"/>
      <c r="D63" s="898"/>
      <c r="E63" s="898"/>
      <c r="F63" s="898"/>
      <c r="G63" s="898"/>
      <c r="H63" s="898"/>
      <c r="I63" s="898"/>
      <c r="J63" s="898"/>
      <c r="K63" s="898"/>
      <c r="L63" s="898"/>
      <c r="M63" s="898"/>
      <c r="N63" s="898"/>
      <c r="O63" s="898"/>
    </row>
    <row r="64" spans="1:15" ht="20.100000000000001" customHeight="1">
      <c r="A64" s="16"/>
    </row>
    <row r="65" spans="1:15" ht="63.95" customHeight="1">
      <c r="A65" s="7" t="s">
        <v>139</v>
      </c>
      <c r="B65" s="906" t="s">
        <v>78</v>
      </c>
      <c r="C65" s="906"/>
      <c r="D65" s="906" t="s">
        <v>73</v>
      </c>
      <c r="E65" s="906"/>
      <c r="F65" s="906" t="s">
        <v>74</v>
      </c>
      <c r="G65" s="906"/>
      <c r="H65" s="906" t="s">
        <v>332</v>
      </c>
      <c r="I65" s="906"/>
      <c r="J65" s="906"/>
      <c r="K65" s="907" t="s">
        <v>94</v>
      </c>
      <c r="L65" s="908"/>
      <c r="M65" s="907" t="s">
        <v>38</v>
      </c>
      <c r="N65" s="913"/>
      <c r="O65" s="908"/>
    </row>
    <row r="66" spans="1:15" ht="18" customHeight="1">
      <c r="A66" s="6">
        <v>1</v>
      </c>
      <c r="B66" s="899">
        <v>2</v>
      </c>
      <c r="C66" s="899"/>
      <c r="D66" s="899">
        <v>3</v>
      </c>
      <c r="E66" s="899"/>
      <c r="F66" s="917">
        <v>4</v>
      </c>
      <c r="G66" s="917"/>
      <c r="H66" s="899">
        <v>5</v>
      </c>
      <c r="I66" s="899"/>
      <c r="J66" s="899"/>
      <c r="K66" s="899">
        <v>6</v>
      </c>
      <c r="L66" s="899"/>
      <c r="M66" s="900">
        <v>7</v>
      </c>
      <c r="N66" s="901"/>
      <c r="O66" s="920"/>
    </row>
    <row r="67" spans="1:15" ht="20.100000000000001" customHeight="1">
      <c r="A67" s="159"/>
      <c r="B67" s="916"/>
      <c r="C67" s="916"/>
      <c r="D67" s="916"/>
      <c r="E67" s="916"/>
      <c r="F67" s="916"/>
      <c r="G67" s="916"/>
      <c r="H67" s="916"/>
      <c r="I67" s="916"/>
      <c r="J67" s="916"/>
      <c r="K67" s="918"/>
      <c r="L67" s="919"/>
      <c r="M67" s="916"/>
      <c r="N67" s="916"/>
      <c r="O67" s="916"/>
    </row>
    <row r="68" spans="1:15" ht="20.100000000000001" customHeight="1">
      <c r="A68" s="159"/>
      <c r="B68" s="918"/>
      <c r="C68" s="919"/>
      <c r="D68" s="918"/>
      <c r="E68" s="919"/>
      <c r="F68" s="918"/>
      <c r="G68" s="919"/>
      <c r="H68" s="918"/>
      <c r="I68" s="922"/>
      <c r="J68" s="919"/>
      <c r="K68" s="918"/>
      <c r="L68" s="919"/>
      <c r="M68" s="918"/>
      <c r="N68" s="922"/>
      <c r="O68" s="919"/>
    </row>
    <row r="69" spans="1:15" ht="20.100000000000001" customHeight="1">
      <c r="A69" s="159"/>
      <c r="B69" s="916"/>
      <c r="C69" s="916"/>
      <c r="D69" s="916"/>
      <c r="E69" s="916"/>
      <c r="F69" s="916"/>
      <c r="G69" s="916"/>
      <c r="H69" s="916"/>
      <c r="I69" s="916"/>
      <c r="J69" s="916"/>
      <c r="K69" s="918"/>
      <c r="L69" s="919"/>
      <c r="M69" s="916"/>
      <c r="N69" s="916"/>
      <c r="O69" s="916"/>
    </row>
    <row r="70" spans="1:15" ht="20.100000000000001" customHeight="1">
      <c r="A70" s="160" t="s">
        <v>61</v>
      </c>
      <c r="B70" s="921" t="s">
        <v>39</v>
      </c>
      <c r="C70" s="921"/>
      <c r="D70" s="921" t="s">
        <v>39</v>
      </c>
      <c r="E70" s="921"/>
      <c r="F70" s="921" t="s">
        <v>39</v>
      </c>
      <c r="G70" s="921"/>
      <c r="H70" s="916"/>
      <c r="I70" s="916"/>
      <c r="J70" s="916"/>
      <c r="K70" s="930">
        <f>SUM(K67:L69)</f>
        <v>0</v>
      </c>
      <c r="L70" s="931"/>
      <c r="M70" s="916"/>
      <c r="N70" s="916"/>
      <c r="O70" s="916"/>
    </row>
    <row r="71" spans="1:15" ht="20.100000000000001" customHeight="1">
      <c r="A71" s="10"/>
      <c r="B71" s="22"/>
      <c r="C71" s="22"/>
      <c r="D71" s="22"/>
      <c r="E71" s="22"/>
      <c r="F71" s="22"/>
      <c r="G71" s="22"/>
      <c r="H71" s="22"/>
      <c r="I71" s="22"/>
      <c r="J71" s="22"/>
      <c r="K71" s="2"/>
      <c r="L71" s="2"/>
      <c r="M71" s="2"/>
      <c r="N71" s="2"/>
      <c r="O71" s="2"/>
    </row>
    <row r="72" spans="1:15" ht="21.95" customHeight="1">
      <c r="A72" s="898" t="s">
        <v>82</v>
      </c>
      <c r="B72" s="898"/>
      <c r="C72" s="898"/>
      <c r="D72" s="898"/>
      <c r="E72" s="898"/>
      <c r="F72" s="898"/>
      <c r="G72" s="898"/>
      <c r="H72" s="898"/>
      <c r="I72" s="898"/>
      <c r="J72" s="898"/>
      <c r="K72" s="898"/>
      <c r="L72" s="898"/>
      <c r="M72" s="898"/>
      <c r="N72" s="898"/>
      <c r="O72" s="898"/>
    </row>
    <row r="73" spans="1:15" ht="20.100000000000001" customHeight="1">
      <c r="A73" s="5"/>
      <c r="B73" s="14"/>
      <c r="C73" s="5"/>
      <c r="D73" s="5"/>
      <c r="E73" s="5"/>
      <c r="F73" s="420"/>
      <c r="G73" s="420"/>
      <c r="H73" s="420"/>
      <c r="I73" s="13"/>
    </row>
    <row r="74" spans="1:15" ht="63.95" customHeight="1">
      <c r="A74" s="909" t="s">
        <v>72</v>
      </c>
      <c r="B74" s="909"/>
      <c r="C74" s="909"/>
      <c r="D74" s="909" t="s">
        <v>95</v>
      </c>
      <c r="E74" s="909"/>
      <c r="F74" s="909"/>
      <c r="G74" s="909" t="s">
        <v>359</v>
      </c>
      <c r="H74" s="909"/>
      <c r="I74" s="909"/>
      <c r="J74" s="909" t="s">
        <v>353</v>
      </c>
      <c r="K74" s="909"/>
      <c r="L74" s="909"/>
      <c r="M74" s="909" t="s">
        <v>96</v>
      </c>
      <c r="N74" s="909"/>
      <c r="O74" s="909"/>
    </row>
    <row r="75" spans="1:15" ht="18" customHeight="1">
      <c r="A75" s="909">
        <v>1</v>
      </c>
      <c r="B75" s="909"/>
      <c r="C75" s="909"/>
      <c r="D75" s="909">
        <v>2</v>
      </c>
      <c r="E75" s="909"/>
      <c r="F75" s="909"/>
      <c r="G75" s="909">
        <v>3</v>
      </c>
      <c r="H75" s="909"/>
      <c r="I75" s="909"/>
      <c r="J75" s="925">
        <v>4</v>
      </c>
      <c r="K75" s="925"/>
      <c r="L75" s="925"/>
      <c r="M75" s="925">
        <v>5</v>
      </c>
      <c r="N75" s="925"/>
      <c r="O75" s="925"/>
    </row>
    <row r="76" spans="1:15" ht="20.100000000000001" customHeight="1">
      <c r="A76" s="932" t="s">
        <v>333</v>
      </c>
      <c r="B76" s="932"/>
      <c r="C76" s="932"/>
      <c r="D76" s="924"/>
      <c r="E76" s="924"/>
      <c r="F76" s="924"/>
      <c r="G76" s="926"/>
      <c r="H76" s="926"/>
      <c r="I76" s="926"/>
      <c r="J76" s="924"/>
      <c r="K76" s="924"/>
      <c r="L76" s="924"/>
      <c r="M76" s="924"/>
      <c r="N76" s="924"/>
      <c r="O76" s="924"/>
    </row>
    <row r="77" spans="1:15" ht="20.100000000000001" customHeight="1">
      <c r="A77" s="932" t="s">
        <v>117</v>
      </c>
      <c r="B77" s="932"/>
      <c r="C77" s="932"/>
      <c r="D77" s="924"/>
      <c r="E77" s="924"/>
      <c r="F77" s="924"/>
      <c r="G77" s="926"/>
      <c r="H77" s="926"/>
      <c r="I77" s="926"/>
      <c r="J77" s="924"/>
      <c r="K77" s="924"/>
      <c r="L77" s="924"/>
      <c r="M77" s="924"/>
      <c r="N77" s="924"/>
      <c r="O77" s="924"/>
    </row>
    <row r="78" spans="1:15" ht="20.100000000000001" customHeight="1">
      <c r="A78" s="932"/>
      <c r="B78" s="932"/>
      <c r="C78" s="932"/>
      <c r="D78" s="878"/>
      <c r="E78" s="923"/>
      <c r="F78" s="879"/>
      <c r="G78" s="927"/>
      <c r="H78" s="928"/>
      <c r="I78" s="929"/>
      <c r="J78" s="878"/>
      <c r="K78" s="923"/>
      <c r="L78" s="879"/>
      <c r="M78" s="878"/>
      <c r="N78" s="923"/>
      <c r="O78" s="879"/>
    </row>
    <row r="79" spans="1:15" ht="20.100000000000001" customHeight="1">
      <c r="A79" s="932" t="s">
        <v>334</v>
      </c>
      <c r="B79" s="932"/>
      <c r="C79" s="932"/>
      <c r="D79" s="924"/>
      <c r="E79" s="924"/>
      <c r="F79" s="924"/>
      <c r="G79" s="926"/>
      <c r="H79" s="926"/>
      <c r="I79" s="926"/>
      <c r="J79" s="924"/>
      <c r="K79" s="924"/>
      <c r="L79" s="924"/>
      <c r="M79" s="924"/>
      <c r="N79" s="924"/>
      <c r="O79" s="924"/>
    </row>
    <row r="80" spans="1:15" ht="20.100000000000001" customHeight="1">
      <c r="A80" s="932" t="s">
        <v>118</v>
      </c>
      <c r="B80" s="932"/>
      <c r="C80" s="932"/>
      <c r="D80" s="924"/>
      <c r="E80" s="924"/>
      <c r="F80" s="924"/>
      <c r="G80" s="926"/>
      <c r="H80" s="926"/>
      <c r="I80" s="926"/>
      <c r="J80" s="924"/>
      <c r="K80" s="924"/>
      <c r="L80" s="924"/>
      <c r="M80" s="924"/>
      <c r="N80" s="924"/>
      <c r="O80" s="924"/>
    </row>
    <row r="81" spans="1:15" ht="20.100000000000001" customHeight="1">
      <c r="A81" s="932"/>
      <c r="B81" s="932"/>
      <c r="C81" s="932"/>
      <c r="D81" s="878"/>
      <c r="E81" s="923"/>
      <c r="F81" s="879"/>
      <c r="G81" s="927"/>
      <c r="H81" s="928"/>
      <c r="I81" s="929"/>
      <c r="J81" s="878"/>
      <c r="K81" s="923"/>
      <c r="L81" s="879"/>
      <c r="M81" s="878"/>
      <c r="N81" s="923"/>
      <c r="O81" s="879"/>
    </row>
    <row r="82" spans="1:15" ht="20.100000000000001" customHeight="1">
      <c r="A82" s="932" t="s">
        <v>335</v>
      </c>
      <c r="B82" s="932"/>
      <c r="C82" s="932"/>
      <c r="D82" s="924"/>
      <c r="E82" s="924"/>
      <c r="F82" s="924"/>
      <c r="G82" s="926"/>
      <c r="H82" s="926"/>
      <c r="I82" s="926"/>
      <c r="J82" s="924"/>
      <c r="K82" s="924"/>
      <c r="L82" s="924"/>
      <c r="M82" s="924"/>
      <c r="N82" s="924"/>
      <c r="O82" s="924"/>
    </row>
    <row r="83" spans="1:15" ht="20.100000000000001" customHeight="1">
      <c r="A83" s="932" t="s">
        <v>117</v>
      </c>
      <c r="B83" s="932"/>
      <c r="C83" s="932"/>
      <c r="D83" s="924"/>
      <c r="E83" s="924"/>
      <c r="F83" s="924"/>
      <c r="G83" s="926"/>
      <c r="H83" s="926"/>
      <c r="I83" s="926"/>
      <c r="J83" s="924"/>
      <c r="K83" s="924"/>
      <c r="L83" s="924"/>
      <c r="M83" s="924"/>
      <c r="N83" s="924"/>
      <c r="O83" s="924"/>
    </row>
    <row r="84" spans="1:15" ht="20.100000000000001" customHeight="1">
      <c r="A84" s="933"/>
      <c r="B84" s="934"/>
      <c r="C84" s="935"/>
      <c r="D84" s="924"/>
      <c r="E84" s="924"/>
      <c r="F84" s="924"/>
      <c r="G84" s="926"/>
      <c r="H84" s="926"/>
      <c r="I84" s="926"/>
      <c r="J84" s="924"/>
      <c r="K84" s="924"/>
      <c r="L84" s="924"/>
      <c r="M84" s="924"/>
      <c r="N84" s="924"/>
      <c r="O84" s="924"/>
    </row>
    <row r="85" spans="1:15" ht="20.100000000000001" customHeight="1">
      <c r="A85" s="933" t="s">
        <v>61</v>
      </c>
      <c r="B85" s="934"/>
      <c r="C85" s="935"/>
      <c r="D85" s="936"/>
      <c r="E85" s="936"/>
      <c r="F85" s="936"/>
      <c r="G85" s="937"/>
      <c r="H85" s="937"/>
      <c r="I85" s="937"/>
      <c r="J85" s="924"/>
      <c r="K85" s="924"/>
      <c r="L85" s="924"/>
      <c r="M85" s="924"/>
      <c r="N85" s="924"/>
      <c r="O85" s="924"/>
    </row>
    <row r="86" spans="1:15">
      <c r="C86" s="28"/>
      <c r="D86" s="28"/>
      <c r="E86" s="28"/>
    </row>
    <row r="87" spans="1:15">
      <c r="C87" s="28"/>
      <c r="D87" s="28"/>
      <c r="E87" s="28"/>
    </row>
    <row r="88" spans="1:15">
      <c r="C88" s="28"/>
      <c r="D88" s="28"/>
      <c r="E88" s="28"/>
    </row>
    <row r="89" spans="1:15">
      <c r="C89" s="28"/>
      <c r="D89" s="28"/>
      <c r="E89" s="28"/>
    </row>
    <row r="90" spans="1:15">
      <c r="C90" s="28"/>
      <c r="D90" s="28"/>
      <c r="E90" s="28"/>
    </row>
    <row r="91" spans="1:15">
      <c r="C91" s="28"/>
      <c r="D91" s="28"/>
      <c r="E91" s="28"/>
    </row>
    <row r="92" spans="1:15">
      <c r="C92" s="28"/>
      <c r="D92" s="28"/>
      <c r="E92" s="28"/>
    </row>
    <row r="93" spans="1:15">
      <c r="C93" s="28"/>
      <c r="D93" s="28"/>
      <c r="E93" s="28"/>
    </row>
    <row r="94" spans="1:15">
      <c r="C94" s="28"/>
      <c r="D94" s="28"/>
      <c r="E94" s="28"/>
    </row>
    <row r="95" spans="1:15">
      <c r="C95" s="28"/>
      <c r="D95" s="28"/>
      <c r="E95" s="28"/>
    </row>
    <row r="96" spans="1:15">
      <c r="C96" s="28"/>
      <c r="D96" s="28"/>
      <c r="E96" s="28"/>
    </row>
    <row r="97" spans="3:5">
      <c r="C97" s="28"/>
      <c r="D97" s="28"/>
      <c r="E97" s="28"/>
    </row>
    <row r="98" spans="3:5">
      <c r="C98" s="28"/>
      <c r="D98" s="28"/>
      <c r="E98" s="28"/>
    </row>
    <row r="99" spans="3:5">
      <c r="C99" s="28"/>
      <c r="D99" s="28"/>
      <c r="E99" s="28"/>
    </row>
  </sheetData>
  <sheetProtection insertColumns="0" insertRows="0"/>
  <mergeCells count="291">
    <mergeCell ref="D80:F80"/>
    <mergeCell ref="G80:I80"/>
    <mergeCell ref="G81:I81"/>
    <mergeCell ref="A81:C81"/>
    <mergeCell ref="D81:F81"/>
    <mergeCell ref="A85:C85"/>
    <mergeCell ref="D85:F85"/>
    <mergeCell ref="G85:I85"/>
    <mergeCell ref="A82:C82"/>
    <mergeCell ref="D82:F82"/>
    <mergeCell ref="G82:I82"/>
    <mergeCell ref="J85:L85"/>
    <mergeCell ref="M84:O84"/>
    <mergeCell ref="J83:L83"/>
    <mergeCell ref="M85:O85"/>
    <mergeCell ref="M83:O83"/>
    <mergeCell ref="J82:L82"/>
    <mergeCell ref="J84:L84"/>
    <mergeCell ref="M82:O82"/>
    <mergeCell ref="A77:C77"/>
    <mergeCell ref="D77:F77"/>
    <mergeCell ref="G77:I77"/>
    <mergeCell ref="J77:L77"/>
    <mergeCell ref="J80:L80"/>
    <mergeCell ref="M80:O80"/>
    <mergeCell ref="M81:O81"/>
    <mergeCell ref="J81:L81"/>
    <mergeCell ref="A83:C83"/>
    <mergeCell ref="A84:C84"/>
    <mergeCell ref="G84:I84"/>
    <mergeCell ref="D84:F84"/>
    <mergeCell ref="A80:C80"/>
    <mergeCell ref="G83:I83"/>
    <mergeCell ref="A79:C79"/>
    <mergeCell ref="D83:F83"/>
    <mergeCell ref="K68:L68"/>
    <mergeCell ref="H69:J69"/>
    <mergeCell ref="M77:O77"/>
    <mergeCell ref="M78:O78"/>
    <mergeCell ref="G79:I79"/>
    <mergeCell ref="G78:I78"/>
    <mergeCell ref="J78:L78"/>
    <mergeCell ref="J75:L75"/>
    <mergeCell ref="K69:L69"/>
    <mergeCell ref="M69:O69"/>
    <mergeCell ref="K70:L70"/>
    <mergeCell ref="M70:O70"/>
    <mergeCell ref="M74:O74"/>
    <mergeCell ref="H70:J70"/>
    <mergeCell ref="G75:I75"/>
    <mergeCell ref="A72:O72"/>
    <mergeCell ref="A74:C74"/>
    <mergeCell ref="M76:O76"/>
    <mergeCell ref="A76:C76"/>
    <mergeCell ref="D76:F76"/>
    <mergeCell ref="J76:L76"/>
    <mergeCell ref="G76:I76"/>
    <mergeCell ref="M68:O68"/>
    <mergeCell ref="A78:C78"/>
    <mergeCell ref="D78:F78"/>
    <mergeCell ref="M79:O79"/>
    <mergeCell ref="J79:L79"/>
    <mergeCell ref="D79:F79"/>
    <mergeCell ref="D74:F74"/>
    <mergeCell ref="G74:I74"/>
    <mergeCell ref="J74:L74"/>
    <mergeCell ref="M75:O75"/>
    <mergeCell ref="A75:C75"/>
    <mergeCell ref="D75:F75"/>
    <mergeCell ref="B70:C70"/>
    <mergeCell ref="D70:E70"/>
    <mergeCell ref="F70:G70"/>
    <mergeCell ref="H68:J68"/>
    <mergeCell ref="B69:C69"/>
    <mergeCell ref="B68:C68"/>
    <mergeCell ref="D68:E68"/>
    <mergeCell ref="F68:G68"/>
    <mergeCell ref="D69:E69"/>
    <mergeCell ref="F69:G69"/>
    <mergeCell ref="M67:O67"/>
    <mergeCell ref="B66:C66"/>
    <mergeCell ref="F66:G66"/>
    <mergeCell ref="H66:J66"/>
    <mergeCell ref="B67:C67"/>
    <mergeCell ref="H67:J67"/>
    <mergeCell ref="K67:L67"/>
    <mergeCell ref="D66:E66"/>
    <mergeCell ref="D67:E67"/>
    <mergeCell ref="F67:G67"/>
    <mergeCell ref="K66:L66"/>
    <mergeCell ref="M66:O66"/>
    <mergeCell ref="A53:A54"/>
    <mergeCell ref="B48:E48"/>
    <mergeCell ref="B49:E49"/>
    <mergeCell ref="F47:O47"/>
    <mergeCell ref="B47:E47"/>
    <mergeCell ref="D32:E32"/>
    <mergeCell ref="H32:I32"/>
    <mergeCell ref="A51:J51"/>
    <mergeCell ref="B53:C53"/>
    <mergeCell ref="D53:F53"/>
    <mergeCell ref="F48:O48"/>
    <mergeCell ref="F49:O49"/>
    <mergeCell ref="B46:E46"/>
    <mergeCell ref="F46:O46"/>
    <mergeCell ref="B41:E41"/>
    <mergeCell ref="F41:O41"/>
    <mergeCell ref="L15:M15"/>
    <mergeCell ref="L14:M14"/>
    <mergeCell ref="J15:K15"/>
    <mergeCell ref="L19:M19"/>
    <mergeCell ref="H17:I17"/>
    <mergeCell ref="L18:M18"/>
    <mergeCell ref="L17:M17"/>
    <mergeCell ref="H21:I21"/>
    <mergeCell ref="H65:J65"/>
    <mergeCell ref="K65:L65"/>
    <mergeCell ref="G53:I53"/>
    <mergeCell ref="J53:L53"/>
    <mergeCell ref="M53:O53"/>
    <mergeCell ref="M65:O65"/>
    <mergeCell ref="A63:O63"/>
    <mergeCell ref="B65:C65"/>
    <mergeCell ref="D65:E65"/>
    <mergeCell ref="F65:G65"/>
    <mergeCell ref="A21:C21"/>
    <mergeCell ref="D21:E21"/>
    <mergeCell ref="A29:C29"/>
    <mergeCell ref="A32:C32"/>
    <mergeCell ref="L22:M22"/>
    <mergeCell ref="H25:I25"/>
    <mergeCell ref="A23:C23"/>
    <mergeCell ref="F45:O45"/>
    <mergeCell ref="B45:E45"/>
    <mergeCell ref="N23:O23"/>
    <mergeCell ref="A24:C24"/>
    <mergeCell ref="A27:C27"/>
    <mergeCell ref="D27:E27"/>
    <mergeCell ref="J29:K29"/>
    <mergeCell ref="L29:M29"/>
    <mergeCell ref="N29:O29"/>
    <mergeCell ref="H29:I29"/>
    <mergeCell ref="A28:C28"/>
    <mergeCell ref="D28:E28"/>
    <mergeCell ref="H28:I28"/>
    <mergeCell ref="L25:M25"/>
    <mergeCell ref="A31:C31"/>
    <mergeCell ref="D31:E31"/>
    <mergeCell ref="N25:O25"/>
    <mergeCell ref="F44:O44"/>
    <mergeCell ref="B42:E42"/>
    <mergeCell ref="B44:E44"/>
    <mergeCell ref="B43:E43"/>
    <mergeCell ref="F43:O43"/>
    <mergeCell ref="F42:O42"/>
    <mergeCell ref="L28:M28"/>
    <mergeCell ref="A37:O37"/>
    <mergeCell ref="F40:O40"/>
    <mergeCell ref="B40:E40"/>
    <mergeCell ref="F39:O39"/>
    <mergeCell ref="B39:E39"/>
    <mergeCell ref="A35:O35"/>
    <mergeCell ref="L32:M32"/>
    <mergeCell ref="N32:O32"/>
    <mergeCell ref="N33:O33"/>
    <mergeCell ref="A33:C33"/>
    <mergeCell ref="D33:E33"/>
    <mergeCell ref="H33:I33"/>
    <mergeCell ref="J33:K33"/>
    <mergeCell ref="L33:M33"/>
    <mergeCell ref="N22:O22"/>
    <mergeCell ref="J25:K25"/>
    <mergeCell ref="D29:E29"/>
    <mergeCell ref="L24:M24"/>
    <mergeCell ref="N24:O24"/>
    <mergeCell ref="A25:C25"/>
    <mergeCell ref="F31:G31"/>
    <mergeCell ref="H24:I24"/>
    <mergeCell ref="J24:K24"/>
    <mergeCell ref="A22:K22"/>
    <mergeCell ref="N27:O27"/>
    <mergeCell ref="N31:O31"/>
    <mergeCell ref="L31:M31"/>
    <mergeCell ref="L30:M30"/>
    <mergeCell ref="L27:M27"/>
    <mergeCell ref="F27:G27"/>
    <mergeCell ref="H27:I27"/>
    <mergeCell ref="J27:K27"/>
    <mergeCell ref="L23:M23"/>
    <mergeCell ref="D23:E23"/>
    <mergeCell ref="N30:O30"/>
    <mergeCell ref="A30:K30"/>
    <mergeCell ref="N28:O28"/>
    <mergeCell ref="J28:K28"/>
    <mergeCell ref="A19:C19"/>
    <mergeCell ref="N20:O20"/>
    <mergeCell ref="N14:O14"/>
    <mergeCell ref="N13:O13"/>
    <mergeCell ref="D14:E14"/>
    <mergeCell ref="A14:C14"/>
    <mergeCell ref="F14:G14"/>
    <mergeCell ref="N26:O26"/>
    <mergeCell ref="N15:O15"/>
    <mergeCell ref="L13:M13"/>
    <mergeCell ref="A26:K26"/>
    <mergeCell ref="L16:M16"/>
    <mergeCell ref="N16:O16"/>
    <mergeCell ref="A17:C17"/>
    <mergeCell ref="D17:E17"/>
    <mergeCell ref="N17:O17"/>
    <mergeCell ref="J20:K20"/>
    <mergeCell ref="H20:I20"/>
    <mergeCell ref="L20:M20"/>
    <mergeCell ref="D20:E20"/>
    <mergeCell ref="J21:K21"/>
    <mergeCell ref="L26:M26"/>
    <mergeCell ref="D24:E24"/>
    <mergeCell ref="D25:E25"/>
    <mergeCell ref="A13:C13"/>
    <mergeCell ref="A15:C15"/>
    <mergeCell ref="H16:I16"/>
    <mergeCell ref="H15:I15"/>
    <mergeCell ref="D15:E15"/>
    <mergeCell ref="N19:O19"/>
    <mergeCell ref="N21:O21"/>
    <mergeCell ref="L21:M21"/>
    <mergeCell ref="N18:O18"/>
    <mergeCell ref="D19:E19"/>
    <mergeCell ref="F19:G19"/>
    <mergeCell ref="H19:I19"/>
    <mergeCell ref="D16:E16"/>
    <mergeCell ref="F16:G16"/>
    <mergeCell ref="A16:C16"/>
    <mergeCell ref="J14:K14"/>
    <mergeCell ref="H14:I14"/>
    <mergeCell ref="J16:K16"/>
    <mergeCell ref="J13:K13"/>
    <mergeCell ref="H13:I13"/>
    <mergeCell ref="F13:G13"/>
    <mergeCell ref="D13:E13"/>
    <mergeCell ref="A18:K18"/>
    <mergeCell ref="A20:C20"/>
    <mergeCell ref="A1:O1"/>
    <mergeCell ref="A2:O2"/>
    <mergeCell ref="A3:O3"/>
    <mergeCell ref="D9:E9"/>
    <mergeCell ref="F9:G9"/>
    <mergeCell ref="A9:C9"/>
    <mergeCell ref="N9:O9"/>
    <mergeCell ref="A4:O4"/>
    <mergeCell ref="A7:O7"/>
    <mergeCell ref="J9:K9"/>
    <mergeCell ref="H9:I9"/>
    <mergeCell ref="A5:O5"/>
    <mergeCell ref="L9:M9"/>
    <mergeCell ref="N12:O12"/>
    <mergeCell ref="H10:I10"/>
    <mergeCell ref="N10:O10"/>
    <mergeCell ref="N11:O11"/>
    <mergeCell ref="L11:M11"/>
    <mergeCell ref="H12:I12"/>
    <mergeCell ref="J12:K12"/>
    <mergeCell ref="A12:C12"/>
    <mergeCell ref="A10:C10"/>
    <mergeCell ref="J10:K10"/>
    <mergeCell ref="D10:E10"/>
    <mergeCell ref="F10:G10"/>
    <mergeCell ref="L12:M12"/>
    <mergeCell ref="A11:K11"/>
    <mergeCell ref="D12:E12"/>
    <mergeCell ref="L10:M10"/>
    <mergeCell ref="F20:G20"/>
    <mergeCell ref="F21:G21"/>
    <mergeCell ref="F24:G24"/>
    <mergeCell ref="F25:G25"/>
    <mergeCell ref="F28:G28"/>
    <mergeCell ref="F29:G29"/>
    <mergeCell ref="F32:G32"/>
    <mergeCell ref="F33:G33"/>
    <mergeCell ref="J8:K8"/>
    <mergeCell ref="F15:G15"/>
    <mergeCell ref="F23:G23"/>
    <mergeCell ref="H31:I31"/>
    <mergeCell ref="J32:K32"/>
    <mergeCell ref="J31:K31"/>
    <mergeCell ref="F12:G12"/>
    <mergeCell ref="J17:K17"/>
    <mergeCell ref="F17:G17"/>
    <mergeCell ref="J23:K23"/>
    <mergeCell ref="H23:I23"/>
    <mergeCell ref="J19:K19"/>
  </mergeCells>
  <phoneticPr fontId="6" type="noConversion"/>
  <pageMargins left="1.1811023622047245" right="0.39370078740157483" top="0.78740157480314965" bottom="0.78740157480314965" header="0.27559055118110237" footer="0.15748031496062992"/>
  <pageSetup paperSize="9" scale="44" orientation="landscape" horizontalDpi="300" verticalDpi="300" r:id="rId1"/>
  <headerFooter alignWithMargins="0"/>
  <rowBreaks count="1" manualBreakCount="1">
    <brk id="49" max="14" man="1"/>
  </rowBreaks>
  <ignoredErrors>
    <ignoredError sqref="E61:I61 K61:M6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14</vt:i4>
      </vt:variant>
    </vt:vector>
  </HeadingPairs>
  <TitlesOfParts>
    <vt:vector size="30" baseType="lpstr">
      <vt:lpstr>ФОП</vt:lpstr>
      <vt:lpstr>Лист1</vt:lpstr>
      <vt:lpstr>Осн. фін. пок.</vt:lpstr>
      <vt:lpstr>I. Фін результат</vt:lpstr>
      <vt:lpstr>ІІ. Розр. з бюджетом</vt:lpstr>
      <vt:lpstr>ІІІ. Рух грош. коштів</vt:lpstr>
      <vt:lpstr>IV. Кап. інвестиції</vt:lpstr>
      <vt:lpstr> V. Коефіцієнти</vt:lpstr>
      <vt:lpstr>6.1. Інша інфо_1</vt:lpstr>
      <vt:lpstr>6.2. Інша інфо_2</vt:lpstr>
      <vt:lpstr>Соль  ПІСОК  (3)</vt:lpstr>
      <vt:lpstr>штатка</vt:lpstr>
      <vt:lpstr>Лист2</vt:lpstr>
      <vt:lpstr>Розшифр дох 2017</vt:lpstr>
      <vt:lpstr>штатка (2)</vt:lpstr>
      <vt:lpstr>ФОП (2)</vt:lpstr>
      <vt:lpstr>' V. Коефіцієнти'!Заголовки_для_печати</vt:lpstr>
      <vt:lpstr>'I. Фін результат'!Заголовки_для_печати</vt:lpstr>
      <vt:lpstr>'ІІ. Розр. з бюджетом'!Заголовки_для_печати</vt:lpstr>
      <vt:lpstr>'ІІІ. Рух грош. коштів'!Заголовки_для_печати</vt:lpstr>
      <vt:lpstr>'Осн. фін. пок.'!Заголовки_для_печати</vt:lpstr>
      <vt:lpstr>' V. Коефіцієнти'!Область_печати</vt:lpstr>
      <vt:lpstr>'6.1. Інша інфо_1'!Область_печати</vt:lpstr>
      <vt:lpstr>'6.2. Інша інфо_2'!Область_печати</vt:lpstr>
      <vt:lpstr>'I. Фін результат'!Область_печати</vt:lpstr>
      <vt:lpstr>'IV. Кап. інвестиції'!Область_печати</vt:lpstr>
      <vt:lpstr>'ІІ. Розр. з бюджетом'!Область_печати</vt:lpstr>
      <vt:lpstr>'ІІІ. Рух грош. коштів'!Область_печати</vt:lpstr>
      <vt:lpstr>'Осн. фін. пок.'!Область_печати</vt:lpstr>
      <vt:lpstr>'Соль  ПІСОК  (3)'!Область_печати</vt:lpstr>
    </vt:vector>
  </TitlesOfParts>
  <Company>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Уреа</cp:lastModifiedBy>
  <cp:lastPrinted>2019-02-22T06:00:16Z</cp:lastPrinted>
  <dcterms:created xsi:type="dcterms:W3CDTF">2003-03-13T16:00:22Z</dcterms:created>
  <dcterms:modified xsi:type="dcterms:W3CDTF">2020-06-10T11:23:54Z</dcterms:modified>
</cp:coreProperties>
</file>