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45" windowWidth="12000" windowHeight="6420" tabRatio="837" activeTab="1"/>
  </bookViews>
  <sheets>
    <sheet name="Лист1" sheetId="20" r:id="rId1"/>
    <sheet name="Осн. фін. пок." sheetId="14" r:id="rId2"/>
    <sheet name="I. Фін результат" sheetId="2" r:id="rId3"/>
    <sheet name="ІІ. Розр. з бюджетом" sheetId="19" r:id="rId4"/>
    <sheet name="ІІІ. Рух грош. коштів" sheetId="18" r:id="rId5"/>
    <sheet name="IV. Кап. інвестиції" sheetId="3" r:id="rId6"/>
    <sheet name=" V. Коефіцієнти" sheetId="11" r:id="rId7"/>
    <sheet name="6.1. Інша інфо_1" sheetId="10" r:id="rId8"/>
    <sheet name="Исправления по ЗП" sheetId="22" r:id="rId9"/>
    <sheet name="штатка" sheetId="21" r:id="rId10"/>
    <sheet name="6.2. Інша інфо_2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123Graph_XGRAPH3" hidden="1">[1]GDP!#REF!</definedName>
    <definedName name="_GoBack" localSheetId="9">штатка!$B$16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6">' V. Коефіцієнти'!$5:$5</definedName>
    <definedName name="_xlnm.Print_Titles" localSheetId="2">'I. Фін результат'!$5:$5</definedName>
    <definedName name="_xlnm.Print_Titles" localSheetId="3">'ІІ. Розр. з бюджетом'!$5:$5</definedName>
    <definedName name="_xlnm.Print_Titles" localSheetId="4">'ІІІ. Рух грош. коштів'!$5:$5</definedName>
    <definedName name="_xlnm.Print_Titles" localSheetId="1">'Осн. фін. пок.'!$36:$36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6">' V. Коефіцієнти'!$A$1:$H$26</definedName>
    <definedName name="_xlnm.Print_Area" localSheetId="7">'6.1. Інша інфо_1'!$A$1:$O$82</definedName>
    <definedName name="_xlnm.Print_Area" localSheetId="10">'6.2. Інша інфо_2'!$A$1:$AE$80</definedName>
    <definedName name="_xlnm.Print_Area" localSheetId="2">'I. Фін результат'!$A$1:$J$105</definedName>
    <definedName name="_xlnm.Print_Area" localSheetId="5">'IV. Кап. інвестиції'!$A$1:$I$16</definedName>
    <definedName name="_xlnm.Print_Area" localSheetId="3">'ІІ. Розр. з бюджетом'!$A$1:$I$41</definedName>
    <definedName name="_xlnm.Print_Area" localSheetId="4">'ІІІ. Рух грош. коштів'!$A$1:$I$77</definedName>
    <definedName name="_xlnm.Print_Area" localSheetId="1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Y53" i="9" l="1"/>
  <c r="Z53" i="9"/>
  <c r="Y54" i="9"/>
  <c r="Z54" i="9"/>
  <c r="X54" i="9"/>
  <c r="N57" i="9"/>
  <c r="L57" i="9"/>
  <c r="M57" i="9"/>
  <c r="K57" i="9"/>
  <c r="S57" i="9"/>
  <c r="E12" i="18"/>
  <c r="G14" i="18"/>
  <c r="G12" i="18" s="1"/>
  <c r="H14" i="18"/>
  <c r="H12" i="18" s="1"/>
  <c r="I14" i="18"/>
  <c r="I12" i="18" s="1"/>
  <c r="F14" i="18"/>
  <c r="F12" i="18" s="1"/>
  <c r="M51" i="21"/>
  <c r="J29" i="10" s="1"/>
  <c r="M50" i="21"/>
  <c r="J28" i="10" s="1"/>
  <c r="E31" i="22"/>
  <c r="O31" i="22" s="1"/>
  <c r="E30" i="22"/>
  <c r="O30" i="22" s="1"/>
  <c r="E27" i="22"/>
  <c r="N27" i="22" s="1"/>
  <c r="D22" i="22"/>
  <c r="O22" i="22" s="1"/>
  <c r="H13" i="22"/>
  <c r="O13" i="22" s="1"/>
  <c r="H12" i="22"/>
  <c r="O12" i="22" s="1"/>
  <c r="H9" i="22"/>
  <c r="O9" i="22" s="1"/>
  <c r="H8" i="22"/>
  <c r="O8" i="22" s="1"/>
  <c r="H7" i="22"/>
  <c r="C25" i="22" s="1"/>
  <c r="E25" i="22" s="1"/>
  <c r="H6" i="22"/>
  <c r="O6" i="22" s="1"/>
  <c r="H4" i="22"/>
  <c r="O4" i="22" s="1"/>
  <c r="S9" i="21"/>
  <c r="S10" i="21"/>
  <c r="S11" i="21"/>
  <c r="S12" i="21"/>
  <c r="S13" i="21"/>
  <c r="S14" i="21"/>
  <c r="S15" i="21"/>
  <c r="S16" i="21"/>
  <c r="S17" i="21"/>
  <c r="S18" i="21"/>
  <c r="S8" i="21"/>
  <c r="S6" i="21"/>
  <c r="S5" i="21"/>
  <c r="R9" i="21"/>
  <c r="R10" i="21"/>
  <c r="R11" i="21"/>
  <c r="R12" i="21"/>
  <c r="R13" i="21"/>
  <c r="R14" i="21"/>
  <c r="R15" i="21"/>
  <c r="R16" i="21"/>
  <c r="R17" i="21"/>
  <c r="R18" i="21"/>
  <c r="R8" i="21"/>
  <c r="R6" i="21"/>
  <c r="R5" i="21"/>
  <c r="Q9" i="21"/>
  <c r="Q10" i="21"/>
  <c r="Q11" i="21"/>
  <c r="Q12" i="21"/>
  <c r="Q13" i="21"/>
  <c r="Q14" i="21"/>
  <c r="Q15" i="21"/>
  <c r="Q16" i="21"/>
  <c r="Q17" i="21"/>
  <c r="Q18" i="21"/>
  <c r="Q8" i="21"/>
  <c r="Q6" i="21"/>
  <c r="Q5" i="21"/>
  <c r="P9" i="21"/>
  <c r="P10" i="21"/>
  <c r="P11" i="21"/>
  <c r="P12" i="21"/>
  <c r="P13" i="21"/>
  <c r="P14" i="21"/>
  <c r="P15" i="21"/>
  <c r="P16" i="21"/>
  <c r="P17" i="21"/>
  <c r="P18" i="21"/>
  <c r="P8" i="21"/>
  <c r="P6" i="21"/>
  <c r="P5" i="21"/>
  <c r="O9" i="21"/>
  <c r="O10" i="21"/>
  <c r="O11" i="21"/>
  <c r="O12" i="21"/>
  <c r="O13" i="21"/>
  <c r="O14" i="21"/>
  <c r="O15" i="21"/>
  <c r="O16" i="21"/>
  <c r="O17" i="21"/>
  <c r="O18" i="21"/>
  <c r="O8" i="21"/>
  <c r="O6" i="21"/>
  <c r="O5" i="21"/>
  <c r="N9" i="21"/>
  <c r="N10" i="21"/>
  <c r="N11" i="21"/>
  <c r="N12" i="21"/>
  <c r="N13" i="21"/>
  <c r="N14" i="21"/>
  <c r="N15" i="21"/>
  <c r="N16" i="21"/>
  <c r="N17" i="21"/>
  <c r="N18" i="21"/>
  <c r="N8" i="21"/>
  <c r="N6" i="21"/>
  <c r="N5" i="21"/>
  <c r="M9" i="21"/>
  <c r="M10" i="21"/>
  <c r="M11" i="21"/>
  <c r="M12" i="21"/>
  <c r="M13" i="21"/>
  <c r="M14" i="21"/>
  <c r="M15" i="21"/>
  <c r="M16" i="21"/>
  <c r="M17" i="21"/>
  <c r="M18" i="21"/>
  <c r="M8" i="21"/>
  <c r="M6" i="21"/>
  <c r="M5" i="21"/>
  <c r="L9" i="21"/>
  <c r="L10" i="21"/>
  <c r="L11" i="21"/>
  <c r="L12" i="21"/>
  <c r="L13" i="21"/>
  <c r="L14" i="21"/>
  <c r="L15" i="21"/>
  <c r="L16" i="21"/>
  <c r="L17" i="21"/>
  <c r="L18" i="21"/>
  <c r="L8" i="21"/>
  <c r="L6" i="21"/>
  <c r="L5" i="21"/>
  <c r="L4" i="21"/>
  <c r="S7" i="21"/>
  <c r="S4" i="21"/>
  <c r="Q7" i="21"/>
  <c r="Q4" i="21"/>
  <c r="O7" i="21"/>
  <c r="O4" i="21"/>
  <c r="N4" i="21"/>
  <c r="M7" i="21"/>
  <c r="M4" i="21"/>
  <c r="S19" i="21"/>
  <c r="T5" i="21"/>
  <c r="U5" i="21"/>
  <c r="L7" i="21"/>
  <c r="L19" i="21"/>
  <c r="N7" i="21"/>
  <c r="N19" i="21"/>
  <c r="P7" i="21"/>
  <c r="R7" i="21"/>
  <c r="T8" i="21"/>
  <c r="T9" i="21"/>
  <c r="T10" i="21"/>
  <c r="T11" i="21"/>
  <c r="U11" i="21" s="1"/>
  <c r="T12" i="21"/>
  <c r="U12" i="21" s="1"/>
  <c r="T13" i="21"/>
  <c r="U13" i="21" s="1"/>
  <c r="T14" i="21"/>
  <c r="U14" i="21" s="1"/>
  <c r="T15" i="21"/>
  <c r="U15" i="21" s="1"/>
  <c r="T16" i="21"/>
  <c r="U16" i="21" s="1"/>
  <c r="T17" i="21"/>
  <c r="U17" i="21" s="1"/>
  <c r="T18" i="21"/>
  <c r="U18" i="21" s="1"/>
  <c r="R4" i="21"/>
  <c r="P27" i="21" s="1"/>
  <c r="P4" i="21"/>
  <c r="F53" i="18"/>
  <c r="G53" i="18"/>
  <c r="H53" i="18"/>
  <c r="I53" i="18"/>
  <c r="E53" i="18"/>
  <c r="H32" i="18"/>
  <c r="I32" i="18"/>
  <c r="G32" i="18"/>
  <c r="H36" i="18"/>
  <c r="I36" i="18"/>
  <c r="G36" i="18"/>
  <c r="E34" i="19"/>
  <c r="F98" i="2"/>
  <c r="G98" i="2"/>
  <c r="H98" i="2"/>
  <c r="I98" i="2"/>
  <c r="E98" i="2"/>
  <c r="F96" i="2"/>
  <c r="G96" i="2"/>
  <c r="D11" i="20" s="1"/>
  <c r="H96" i="2"/>
  <c r="I96" i="2"/>
  <c r="F97" i="2"/>
  <c r="G97" i="2"/>
  <c r="H97" i="2"/>
  <c r="I97" i="2"/>
  <c r="E97" i="2"/>
  <c r="E96" i="2"/>
  <c r="F95" i="2"/>
  <c r="G95" i="2"/>
  <c r="H95" i="2"/>
  <c r="I95" i="2"/>
  <c r="E95" i="2"/>
  <c r="F94" i="2"/>
  <c r="G94" i="2"/>
  <c r="H94" i="2"/>
  <c r="I94" i="2"/>
  <c r="E94" i="2"/>
  <c r="G67" i="2"/>
  <c r="H67" i="2"/>
  <c r="I67" i="2"/>
  <c r="F67" i="2"/>
  <c r="G43" i="2"/>
  <c r="H43" i="2"/>
  <c r="I43" i="2"/>
  <c r="F43" i="2"/>
  <c r="D7" i="2"/>
  <c r="E7" i="2"/>
  <c r="F7" i="2"/>
  <c r="G7" i="2"/>
  <c r="H7" i="2"/>
  <c r="I7" i="2"/>
  <c r="C7" i="2"/>
  <c r="N13" i="10"/>
  <c r="N14" i="10"/>
  <c r="N15" i="10"/>
  <c r="N16" i="10"/>
  <c r="N17" i="10"/>
  <c r="N18" i="10"/>
  <c r="N22" i="10"/>
  <c r="N26" i="10"/>
  <c r="N30" i="10"/>
  <c r="N12" i="10"/>
  <c r="L13" i="10"/>
  <c r="L14" i="10"/>
  <c r="L15" i="10"/>
  <c r="L16" i="10"/>
  <c r="L17" i="10"/>
  <c r="L18" i="10"/>
  <c r="L22" i="10"/>
  <c r="L26" i="10"/>
  <c r="L30" i="10"/>
  <c r="L12" i="10"/>
  <c r="V22" i="9"/>
  <c r="D77" i="14"/>
  <c r="F77" i="14"/>
  <c r="C77" i="14"/>
  <c r="V20" i="9"/>
  <c r="V21" i="9"/>
  <c r="V19" i="9"/>
  <c r="D9" i="2"/>
  <c r="D18" i="2" s="1"/>
  <c r="D21" i="2"/>
  <c r="D48" i="2"/>
  <c r="D56" i="2"/>
  <c r="E21" i="2"/>
  <c r="F21" i="2"/>
  <c r="G21" i="2"/>
  <c r="H21" i="2"/>
  <c r="I21" i="2"/>
  <c r="C21" i="2"/>
  <c r="E9" i="2"/>
  <c r="E18" i="2" s="1"/>
  <c r="E48" i="2"/>
  <c r="E56" i="2"/>
  <c r="I9" i="2"/>
  <c r="I48" i="2"/>
  <c r="I56" i="2"/>
  <c r="M7" i="9"/>
  <c r="D100" i="2"/>
  <c r="C11" i="20"/>
  <c r="E11" i="20"/>
  <c r="E18" i="20" s="1"/>
  <c r="H29" i="19" s="1"/>
  <c r="F11" i="20"/>
  <c r="C100" i="2"/>
  <c r="C48" i="2"/>
  <c r="C9" i="2"/>
  <c r="C18" i="2" s="1"/>
  <c r="C56" i="2"/>
  <c r="F56" i="2"/>
  <c r="F80" i="2" s="1"/>
  <c r="G56" i="2"/>
  <c r="H56" i="2"/>
  <c r="H80" i="2" s="1"/>
  <c r="F9" i="2"/>
  <c r="F18" i="2" s="1"/>
  <c r="F48" i="2"/>
  <c r="G9" i="2"/>
  <c r="G48" i="2"/>
  <c r="H9" i="2"/>
  <c r="H18" i="2" s="1"/>
  <c r="H48" i="2"/>
  <c r="H84" i="2" s="1"/>
  <c r="D87" i="2"/>
  <c r="E87" i="2"/>
  <c r="F87" i="2"/>
  <c r="G87" i="2"/>
  <c r="H87" i="2"/>
  <c r="I87" i="2"/>
  <c r="D88" i="2"/>
  <c r="E88" i="2"/>
  <c r="F88" i="2"/>
  <c r="G88" i="2"/>
  <c r="H88" i="2"/>
  <c r="I88" i="2"/>
  <c r="D89" i="2"/>
  <c r="E89" i="2"/>
  <c r="F89" i="2"/>
  <c r="G89" i="2"/>
  <c r="H89" i="2"/>
  <c r="I89" i="2"/>
  <c r="D84" i="2"/>
  <c r="E84" i="2"/>
  <c r="D83" i="2"/>
  <c r="E83" i="2"/>
  <c r="F83" i="2"/>
  <c r="G83" i="2"/>
  <c r="H83" i="2"/>
  <c r="I83" i="2"/>
  <c r="C83" i="2"/>
  <c r="D82" i="2"/>
  <c r="E82" i="2"/>
  <c r="F82" i="2"/>
  <c r="G82" i="2"/>
  <c r="H82" i="2"/>
  <c r="I82" i="2"/>
  <c r="D81" i="2"/>
  <c r="E81" i="2"/>
  <c r="F81" i="2"/>
  <c r="G81" i="2"/>
  <c r="H81" i="2"/>
  <c r="I81" i="2"/>
  <c r="D80" i="2"/>
  <c r="E80" i="2"/>
  <c r="G80" i="2"/>
  <c r="I80" i="2"/>
  <c r="C9" i="18"/>
  <c r="C19" i="18"/>
  <c r="C56" i="18"/>
  <c r="C57" i="18"/>
  <c r="C67" i="18" s="1"/>
  <c r="C64" i="14" s="1"/>
  <c r="C40" i="18"/>
  <c r="E9" i="18"/>
  <c r="E19" i="18"/>
  <c r="E56" i="18"/>
  <c r="E57" i="18"/>
  <c r="E40" i="18"/>
  <c r="I9" i="18"/>
  <c r="I40" i="18"/>
  <c r="C21" i="19"/>
  <c r="C20" i="19"/>
  <c r="E7" i="19"/>
  <c r="E8" i="19"/>
  <c r="C80" i="14"/>
  <c r="K74" i="9"/>
  <c r="O74" i="9"/>
  <c r="M68" i="9"/>
  <c r="M69" i="9"/>
  <c r="M70" i="9"/>
  <c r="Z56" i="9"/>
  <c r="Y32" i="9"/>
  <c r="X32" i="9"/>
  <c r="W32" i="9"/>
  <c r="G57" i="9"/>
  <c r="D58" i="10"/>
  <c r="E38" i="14"/>
  <c r="G38" i="14" s="1"/>
  <c r="F38" i="14"/>
  <c r="C38" i="14"/>
  <c r="F15" i="11"/>
  <c r="D15" i="11"/>
  <c r="F14" i="11"/>
  <c r="F72" i="14" s="1"/>
  <c r="D14" i="11"/>
  <c r="C87" i="2"/>
  <c r="C88" i="2"/>
  <c r="C89" i="2"/>
  <c r="D38" i="14"/>
  <c r="C6" i="3"/>
  <c r="C68" i="14" s="1"/>
  <c r="D9" i="18"/>
  <c r="D19" i="18"/>
  <c r="D56" i="18"/>
  <c r="D57" i="18"/>
  <c r="D40" i="18"/>
  <c r="F9" i="18"/>
  <c r="F19" i="18"/>
  <c r="F40" i="18"/>
  <c r="G9" i="18"/>
  <c r="G19" i="18"/>
  <c r="G40" i="18"/>
  <c r="H9" i="18"/>
  <c r="H19" i="18"/>
  <c r="H40" i="18"/>
  <c r="D72" i="14"/>
  <c r="E65" i="14"/>
  <c r="E63" i="14"/>
  <c r="G63" i="14" s="1"/>
  <c r="H63" i="14" s="1"/>
  <c r="I63" i="14" s="1"/>
  <c r="J63" i="14" s="1"/>
  <c r="E56" i="14"/>
  <c r="C22" i="19"/>
  <c r="C19" i="19"/>
  <c r="C25" i="19"/>
  <c r="D22" i="19"/>
  <c r="E22" i="19"/>
  <c r="F22" i="19"/>
  <c r="G22" i="19"/>
  <c r="H22" i="19"/>
  <c r="D21" i="19"/>
  <c r="E21" i="19"/>
  <c r="D20" i="19"/>
  <c r="D19" i="19" s="1"/>
  <c r="E20" i="19"/>
  <c r="E19" i="19" s="1"/>
  <c r="D8" i="19"/>
  <c r="C8" i="19"/>
  <c r="E48" i="14"/>
  <c r="E47" i="14"/>
  <c r="E43" i="14"/>
  <c r="E42" i="14"/>
  <c r="E41" i="14"/>
  <c r="G41" i="14" s="1"/>
  <c r="H41" i="14" s="1"/>
  <c r="I41" i="14" s="1"/>
  <c r="J41" i="14" s="1"/>
  <c r="E39" i="14"/>
  <c r="G39" i="14" s="1"/>
  <c r="C82" i="2"/>
  <c r="C81" i="2"/>
  <c r="F43" i="14"/>
  <c r="C80" i="2"/>
  <c r="F80" i="14"/>
  <c r="E80" i="14"/>
  <c r="D80" i="14"/>
  <c r="D25" i="19"/>
  <c r="E25" i="19"/>
  <c r="F57" i="14" s="1"/>
  <c r="M58" i="10"/>
  <c r="J58" i="10"/>
  <c r="G58" i="10"/>
  <c r="E74" i="9"/>
  <c r="AC11" i="9"/>
  <c r="Z11" i="9"/>
  <c r="W11" i="9"/>
  <c r="T11" i="9"/>
  <c r="Q11" i="9"/>
  <c r="I6" i="3"/>
  <c r="E68" i="14" s="1"/>
  <c r="H6" i="3"/>
  <c r="G6" i="3"/>
  <c r="F6" i="3"/>
  <c r="F56" i="14"/>
  <c r="D56" i="14"/>
  <c r="C56" i="14"/>
  <c r="C57" i="14"/>
  <c r="D39" i="14"/>
  <c r="C39" i="14"/>
  <c r="M73" i="9"/>
  <c r="M72" i="9"/>
  <c r="M71" i="9"/>
  <c r="M67" i="9"/>
  <c r="S74" i="9"/>
  <c r="Q74" i="9"/>
  <c r="I74" i="9"/>
  <c r="G74" i="9"/>
  <c r="Y56" i="9"/>
  <c r="X56" i="9"/>
  <c r="W56" i="9"/>
  <c r="Z32" i="9"/>
  <c r="X53" i="9"/>
  <c r="W53" i="9"/>
  <c r="V57" i="9"/>
  <c r="U57" i="9"/>
  <c r="T57" i="9"/>
  <c r="R57" i="9"/>
  <c r="Q57" i="9"/>
  <c r="P57" i="9"/>
  <c r="O57" i="9"/>
  <c r="J57" i="9"/>
  <c r="I57" i="9"/>
  <c r="Y57" i="9" s="1"/>
  <c r="H57" i="9"/>
  <c r="AD23" i="9"/>
  <c r="V23" i="9" s="1"/>
  <c r="AB23" i="9"/>
  <c r="Z23" i="9"/>
  <c r="X23" i="9"/>
  <c r="M10" i="9"/>
  <c r="M9" i="9"/>
  <c r="M8" i="9"/>
  <c r="K67" i="10"/>
  <c r="E6" i="3"/>
  <c r="F68" i="14" s="1"/>
  <c r="D6" i="3"/>
  <c r="D68" i="14" s="1"/>
  <c r="D63" i="14"/>
  <c r="C63" i="14"/>
  <c r="C48" i="14"/>
  <c r="C47" i="14"/>
  <c r="C43" i="14"/>
  <c r="F42" i="14"/>
  <c r="D42" i="14"/>
  <c r="C42" i="14"/>
  <c r="F41" i="14"/>
  <c r="D41" i="14"/>
  <c r="F39" i="14"/>
  <c r="C72" i="14"/>
  <c r="F65" i="14"/>
  <c r="D65" i="14"/>
  <c r="C65" i="14"/>
  <c r="F63" i="14"/>
  <c r="D61" i="14"/>
  <c r="C61" i="14"/>
  <c r="F58" i="14"/>
  <c r="D58" i="14"/>
  <c r="C58" i="14"/>
  <c r="F55" i="14"/>
  <c r="D55" i="14"/>
  <c r="C55" i="14"/>
  <c r="C54" i="14"/>
  <c r="F50" i="14"/>
  <c r="D50" i="14"/>
  <c r="C50" i="14"/>
  <c r="F48" i="14"/>
  <c r="D48" i="14"/>
  <c r="F47" i="14"/>
  <c r="D47" i="14"/>
  <c r="D43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D57" i="14"/>
  <c r="C41" i="14"/>
  <c r="C19" i="20"/>
  <c r="F35" i="19" s="1"/>
  <c r="F34" i="19" s="1"/>
  <c r="C18" i="20"/>
  <c r="F29" i="19" s="1"/>
  <c r="E19" i="20"/>
  <c r="H35" i="19" s="1"/>
  <c r="H34" i="19" s="1"/>
  <c r="F18" i="20"/>
  <c r="I29" i="19" s="1"/>
  <c r="I18" i="2"/>
  <c r="I62" i="2" s="1"/>
  <c r="I19" i="18"/>
  <c r="I84" i="2"/>
  <c r="I22" i="19"/>
  <c r="E55" i="14" s="1"/>
  <c r="E50" i="14"/>
  <c r="M19" i="21"/>
  <c r="R19" i="21"/>
  <c r="O30" i="21"/>
  <c r="E12" i="20" s="1"/>
  <c r="E17" i="20" s="1"/>
  <c r="T4" i="21"/>
  <c r="M39" i="21" s="1"/>
  <c r="P19" i="21"/>
  <c r="U4" i="21"/>
  <c r="F84" i="2"/>
  <c r="F19" i="20"/>
  <c r="I35" i="19" s="1"/>
  <c r="I34" i="19" s="1"/>
  <c r="L4" i="22"/>
  <c r="N4" i="22"/>
  <c r="L6" i="22"/>
  <c r="N6" i="22"/>
  <c r="L7" i="22"/>
  <c r="N7" i="22"/>
  <c r="L8" i="22"/>
  <c r="N8" i="22"/>
  <c r="L9" i="22"/>
  <c r="N9" i="22"/>
  <c r="H10" i="22"/>
  <c r="L12" i="22"/>
  <c r="N12" i="22"/>
  <c r="L13" i="22"/>
  <c r="L14" i="22" s="1"/>
  <c r="N13" i="22"/>
  <c r="N14" i="22" s="1"/>
  <c r="L22" i="22"/>
  <c r="N22" i="22"/>
  <c r="C24" i="22"/>
  <c r="E24" i="22" s="1"/>
  <c r="C26" i="22"/>
  <c r="E26" i="22" s="1"/>
  <c r="K27" i="22"/>
  <c r="M27" i="22"/>
  <c r="O27" i="22"/>
  <c r="L30" i="22"/>
  <c r="N30" i="22"/>
  <c r="L31" i="22"/>
  <c r="L32" i="22" s="1"/>
  <c r="N31" i="22"/>
  <c r="N32" i="22" s="1"/>
  <c r="K4" i="22"/>
  <c r="M4" i="22"/>
  <c r="K6" i="22"/>
  <c r="M6" i="22"/>
  <c r="K7" i="22"/>
  <c r="M7" i="22"/>
  <c r="O7" i="22"/>
  <c r="K8" i="22"/>
  <c r="M8" i="22"/>
  <c r="K9" i="22"/>
  <c r="M9" i="22"/>
  <c r="K12" i="22"/>
  <c r="M12" i="22"/>
  <c r="K13" i="22"/>
  <c r="K14" i="22"/>
  <c r="M13" i="22"/>
  <c r="M14" i="22"/>
  <c r="K22" i="22"/>
  <c r="M22" i="22"/>
  <c r="L27" i="22"/>
  <c r="K30" i="22"/>
  <c r="M30" i="22"/>
  <c r="K31" i="22"/>
  <c r="K32" i="22" s="1"/>
  <c r="M31" i="22"/>
  <c r="M32" i="22" s="1"/>
  <c r="K10" i="22"/>
  <c r="L10" i="22"/>
  <c r="K16" i="22"/>
  <c r="N10" i="22"/>
  <c r="C37" i="19"/>
  <c r="C59" i="14" s="1"/>
  <c r="G18" i="2"/>
  <c r="G62" i="2" s="1"/>
  <c r="U9" i="21"/>
  <c r="E40" i="14"/>
  <c r="G7" i="11" s="1"/>
  <c r="T7" i="21"/>
  <c r="U7" i="21"/>
  <c r="T6" i="21"/>
  <c r="M30" i="21"/>
  <c r="C12" i="20" s="1"/>
  <c r="C17" i="20" s="1"/>
  <c r="O19" i="21"/>
  <c r="T19" i="21"/>
  <c r="U6" i="21"/>
  <c r="F18" i="11" l="1"/>
  <c r="F17" i="11"/>
  <c r="L28" i="10"/>
  <c r="N28" i="10"/>
  <c r="I86" i="2"/>
  <c r="I91" i="2" s="1"/>
  <c r="E45" i="14" s="1"/>
  <c r="E44" i="14"/>
  <c r="I72" i="2"/>
  <c r="O32" i="22"/>
  <c r="L29" i="10"/>
  <c r="N29" i="10"/>
  <c r="I25" i="19"/>
  <c r="X57" i="9"/>
  <c r="L58" i="9" s="1"/>
  <c r="Z57" i="9"/>
  <c r="M74" i="9"/>
  <c r="E67" i="18"/>
  <c r="F64" i="14" s="1"/>
  <c r="C84" i="2"/>
  <c r="I93" i="2"/>
  <c r="G93" i="2"/>
  <c r="G100" i="2" s="1"/>
  <c r="O27" i="21"/>
  <c r="N27" i="21"/>
  <c r="N28" i="21" s="1"/>
  <c r="L30" i="2" s="1"/>
  <c r="M56" i="21"/>
  <c r="M55" i="21"/>
  <c r="J32" i="10" s="1"/>
  <c r="N24" i="22"/>
  <c r="M24" i="22"/>
  <c r="K24" i="22"/>
  <c r="O24" i="22"/>
  <c r="L24" i="22"/>
  <c r="M44" i="21"/>
  <c r="J23" i="10" s="1"/>
  <c r="M49" i="21"/>
  <c r="J19" i="10"/>
  <c r="D18" i="11"/>
  <c r="D17" i="11"/>
  <c r="M26" i="22"/>
  <c r="O26" i="22"/>
  <c r="L26" i="22"/>
  <c r="N26" i="22"/>
  <c r="K26" i="22"/>
  <c r="G68" i="14"/>
  <c r="H68" i="14" s="1"/>
  <c r="I68" i="14" s="1"/>
  <c r="J68" i="14" s="1"/>
  <c r="E74" i="14"/>
  <c r="G18" i="11"/>
  <c r="G17" i="11"/>
  <c r="M10" i="22"/>
  <c r="M16" i="22" s="1"/>
  <c r="M18" i="22" s="1"/>
  <c r="N16" i="22"/>
  <c r="W57" i="9"/>
  <c r="H62" i="2"/>
  <c r="G84" i="2"/>
  <c r="G99" i="2" s="1"/>
  <c r="F62" i="2"/>
  <c r="M24" i="21"/>
  <c r="M25" i="21" s="1"/>
  <c r="N24" i="21"/>
  <c r="O24" i="21"/>
  <c r="O25" i="21" s="1"/>
  <c r="P24" i="21"/>
  <c r="O10" i="22"/>
  <c r="L16" i="22"/>
  <c r="L18" i="22" s="1"/>
  <c r="E93" i="2"/>
  <c r="H93" i="2"/>
  <c r="H99" i="2" s="1"/>
  <c r="F93" i="2"/>
  <c r="P30" i="21"/>
  <c r="F12" i="20" s="1"/>
  <c r="J33" i="10"/>
  <c r="N30" i="21"/>
  <c r="D12" i="20" s="1"/>
  <c r="Q19" i="21"/>
  <c r="M27" i="21"/>
  <c r="K29" i="2" s="1"/>
  <c r="M58" i="9"/>
  <c r="N58" i="9"/>
  <c r="H25" i="19"/>
  <c r="H39" i="14"/>
  <c r="I39" i="14" s="1"/>
  <c r="J39" i="14" s="1"/>
  <c r="D67" i="18"/>
  <c r="D64" i="14" s="1"/>
  <c r="G48" i="14"/>
  <c r="H48" i="14" s="1"/>
  <c r="I48" i="14" s="1"/>
  <c r="J48" i="14" s="1"/>
  <c r="L17" i="22"/>
  <c r="M97" i="2"/>
  <c r="M98" i="2" s="1"/>
  <c r="H36" i="19"/>
  <c r="K97" i="2"/>
  <c r="K98" i="2" s="1"/>
  <c r="F36" i="19"/>
  <c r="G86" i="2"/>
  <c r="G91" i="2" s="1"/>
  <c r="G72" i="2"/>
  <c r="G13" i="11"/>
  <c r="G8" i="11"/>
  <c r="E46" i="14" s="1"/>
  <c r="M17" i="22"/>
  <c r="N18" i="22"/>
  <c r="N17" i="22"/>
  <c r="F54" i="14"/>
  <c r="E37" i="19"/>
  <c r="F59" i="14" s="1"/>
  <c r="G46" i="14"/>
  <c r="H38" i="14"/>
  <c r="G40" i="14"/>
  <c r="H86" i="2"/>
  <c r="H91" i="2" s="1"/>
  <c r="H72" i="2"/>
  <c r="F86" i="2"/>
  <c r="F91" i="2" s="1"/>
  <c r="F72" i="2"/>
  <c r="E62" i="2"/>
  <c r="F40" i="14"/>
  <c r="F7" i="11" s="1"/>
  <c r="D40" i="14"/>
  <c r="D62" i="2"/>
  <c r="I99" i="2"/>
  <c r="I100" i="2" s="1"/>
  <c r="O28" i="21"/>
  <c r="M30" i="2" s="1"/>
  <c r="M29" i="2"/>
  <c r="M40" i="21"/>
  <c r="J20" i="10" s="1"/>
  <c r="N29" i="2"/>
  <c r="L29" i="2"/>
  <c r="M28" i="21"/>
  <c r="K30" i="2" s="1"/>
  <c r="F25" i="19"/>
  <c r="F17" i="20"/>
  <c r="O14" i="22"/>
  <c r="O16" i="22" s="1"/>
  <c r="O18" i="22" s="1"/>
  <c r="E57" i="14"/>
  <c r="D37" i="19"/>
  <c r="D59" i="14" s="1"/>
  <c r="D54" i="14"/>
  <c r="C40" i="14"/>
  <c r="D7" i="11" s="1"/>
  <c r="C62" i="2"/>
  <c r="E99" i="2"/>
  <c r="E100" i="2" s="1"/>
  <c r="F99" i="2"/>
  <c r="F100" i="2" s="1"/>
  <c r="D17" i="20"/>
  <c r="D18" i="20"/>
  <c r="G29" i="19" s="1"/>
  <c r="D19" i="20"/>
  <c r="G35" i="19" s="1"/>
  <c r="G34" i="19" s="1"/>
  <c r="L33" i="10"/>
  <c r="N33" i="10"/>
  <c r="K13" i="2"/>
  <c r="N25" i="21"/>
  <c r="L13" i="2"/>
  <c r="N32" i="21"/>
  <c r="L95" i="2" s="1"/>
  <c r="M13" i="2"/>
  <c r="N13" i="2"/>
  <c r="M41" i="21"/>
  <c r="J21" i="10" s="1"/>
  <c r="P25" i="21"/>
  <c r="M46" i="21" s="1"/>
  <c r="J25" i="10" s="1"/>
  <c r="P32" i="21"/>
  <c r="N95" i="2" s="1"/>
  <c r="M25" i="22"/>
  <c r="M28" i="22" s="1"/>
  <c r="M34" i="22" s="1"/>
  <c r="O25" i="22"/>
  <c r="L25" i="22"/>
  <c r="L28" i="22" s="1"/>
  <c r="L34" i="22" s="1"/>
  <c r="N25" i="22"/>
  <c r="K25" i="22"/>
  <c r="K28" i="22" s="1"/>
  <c r="K34" i="22" s="1"/>
  <c r="U10" i="21"/>
  <c r="M11" i="9"/>
  <c r="G44" i="14"/>
  <c r="G49" i="14" s="1"/>
  <c r="G50" i="14" s="1"/>
  <c r="G55" i="14" s="1"/>
  <c r="N32" i="10" l="1"/>
  <c r="L32" i="10"/>
  <c r="H100" i="2"/>
  <c r="N28" i="22"/>
  <c r="N34" i="22" s="1"/>
  <c r="O28" i="22"/>
  <c r="O34" i="22" s="1"/>
  <c r="O32" i="21"/>
  <c r="M95" i="2" s="1"/>
  <c r="M32" i="21"/>
  <c r="K95" i="2" s="1"/>
  <c r="P28" i="21"/>
  <c r="N30" i="2" s="1"/>
  <c r="I75" i="2"/>
  <c r="E49" i="14"/>
  <c r="I7" i="18"/>
  <c r="I15" i="18" s="1"/>
  <c r="I18" i="18" s="1"/>
  <c r="I20" i="18" s="1"/>
  <c r="N19" i="10"/>
  <c r="L19" i="10"/>
  <c r="N23" i="10"/>
  <c r="L23" i="10"/>
  <c r="J27" i="10"/>
  <c r="M54" i="21"/>
  <c r="J31" i="10" s="1"/>
  <c r="G57" i="14"/>
  <c r="H57" i="14" s="1"/>
  <c r="I57" i="14" s="1"/>
  <c r="J57" i="14" s="1"/>
  <c r="L25" i="10"/>
  <c r="N25" i="10"/>
  <c r="P33" i="21"/>
  <c r="N96" i="2" s="1"/>
  <c r="N14" i="2"/>
  <c r="M14" i="2"/>
  <c r="O33" i="21"/>
  <c r="M96" i="2" s="1"/>
  <c r="M33" i="21"/>
  <c r="K96" i="2" s="1"/>
  <c r="K14" i="2"/>
  <c r="C72" i="2"/>
  <c r="C44" i="14"/>
  <c r="C86" i="2"/>
  <c r="C91" i="2" s="1"/>
  <c r="C45" i="14" s="1"/>
  <c r="I36" i="19"/>
  <c r="N97" i="2"/>
  <c r="N98" i="2" s="1"/>
  <c r="E86" i="2"/>
  <c r="E91" i="2" s="1"/>
  <c r="F45" i="14" s="1"/>
  <c r="E72" i="2"/>
  <c r="F44" i="14"/>
  <c r="I38" i="14"/>
  <c r="H40" i="14"/>
  <c r="H44" i="14" s="1"/>
  <c r="H49" i="14" s="1"/>
  <c r="H50" i="14" s="1"/>
  <c r="H55" i="14" s="1"/>
  <c r="H46" i="14"/>
  <c r="G7" i="18"/>
  <c r="G15" i="18" s="1"/>
  <c r="G18" i="18" s="1"/>
  <c r="G20" i="18" s="1"/>
  <c r="G75" i="2"/>
  <c r="G25" i="19"/>
  <c r="M45" i="21"/>
  <c r="J24" i="10" s="1"/>
  <c r="N21" i="10"/>
  <c r="L21" i="10"/>
  <c r="L14" i="2"/>
  <c r="N33" i="21"/>
  <c r="L96" i="2" s="1"/>
  <c r="L97" i="2"/>
  <c r="L98" i="2" s="1"/>
  <c r="G36" i="19"/>
  <c r="L20" i="10"/>
  <c r="N20" i="10"/>
  <c r="D72" i="2"/>
  <c r="D44" i="14"/>
  <c r="D86" i="2"/>
  <c r="D91" i="2" s="1"/>
  <c r="D45" i="14" s="1"/>
  <c r="D46" i="14" s="1"/>
  <c r="F7" i="18"/>
  <c r="F15" i="18" s="1"/>
  <c r="F18" i="18" s="1"/>
  <c r="F20" i="18" s="1"/>
  <c r="F75" i="2"/>
  <c r="H7" i="18"/>
  <c r="H15" i="18" s="1"/>
  <c r="H18" i="18" s="1"/>
  <c r="H20" i="18" s="1"/>
  <c r="H75" i="2"/>
  <c r="G51" i="14"/>
  <c r="G52" i="14" s="1"/>
  <c r="E62" i="14" l="1"/>
  <c r="G62" i="14" s="1"/>
  <c r="H62" i="14" s="1"/>
  <c r="I62" i="14" s="1"/>
  <c r="J62" i="14" s="1"/>
  <c r="I77" i="2"/>
  <c r="I76" i="2"/>
  <c r="E51" i="14"/>
  <c r="L27" i="10"/>
  <c r="N27" i="10"/>
  <c r="N31" i="10"/>
  <c r="L31" i="10"/>
  <c r="E58" i="14"/>
  <c r="G58" i="14" s="1"/>
  <c r="H76" i="2"/>
  <c r="H77" i="2"/>
  <c r="F77" i="2"/>
  <c r="F76" i="2"/>
  <c r="D7" i="18"/>
  <c r="D15" i="18" s="1"/>
  <c r="D18" i="18" s="1"/>
  <c r="D20" i="18" s="1"/>
  <c r="D75" i="2"/>
  <c r="D49" i="14"/>
  <c r="G76" i="2"/>
  <c r="G77" i="2"/>
  <c r="I46" i="14"/>
  <c r="J38" i="14"/>
  <c r="I40" i="14"/>
  <c r="I44" i="14" s="1"/>
  <c r="I49" i="14" s="1"/>
  <c r="E7" i="18"/>
  <c r="E15" i="18" s="1"/>
  <c r="E18" i="18" s="1"/>
  <c r="E20" i="18" s="1"/>
  <c r="E75" i="2"/>
  <c r="F49" i="14"/>
  <c r="D8" i="11"/>
  <c r="C46" i="14" s="1"/>
  <c r="D13" i="11"/>
  <c r="C75" i="2"/>
  <c r="C7" i="18"/>
  <c r="C15" i="18" s="1"/>
  <c r="C18" i="18" s="1"/>
  <c r="C20" i="18" s="1"/>
  <c r="C49" i="14"/>
  <c r="H51" i="14"/>
  <c r="H52" i="14" s="1"/>
  <c r="N24" i="10"/>
  <c r="L24" i="10"/>
  <c r="F8" i="11"/>
  <c r="F46" i="14" s="1"/>
  <c r="F13" i="11"/>
  <c r="I9" i="19" l="1"/>
  <c r="I10" i="19" s="1"/>
  <c r="G11" i="11"/>
  <c r="E52" i="14" s="1"/>
  <c r="C62" i="14"/>
  <c r="C72" i="18"/>
  <c r="C71" i="18"/>
  <c r="F62" i="14"/>
  <c r="E72" i="18"/>
  <c r="J40" i="14"/>
  <c r="J44" i="14" s="1"/>
  <c r="J49" i="14" s="1"/>
  <c r="J46" i="14"/>
  <c r="G9" i="19"/>
  <c r="G10" i="19" s="1"/>
  <c r="D76" i="2"/>
  <c r="D51" i="14"/>
  <c r="D77" i="2"/>
  <c r="C77" i="2"/>
  <c r="C76" i="2"/>
  <c r="C51" i="14"/>
  <c r="F51" i="14"/>
  <c r="E77" i="2"/>
  <c r="E76" i="2"/>
  <c r="E17" i="19"/>
  <c r="I50" i="14"/>
  <c r="I55" i="14" s="1"/>
  <c r="D72" i="18"/>
  <c r="D71" i="18"/>
  <c r="D62" i="14"/>
  <c r="F9" i="19"/>
  <c r="F10" i="19" s="1"/>
  <c r="H9" i="19"/>
  <c r="H10" i="19" s="1"/>
  <c r="H58" i="14"/>
  <c r="G59" i="14"/>
  <c r="I57" i="18" l="1"/>
  <c r="I21" i="19"/>
  <c r="I20" i="19"/>
  <c r="I56" i="18"/>
  <c r="I8" i="19"/>
  <c r="H57" i="18"/>
  <c r="H21" i="19"/>
  <c r="G57" i="18"/>
  <c r="G21" i="19"/>
  <c r="F57" i="18"/>
  <c r="F21" i="19"/>
  <c r="F11" i="11"/>
  <c r="F52" i="14" s="1"/>
  <c r="F10" i="11"/>
  <c r="F71" i="14" s="1"/>
  <c r="F9" i="11"/>
  <c r="F70" i="14" s="1"/>
  <c r="I58" i="14"/>
  <c r="J58" i="14" s="1"/>
  <c r="H59" i="14"/>
  <c r="F20" i="19"/>
  <c r="F19" i="19" s="1"/>
  <c r="F37" i="19" s="1"/>
  <c r="F8" i="19"/>
  <c r="F56" i="18"/>
  <c r="D66" i="14"/>
  <c r="D76" i="14"/>
  <c r="I7" i="19"/>
  <c r="I17" i="19" s="1"/>
  <c r="G7" i="19"/>
  <c r="F7" i="19"/>
  <c r="F17" i="19" s="1"/>
  <c r="H7" i="19"/>
  <c r="D10" i="11"/>
  <c r="C71" i="14" s="1"/>
  <c r="D9" i="11"/>
  <c r="C70" i="14" s="1"/>
  <c r="D11" i="11"/>
  <c r="C52" i="14" s="1"/>
  <c r="D52" i="14"/>
  <c r="D70" i="14"/>
  <c r="D71" i="14"/>
  <c r="C66" i="14"/>
  <c r="C76" i="14"/>
  <c r="E69" i="18"/>
  <c r="I59" i="14"/>
  <c r="I51" i="14"/>
  <c r="I52" i="14" s="1"/>
  <c r="H8" i="19"/>
  <c r="H20" i="19"/>
  <c r="H19" i="19" s="1"/>
  <c r="H37" i="19" s="1"/>
  <c r="H56" i="18"/>
  <c r="G20" i="19"/>
  <c r="G19" i="19" s="1"/>
  <c r="G37" i="19" s="1"/>
  <c r="G8" i="19"/>
  <c r="G56" i="18"/>
  <c r="G67" i="18" s="1"/>
  <c r="G72" i="18" s="1"/>
  <c r="J50" i="14"/>
  <c r="J55" i="14" s="1"/>
  <c r="J59" i="14" s="1"/>
  <c r="I19" i="19" l="1"/>
  <c r="I67" i="18"/>
  <c r="H67" i="18"/>
  <c r="H72" i="18" s="1"/>
  <c r="F67" i="18"/>
  <c r="F72" i="18" s="1"/>
  <c r="F61" i="14"/>
  <c r="E71" i="18"/>
  <c r="J51" i="14"/>
  <c r="J52" i="14" s="1"/>
  <c r="H17" i="19"/>
  <c r="G17" i="19"/>
  <c r="E64" i="14" l="1"/>
  <c r="G64" i="14" s="1"/>
  <c r="H64" i="14" s="1"/>
  <c r="I64" i="14" s="1"/>
  <c r="J64" i="14" s="1"/>
  <c r="I72" i="18"/>
  <c r="E54" i="14"/>
  <c r="E83" i="14" s="1"/>
  <c r="I37" i="19"/>
  <c r="E59" i="14" s="1"/>
  <c r="F69" i="18"/>
  <c r="F71" i="18" s="1"/>
  <c r="F66" i="14"/>
  <c r="I69" i="18"/>
  <c r="H69" i="18"/>
  <c r="H71" i="18" s="1"/>
  <c r="G69" i="18"/>
  <c r="G71" i="18" s="1"/>
  <c r="F76" i="14"/>
  <c r="E75" i="14" l="1"/>
  <c r="G14" i="11"/>
  <c r="E72" i="14" s="1"/>
  <c r="G10" i="11"/>
  <c r="E71" i="14" s="1"/>
  <c r="E61" i="14"/>
  <c r="I71" i="18"/>
  <c r="E77" i="14" l="1"/>
  <c r="G9" i="11" s="1"/>
  <c r="E70" i="14" s="1"/>
  <c r="G15" i="11"/>
  <c r="E66" i="14"/>
  <c r="G61" i="14" s="1"/>
  <c r="G66" i="14" s="1"/>
  <c r="H61" i="14" s="1"/>
  <c r="H66" i="14" s="1"/>
  <c r="I61" i="14" s="1"/>
  <c r="I66" i="14" s="1"/>
  <c r="J61" i="14" s="1"/>
  <c r="J66" i="14" s="1"/>
  <c r="E76" i="14"/>
</calcChain>
</file>

<file path=xl/sharedStrings.xml><?xml version="1.0" encoding="utf-8"?>
<sst xmlns="http://schemas.openxmlformats.org/spreadsheetml/2006/main" count="843" uniqueCount="559">
  <si>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</si>
  <si>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</si>
  <si>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</si>
  <si>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</si>
  <si>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</si>
  <si>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</si>
  <si>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</si>
  <si>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</si>
  <si>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</si>
  <si>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</si>
  <si>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</si>
  <si>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</si>
  <si>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</si>
  <si>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</si>
  <si>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</si>
  <si>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</si>
  <si>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</si>
  <si>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</si>
  <si>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</si>
  <si>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</si>
  <si>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</si>
  <si>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</si>
  <si>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</si>
  <si>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</si>
  <si>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</si>
  <si>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</si>
  <si>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</si>
  <si>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</si>
  <si>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</si>
  <si>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</si>
  <si>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</si>
  <si>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</si>
  <si>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</si>
  <si>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</si>
  <si>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</si>
  <si>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</si>
  <si>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</si>
  <si>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</si>
  <si>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</si>
  <si>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</si>
  <si>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</si>
  <si>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</si>
  <si>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</si>
  <si>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</si>
  <si>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</si>
  <si>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</si>
  <si>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</si>
  <si>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</si>
  <si>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</si>
  <si>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</si>
  <si>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</si>
  <si>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</si>
  <si>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</si>
  <si>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</si>
  <si>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</si>
  <si>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</si>
  <si>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</si>
  <si>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</si>
  <si>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</si>
  <si>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</si>
  <si>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</si>
  <si>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</si>
  <si>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</si>
  <si>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</si>
  <si>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</si>
  <si>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</si>
  <si>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</si>
  <si>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</si>
  <si>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</si>
  <si>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</si>
  <si>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</si>
  <si>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</si>
  <si>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</si>
  <si>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</si>
  <si>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</si>
  <si>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</si>
  <si>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</si>
  <si>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</si>
  <si>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</si>
  <si>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</si>
  <si>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</si>
  <si>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</si>
  <si>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</si>
  <si>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</si>
  <si>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</si>
  <si>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</si>
  <si>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</si>
  <si>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</si>
  <si>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</si>
  <si>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</si>
  <si>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</si>
  <si>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</si>
  <si>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</si>
  <si>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</si>
  <si>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</si>
  <si>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</si>
  <si>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</si>
  <si>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</si>
  <si>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</si>
  <si>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</si>
  <si>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</si>
  <si>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</si>
  <si>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</si>
  <si>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</si>
  <si>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</si>
  <si>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</si>
  <si>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</si>
  <si>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</si>
  <si>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</si>
  <si>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</si>
  <si>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</si>
  <si>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</si>
  <si>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</si>
  <si>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</si>
  <si>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</si>
  <si>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</si>
  <si>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</si>
  <si>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</si>
  <si>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</si>
  <si>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</si>
  <si>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</si>
  <si>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</si>
  <si>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</si>
  <si>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</si>
  <si>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</si>
  <si>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</si>
  <si>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</si>
  <si>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</si>
  <si>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</si>
  <si>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</si>
  <si>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</si>
  <si>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</si>
  <si>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</si>
  <si>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</si>
  <si>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</si>
  <si>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</si>
  <si>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</si>
  <si>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</si>
  <si>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</si>
  <si>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</si>
  <si>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</si>
  <si>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</si>
  <si>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</si>
  <si>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</si>
  <si>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</si>
  <si>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</si>
  <si>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</si>
  <si>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</si>
  <si>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</si>
  <si>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</si>
  <si>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</si>
  <si>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</si>
  <si>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</si>
  <si>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</si>
  <si>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</si>
  <si>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</si>
  <si>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</si>
  <si>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</si>
  <si>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</si>
  <si>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</si>
  <si>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</si>
  <si>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</si>
  <si>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</si>
  <si>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</si>
  <si>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</si>
  <si>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</si>
  <si>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</si>
  <si>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</si>
  <si>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</si>
  <si>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</si>
  <si>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</si>
  <si>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</si>
  <si>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</si>
  <si>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</si>
  <si>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</si>
  <si>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</si>
  <si>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</si>
  <si>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</si>
  <si>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</si>
  <si>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</si>
  <si>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</si>
  <si>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</si>
  <si>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</si>
  <si>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</si>
  <si>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</si>
  <si>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</si>
  <si>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</si>
  <si>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</si>
  <si>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</si>
  <si>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</si>
  <si>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</si>
  <si>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</si>
  <si>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</si>
  <si>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</si>
  <si>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</si>
  <si>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</si>
  <si>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</si>
  <si>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</si>
  <si>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</si>
  <si>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</si>
  <si>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</si>
  <si>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</si>
  <si>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</si>
  <si>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</si>
  <si>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</si>
  <si>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</si>
  <si>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</si>
  <si>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</si>
  <si>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</si>
  <si>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</si>
  <si>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</si>
  <si>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</si>
  <si>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</si>
  <si>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</si>
  <si>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</si>
  <si>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</si>
  <si>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</si>
  <si>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</si>
  <si>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</si>
  <si>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</si>
  <si>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</si>
  <si>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</si>
  <si>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</si>
  <si>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</si>
  <si>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</si>
  <si>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</si>
  <si>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</si>
  <si>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</si>
  <si>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</si>
  <si>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</si>
  <si>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</si>
  <si>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</si>
  <si>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</si>
  <si>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</si>
  <si>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</si>
  <si>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</si>
  <si>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</si>
  <si>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</si>
  <si>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</si>
  <si>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</si>
  <si>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</si>
  <si>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</si>
  <si>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</si>
  <si>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</si>
  <si>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</si>
  <si>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</si>
  <si>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</si>
  <si>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</si>
  <si>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</si>
  <si>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</si>
  <si>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</si>
  <si>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</si>
  <si>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</si>
  <si>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</si>
  <si>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</si>
  <si>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</si>
  <si>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</si>
  <si>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</si>
  <si>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</si>
  <si>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</si>
  <si>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</si>
  <si>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</si>
  <si>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</si>
  <si>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</si>
  <si>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</si>
  <si>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</si>
  <si>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</si>
  <si>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</si>
  <si>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</si>
  <si>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</si>
  <si>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</si>
  <si>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</si>
  <si>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</si>
  <si>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</si>
  <si>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</si>
  <si>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                                                   (посада)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</si>
  <si>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</si>
  <si>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</si>
  <si>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</si>
  <si>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</si>
  <si>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</si>
  <si>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</si>
  <si>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</si>
  <si>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</si>
  <si>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</si>
  <si>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</si>
  <si>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</si>
  <si>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</si>
  <si>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</si>
  <si>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</si>
  <si>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</si>
  <si>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</si>
  <si>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</si>
  <si>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</si>
  <si>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</si>
  <si>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</si>
  <si>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</si>
  <si>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</si>
  <si>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</si>
  <si>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</si>
  <si>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</si>
  <si>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</si>
  <si>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</si>
  <si>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</si>
  <si>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</si>
  <si>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</si>
  <si>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</si>
  <si>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</si>
  <si>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</si>
  <si>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</si>
  <si>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</si>
  <si>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</si>
  <si>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</si>
  <si>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</si>
  <si>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</si>
  <si>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</si>
  <si>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</si>
  <si>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</si>
  <si>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</si>
  <si>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</si>
  <si>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</si>
  <si>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</si>
  <si>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</si>
  <si>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</si>
  <si>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</si>
  <si>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</si>
  <si>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</si>
  <si>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</si>
  <si>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</si>
  <si>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</si>
  <si>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</si>
  <si>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</si>
  <si>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</si>
  <si>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</si>
  <si>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</si>
  <si>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</si>
  <si>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</si>
  <si>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</si>
  <si>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</si>
  <si>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</si>
  <si>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</si>
  <si>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</si>
  <si>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</si>
  <si>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</si>
  <si>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</si>
  <si>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</si>
  <si>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</si>
  <si>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</si>
  <si>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</si>
  <si>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</si>
  <si>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</si>
  <si>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</si>
  <si>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</si>
  <si>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</si>
  <si>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</si>
  <si>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</si>
  <si>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</si>
  <si>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</si>
  <si>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</si>
  <si>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</si>
  <si>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</si>
  <si>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</si>
  <si>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</si>
  <si>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</si>
  <si>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</si>
  <si>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</si>
  <si>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</si>
  <si>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</si>
  <si>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</si>
  <si>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</si>
  <si>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</si>
  <si>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</si>
  <si>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</si>
  <si>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</si>
  <si>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</si>
  <si>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</si>
  <si>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</si>
  <si>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</si>
  <si>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</si>
  <si>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</si>
  <si>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</si>
  <si>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</si>
  <si>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</si>
  <si>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</si>
  <si>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</si>
  <si>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</si>
  <si>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</si>
  <si>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</si>
  <si>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</si>
  <si>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</si>
  <si>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</si>
  <si>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</si>
  <si>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</si>
  <si>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</si>
  <si>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</si>
  <si>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</si>
  <si>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</si>
  <si>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</si>
  <si>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</si>
  <si>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</si>
  <si>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</si>
  <si>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</si>
  <si>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</si>
  <si>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</si>
  <si>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</si>
  <si>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</si>
  <si>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</si>
  <si>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</si>
  <si>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</si>
  <si>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Фактичний показник за 2017 рік</t>
  </si>
  <si>
    <t>Плановий показник поточного 2018 року</t>
  </si>
  <si>
    <t>Фактичний показник поточного року за останній звітний період 2018 року</t>
  </si>
  <si>
    <t>Плановий 2019 рік</t>
  </si>
  <si>
    <t>Інша діяльність в сфері охорони здоров"я</t>
  </si>
  <si>
    <t>обслуговування програмного забезпечення</t>
  </si>
  <si>
    <t>1062/1</t>
  </si>
  <si>
    <t>комунальні(Е/Е)</t>
  </si>
  <si>
    <t>1062/2</t>
  </si>
  <si>
    <t>поліграфічні послуги, заправка картриджів, канцтовари, побутова хімія</t>
  </si>
  <si>
    <t>1062/3</t>
  </si>
  <si>
    <t>послуги з доставки питної води, заміна водного фільтру</t>
  </si>
  <si>
    <t>1062/4</t>
  </si>
  <si>
    <t>амортизація безоплатно отриманих НА</t>
  </si>
  <si>
    <t>1150/1</t>
  </si>
  <si>
    <t>придбання ОЗ</t>
  </si>
  <si>
    <t>3270/1</t>
  </si>
  <si>
    <t>придбання ІНМА</t>
  </si>
  <si>
    <t>3270/2</t>
  </si>
  <si>
    <t>придбання програми бухобліку</t>
  </si>
  <si>
    <t>3290/1</t>
  </si>
  <si>
    <t>3480/1</t>
  </si>
  <si>
    <t>до фінансового плану на 2019 рік</t>
  </si>
  <si>
    <t>КП "Госпітальєри Дніпра" ДМР</t>
  </si>
  <si>
    <t>ФІНАНСОВИЙ ПЛАН ПІДПРИЄМСТВА НА 2019 рік</t>
  </si>
  <si>
    <t>Назва структурного підрозділу та посад</t>
  </si>
  <si>
    <t>Кількість штатних посад</t>
  </si>
  <si>
    <t>Посадовий оклад (грн.)</t>
  </si>
  <si>
    <t>Надбавка за складність і напруженість до 50%</t>
  </si>
  <si>
    <t>Сума надбавки (грн.)</t>
  </si>
  <si>
    <t>Доплата за використання дезінфікуючих засобів (грн.) 10%</t>
  </si>
  <si>
    <t>Адміністративно-господарська частина</t>
  </si>
  <si>
    <t>Директор</t>
  </si>
  <si>
    <t>Заступник директора</t>
  </si>
  <si>
    <t>Помічник директора</t>
  </si>
  <si>
    <t>Головний бухгалтер</t>
  </si>
  <si>
    <t>Відділ навчально-методичної роботи з тактичної медицини</t>
  </si>
  <si>
    <t>Начальник відділу</t>
  </si>
  <si>
    <t>Спеціаліст-інструктор з надання домедичної допомоги</t>
  </si>
  <si>
    <t>Інший персонал</t>
  </si>
  <si>
    <t>Прибиральник службових приміщень</t>
  </si>
  <si>
    <t>1 квартал</t>
  </si>
  <si>
    <t>надбавка</t>
  </si>
  <si>
    <t>усього</t>
  </si>
  <si>
    <t>Виробнича премія</t>
  </si>
  <si>
    <t>Доплата до мінім.</t>
  </si>
  <si>
    <t>собівартість</t>
  </si>
  <si>
    <t>єсв</t>
  </si>
  <si>
    <t>адміни</t>
  </si>
  <si>
    <t>інвалід</t>
  </si>
  <si>
    <t>ФОП</t>
  </si>
  <si>
    <t>ЄСВ</t>
  </si>
  <si>
    <t>таблиця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</si>
  <si>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</si>
  <si>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</si>
  <si>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</si>
  <si>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</si>
  <si>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</si>
  <si>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доплаты по директору не предусмотрены контрактом</t>
  </si>
  <si>
    <t>комунальне підприємство</t>
  </si>
  <si>
    <r>
      <t>інша діяльність у сфері охорони здоров</t>
    </r>
    <r>
      <rPr>
        <sz val="16"/>
        <rFont val="Calibri"/>
        <family val="2"/>
        <charset val="204"/>
      </rPr>
      <t>’</t>
    </r>
    <r>
      <rPr>
        <sz val="16"/>
        <rFont val="Times New Roman"/>
        <family val="1"/>
        <charset val="204"/>
      </rPr>
      <t>я</t>
    </r>
  </si>
  <si>
    <t>86.90</t>
  </si>
  <si>
    <t>комунальна</t>
  </si>
  <si>
    <t>Середньооблікова кількість штатних працівників                                 13</t>
  </si>
  <si>
    <t>49000 м.Дніпро, вул. С.Подолинського, б. 31 А</t>
  </si>
  <si>
    <t>Зінкевич Я.В.</t>
  </si>
  <si>
    <t>20 курсів</t>
  </si>
  <si>
    <t>Нарахування ЗП 2019 р.</t>
  </si>
  <si>
    <t>Надбавка за складність і напруженість (грн.)</t>
  </si>
  <si>
    <t>Доплата до минимальної</t>
  </si>
  <si>
    <t>Фонд заробітної плати на місяць</t>
  </si>
  <si>
    <t>Кількість місяців</t>
  </si>
  <si>
    <t>Фонд ЗП на рік</t>
  </si>
  <si>
    <t>1 кв</t>
  </si>
  <si>
    <t>Півріччя</t>
  </si>
  <si>
    <t>9 міс.</t>
  </si>
  <si>
    <t>Адміністративні</t>
  </si>
  <si>
    <t>Собівартість</t>
  </si>
  <si>
    <t>Разом</t>
  </si>
  <si>
    <t>ВЗ</t>
  </si>
  <si>
    <t>ЄСВ на рік</t>
  </si>
  <si>
    <t>активи?</t>
  </si>
  <si>
    <t>3030/1</t>
  </si>
  <si>
    <t>3030/2</t>
  </si>
  <si>
    <t>коригування на амортизацію, що відноситься до доходів</t>
  </si>
  <si>
    <t>безоплатно отримані НА</t>
  </si>
  <si>
    <t>макет руки для хірургічних вправ</t>
  </si>
  <si>
    <t>скелет з магістральними судинами</t>
  </si>
  <si>
    <t>тазовий турнікет SAM</t>
  </si>
  <si>
    <t>ноші жорсткі НАТО</t>
  </si>
  <si>
    <t>макет ноги для хірургічних вправ</t>
  </si>
  <si>
    <t>кістковий катетер (навчальний)</t>
  </si>
  <si>
    <t>дефібрилятори (навчальні)</t>
  </si>
  <si>
    <t>манекен для СЛР дорослий</t>
  </si>
  <si>
    <t>генератор бензиновий</t>
  </si>
  <si>
    <t>МФУ</t>
  </si>
  <si>
    <t>ноутбук</t>
  </si>
  <si>
    <t>фотокамера</t>
  </si>
  <si>
    <t>смартфон для SMM</t>
  </si>
  <si>
    <t>екшн-камера</t>
  </si>
  <si>
    <t>кондиціонер у навчальну аудиторію (на 70 м.кв.)</t>
  </si>
  <si>
    <t>кутовий диван</t>
  </si>
  <si>
    <t>холодильник</t>
  </si>
  <si>
    <t>пральна машина з режимом сушки (10-12 л)</t>
  </si>
  <si>
    <t>кавомашина в навчальну аудиторію</t>
  </si>
  <si>
    <t>кухонна поверхня</t>
  </si>
  <si>
    <t>2й</t>
  </si>
  <si>
    <t>основні засоби: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</si>
  <si>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</si>
  <si>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</si>
  <si>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</si>
  <si>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</si>
  <si>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</si>
  <si>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</si>
  <si>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</si>
  <si>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</si>
  <si>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</si>
  <si>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</si>
  <si>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</si>
  <si>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1.11.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</si>
  <si>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</si>
  <si>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</si>
  <si>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</si>
  <si>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</si>
  <si>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</si>
  <si>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</si>
  <si>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</si>
  <si>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</si>
  <si>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інші необоротні матеріальні активи:</t>
  </si>
  <si>
    <t>3.</t>
  </si>
  <si>
    <t>Рік 2019</t>
  </si>
  <si>
    <t>Внески органів місцевого самоврядування до статутного фонду</t>
  </si>
  <si>
    <t>Заступник  директора департаменту охорони</t>
  </si>
  <si>
    <t>_________________________________   О.І.Воронько</t>
  </si>
  <si>
    <t>здоров'я населення Дніпровської міської ради</t>
  </si>
  <si>
    <t>ПОГОДЖЕНО                                                                          Заступник міського голови, директор департаменту охорони здоров'я населення Дніпровської міської ради ________________________ А.А. Бабський                                                                      (прізвище та ініціали та підпис заступника міського голови за напрямом діяльності  підприємства)</t>
  </si>
  <si>
    <t>Директор                                ____________________________________</t>
  </si>
  <si>
    <t xml:space="preserve">                    Я. В. Зінкевич</t>
  </si>
  <si>
    <t xml:space="preserve">                Я.В. Зінкевич</t>
  </si>
  <si>
    <t xml:space="preserve">           Я.В. Зінкевич</t>
  </si>
  <si>
    <t xml:space="preserve">               Я.В. Зінкевич</t>
  </si>
  <si>
    <r>
      <t xml:space="preserve">Директор </t>
    </r>
    <r>
      <rPr>
        <sz val="14"/>
        <rFont val="Times New Roman"/>
        <family val="1"/>
        <charset val="204"/>
      </rPr>
      <t>_____________________________</t>
    </r>
  </si>
  <si>
    <t>Я.В. Зінкевич</t>
  </si>
  <si>
    <r>
      <rPr>
        <b/>
        <sz val="14"/>
        <rFont val="Times New Roman"/>
        <family val="1"/>
        <charset val="204"/>
      </rPr>
      <t>Директор</t>
    </r>
    <r>
      <rPr>
        <sz val="14"/>
        <rFont val="Times New Roman"/>
        <family val="1"/>
        <charset val="204"/>
      </rPr>
      <t xml:space="preserve"> ______________________________</t>
    </r>
  </si>
  <si>
    <r>
      <rPr>
        <b/>
        <sz val="14"/>
        <rFont val="Times New Roman"/>
        <family val="1"/>
        <charset val="204"/>
      </rPr>
      <t>Директор</t>
    </r>
    <r>
      <rPr>
        <sz val="14"/>
        <rFont val="Times New Roman"/>
        <family val="1"/>
        <charset val="204"/>
      </rPr>
      <t>__________________________</t>
    </r>
  </si>
  <si>
    <r>
      <t>Директор</t>
    </r>
    <r>
      <rPr>
        <sz val="14"/>
        <rFont val="Times New Roman"/>
        <family val="1"/>
        <charset val="204"/>
      </rPr>
      <t xml:space="preserve"> ________________________________</t>
    </r>
  </si>
  <si>
    <r>
      <t xml:space="preserve">                    </t>
    </r>
    <r>
      <rPr>
        <b/>
        <u/>
        <sz val="14"/>
        <rFont val="Times New Roman"/>
        <family val="1"/>
        <charset val="204"/>
      </rPr>
      <t xml:space="preserve"> Я.В.Зінкевич</t>
    </r>
  </si>
  <si>
    <r>
      <t xml:space="preserve">                             Директор</t>
    </r>
    <r>
      <rPr>
        <sz val="14"/>
        <rFont val="Times New Roman"/>
        <family val="1"/>
        <charset val="204"/>
      </rPr>
      <t>__________________________________</t>
    </r>
  </si>
  <si>
    <r>
      <t xml:space="preserve">                </t>
    </r>
    <r>
      <rPr>
        <b/>
        <u/>
        <sz val="14"/>
        <rFont val="Times New Roman"/>
        <family val="1"/>
        <charset val="204"/>
      </rPr>
      <t>Я.В. Зінкевич</t>
    </r>
  </si>
  <si>
    <r>
      <t>Директор  ______________________________________</t>
    </r>
    <r>
      <rPr>
        <sz val="14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</si>
</sst>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0.0"/>
    <numFmt numFmtId="167" formatCode="#,##0.0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#,##0.0_ ;[Red]\-#,##0.0\ "/>
    <numFmt numFmtId="173" formatCode="0.0;\(0.0\);\ ;\-"/>
    <numFmt numFmtId="174" formatCode="dd\.mm\.yyyy;@"/>
    <numFmt numFmtId="175" formatCode="_(* #,##0_);_(* \(#,##0\);_(* &quot;-&quot;??_);_(@_)"/>
  </numFmts>
  <fonts count="9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4"/>
      <color rgb="FF7030A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/>
      <sz val="1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5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68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69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80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0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3" fontId="68" fillId="22" borderId="12" applyFill="0" applyBorder="0">
      <alignment horizontal="center" vertical="center" wrapText="1"/>
      <protection locked="0"/>
    </xf>
    <xf numFmtId="168" fontId="69" fillId="0" borderId="0">
      <alignment wrapText="1"/>
    </xf>
    <xf numFmtId="168" fontId="36" fillId="0" borderId="0">
      <alignment wrapText="1"/>
    </xf>
  </cellStyleXfs>
  <cellXfs count="48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7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67" fontId="5" fillId="0" borderId="0" xfId="0" applyNumberFormat="1" applyFont="1" applyFill="1" applyAlignment="1">
      <alignment vertical="center"/>
    </xf>
    <xf numFmtId="0" fontId="12" fillId="0" borderId="0" xfId="0" applyFont="1" applyFill="1"/>
    <xf numFmtId="167" fontId="5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67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6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70" fillId="0" borderId="0" xfId="0" applyFont="1" applyAlignment="1" applyProtection="1">
      <alignment vertical="top" wrapText="1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right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horizontal="left"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71" fillId="0" borderId="3" xfId="0" applyFont="1" applyFill="1" applyBorder="1" applyAlignment="1" applyProtection="1">
      <alignment vertical="center"/>
      <protection locked="0"/>
    </xf>
    <xf numFmtId="0" fontId="71" fillId="0" borderId="17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1" fillId="0" borderId="18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vertical="center" wrapText="1"/>
      <protection locked="0"/>
    </xf>
    <xf numFmtId="16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67" fontId="4" fillId="0" borderId="0" xfId="0" quotePrefix="1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67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7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3" fillId="0" borderId="3" xfId="0" applyFont="1" applyFill="1" applyBorder="1" applyAlignment="1">
      <alignment horizontal="left" vertical="center" wrapText="1"/>
    </xf>
    <xf numFmtId="0" fontId="13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5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30" borderId="3" xfId="0" applyFont="1" applyFill="1" applyBorder="1" applyAlignment="1">
      <alignment horizontal="left" wrapText="1"/>
    </xf>
    <xf numFmtId="0" fontId="75" fillId="31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29" borderId="3" xfId="237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6" fillId="30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5" fillId="32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6" fillId="31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3" borderId="0" xfId="0" applyFill="1"/>
    <xf numFmtId="0" fontId="77" fillId="0" borderId="19" xfId="0" applyFont="1" applyBorder="1" applyAlignment="1">
      <alignment horizontal="justify" wrapText="1"/>
    </xf>
    <xf numFmtId="0" fontId="77" fillId="0" borderId="20" xfId="0" applyFont="1" applyBorder="1" applyAlignment="1">
      <alignment horizontal="justify" wrapText="1"/>
    </xf>
    <xf numFmtId="0" fontId="81" fillId="0" borderId="20" xfId="0" applyFont="1" applyBorder="1" applyAlignment="1">
      <alignment horizontal="justify" wrapText="1"/>
    </xf>
    <xf numFmtId="0" fontId="82" fillId="0" borderId="21" xfId="0" applyFont="1" applyBorder="1" applyAlignment="1">
      <alignment horizontal="center" vertical="top" wrapText="1"/>
    </xf>
    <xf numFmtId="0" fontId="83" fillId="0" borderId="22" xfId="0" applyFont="1" applyBorder="1" applyAlignment="1">
      <alignment horizontal="center" vertical="top" wrapText="1"/>
    </xf>
    <xf numFmtId="0" fontId="84" fillId="0" borderId="22" xfId="0" applyFont="1" applyBorder="1" applyAlignment="1">
      <alignment horizontal="center" vertical="top" wrapText="1"/>
    </xf>
    <xf numFmtId="4" fontId="84" fillId="0" borderId="22" xfId="0" applyNumberFormat="1" applyFont="1" applyBorder="1" applyAlignment="1">
      <alignment horizontal="center" vertical="top" wrapText="1"/>
    </xf>
    <xf numFmtId="0" fontId="84" fillId="0" borderId="22" xfId="0" applyFont="1" applyBorder="1" applyAlignment="1">
      <alignment vertical="top" wrapText="1"/>
    </xf>
    <xf numFmtId="0" fontId="78" fillId="0" borderId="22" xfId="0" applyFont="1" applyBorder="1" applyAlignment="1">
      <alignment horizontal="center" vertical="top" wrapText="1"/>
    </xf>
    <xf numFmtId="0" fontId="78" fillId="0" borderId="0" xfId="0" applyFont="1" applyFill="1" applyBorder="1" applyAlignment="1">
      <alignment horizontal="center" wrapText="1"/>
    </xf>
    <xf numFmtId="0" fontId="75" fillId="0" borderId="0" xfId="0" applyFont="1"/>
    <xf numFmtId="0" fontId="77" fillId="0" borderId="0" xfId="0" applyFont="1" applyBorder="1" applyAlignment="1">
      <alignment horizontal="justify" wrapText="1"/>
    </xf>
    <xf numFmtId="0" fontId="84" fillId="0" borderId="0" xfId="0" applyFont="1" applyBorder="1" applyAlignment="1">
      <alignment horizontal="center" vertical="top" wrapText="1"/>
    </xf>
    <xf numFmtId="0" fontId="85" fillId="0" borderId="20" xfId="0" applyFont="1" applyBorder="1" applyAlignment="1">
      <alignment horizontal="justify" vertical="center" wrapText="1"/>
    </xf>
    <xf numFmtId="0" fontId="82" fillId="0" borderId="22" xfId="0" applyFont="1" applyBorder="1" applyAlignment="1">
      <alignment horizontal="center" vertical="center" wrapText="1"/>
    </xf>
    <xf numFmtId="0" fontId="86" fillId="0" borderId="0" xfId="0" applyFont="1"/>
    <xf numFmtId="0" fontId="85" fillId="0" borderId="19" xfId="0" applyFont="1" applyBorder="1" applyAlignment="1">
      <alignment horizontal="justify" vertical="center" wrapText="1"/>
    </xf>
    <xf numFmtId="0" fontId="81" fillId="0" borderId="20" xfId="0" applyFont="1" applyBorder="1" applyAlignment="1">
      <alignment horizontal="justify" vertical="center" wrapText="1"/>
    </xf>
    <xf numFmtId="0" fontId="2" fillId="0" borderId="0" xfId="263"/>
    <xf numFmtId="0" fontId="82" fillId="34" borderId="21" xfId="0" applyFont="1" applyFill="1" applyBorder="1" applyAlignment="1">
      <alignment horizontal="center" vertical="top" wrapText="1"/>
    </xf>
    <xf numFmtId="0" fontId="84" fillId="34" borderId="22" xfId="0" applyFont="1" applyFill="1" applyBorder="1" applyAlignment="1">
      <alignment horizontal="center" vertical="top" wrapText="1"/>
    </xf>
    <xf numFmtId="4" fontId="84" fillId="34" borderId="22" xfId="0" applyNumberFormat="1" applyFont="1" applyFill="1" applyBorder="1" applyAlignment="1">
      <alignment horizontal="center" vertical="top" wrapText="1"/>
    </xf>
    <xf numFmtId="0" fontId="82" fillId="34" borderId="22" xfId="0" applyFont="1" applyFill="1" applyBorder="1" applyAlignment="1">
      <alignment horizontal="center" vertical="center" wrapText="1"/>
    </xf>
    <xf numFmtId="0" fontId="84" fillId="34" borderId="0" xfId="0" applyFont="1" applyFill="1" applyBorder="1" applyAlignment="1">
      <alignment horizontal="center" vertical="top" wrapText="1"/>
    </xf>
    <xf numFmtId="0" fontId="0" fillId="34" borderId="0" xfId="0" applyFill="1"/>
    <xf numFmtId="0" fontId="0" fillId="35" borderId="0" xfId="0" applyFill="1"/>
    <xf numFmtId="0" fontId="87" fillId="0" borderId="0" xfId="0" applyFont="1" applyFill="1" applyAlignment="1">
      <alignment vertical="center"/>
    </xf>
    <xf numFmtId="0" fontId="87" fillId="0" borderId="0" xfId="0" applyFont="1" applyFill="1" applyBorder="1" applyAlignment="1">
      <alignment vertical="center"/>
    </xf>
    <xf numFmtId="0" fontId="89" fillId="0" borderId="0" xfId="0" applyFont="1"/>
    <xf numFmtId="0" fontId="90" fillId="0" borderId="0" xfId="0" applyFont="1"/>
    <xf numFmtId="0" fontId="85" fillId="0" borderId="19" xfId="0" applyFont="1" applyFill="1" applyBorder="1" applyAlignment="1">
      <alignment horizontal="justify" vertical="center" wrapText="1"/>
    </xf>
    <xf numFmtId="0" fontId="85" fillId="0" borderId="28" xfId="0" applyFont="1" applyFill="1" applyBorder="1" applyAlignment="1">
      <alignment horizontal="justify" vertical="center" wrapText="1"/>
    </xf>
    <xf numFmtId="0" fontId="82" fillId="0" borderId="21" xfId="0" applyFont="1" applyBorder="1" applyAlignment="1">
      <alignment horizontal="center" vertical="center" wrapText="1"/>
    </xf>
    <xf numFmtId="2" fontId="82" fillId="0" borderId="22" xfId="0" applyNumberFormat="1" applyFont="1" applyBorder="1" applyAlignment="1">
      <alignment horizontal="center" vertical="center" wrapText="1"/>
    </xf>
    <xf numFmtId="2" fontId="82" fillId="0" borderId="19" xfId="0" applyNumberFormat="1" applyFont="1" applyFill="1" applyBorder="1" applyAlignment="1">
      <alignment vertical="center" wrapText="1"/>
    </xf>
    <xf numFmtId="2" fontId="91" fillId="0" borderId="19" xfId="0" applyNumberFormat="1" applyFont="1" applyBorder="1"/>
    <xf numFmtId="0" fontId="82" fillId="0" borderId="29" xfId="0" applyFont="1" applyBorder="1" applyAlignment="1">
      <alignment horizontal="center" vertical="center" wrapText="1"/>
    </xf>
    <xf numFmtId="2" fontId="82" fillId="0" borderId="29" xfId="0" applyNumberFormat="1" applyFont="1" applyBorder="1" applyAlignment="1">
      <alignment horizontal="center" vertical="center" wrapText="1"/>
    </xf>
    <xf numFmtId="2" fontId="0" fillId="0" borderId="0" xfId="0" applyNumberFormat="1" applyAlignment="1"/>
    <xf numFmtId="2" fontId="91" fillId="0" borderId="0" xfId="0" applyNumberFormat="1" applyFont="1"/>
    <xf numFmtId="2" fontId="91" fillId="0" borderId="19" xfId="0" applyNumberFormat="1" applyFont="1" applyBorder="1" applyAlignment="1"/>
    <xf numFmtId="0" fontId="91" fillId="0" borderId="22" xfId="0" applyFont="1" applyBorder="1" applyAlignment="1">
      <alignment horizontal="center" vertical="center" wrapText="1"/>
    </xf>
    <xf numFmtId="2" fontId="91" fillId="0" borderId="19" xfId="0" applyNumberFormat="1" applyFont="1" applyBorder="1" applyAlignment="1">
      <alignment vertical="center"/>
    </xf>
    <xf numFmtId="2" fontId="0" fillId="0" borderId="0" xfId="0" applyNumberFormat="1"/>
    <xf numFmtId="0" fontId="82" fillId="0" borderId="30" xfId="0" applyFont="1" applyBorder="1" applyAlignment="1">
      <alignment horizontal="center" vertical="center" wrapText="1"/>
    </xf>
    <xf numFmtId="0" fontId="90" fillId="0" borderId="30" xfId="0" applyFont="1" applyBorder="1" applyAlignment="1">
      <alignment horizontal="center" vertical="center" wrapText="1"/>
    </xf>
    <xf numFmtId="2" fontId="82" fillId="0" borderId="30" xfId="0" applyNumberFormat="1" applyFont="1" applyBorder="1" applyAlignment="1">
      <alignment horizontal="center" vertical="center" wrapText="1"/>
    </xf>
    <xf numFmtId="2" fontId="82" fillId="0" borderId="30" xfId="0" applyNumberFormat="1" applyFont="1" applyFill="1" applyBorder="1" applyAlignment="1">
      <alignment vertical="center" wrapText="1"/>
    </xf>
    <xf numFmtId="2" fontId="90" fillId="0" borderId="30" xfId="0" applyNumberFormat="1" applyFont="1" applyBorder="1" applyAlignment="1">
      <alignment vertical="center"/>
    </xf>
    <xf numFmtId="0" fontId="82" fillId="0" borderId="31" xfId="0" applyFont="1" applyBorder="1" applyAlignment="1">
      <alignment horizontal="center" vertical="center" wrapText="1"/>
    </xf>
    <xf numFmtId="2" fontId="82" fillId="0" borderId="31" xfId="0" applyNumberFormat="1" applyFont="1" applyBorder="1" applyAlignment="1">
      <alignment horizontal="center" vertical="center" wrapText="1"/>
    </xf>
    <xf numFmtId="2" fontId="91" fillId="0" borderId="31" xfId="0" applyNumberFormat="1" applyFont="1" applyBorder="1" applyAlignment="1"/>
    <xf numFmtId="2" fontId="91" fillId="0" borderId="31" xfId="0" applyNumberFormat="1" applyFont="1" applyBorder="1"/>
    <xf numFmtId="2" fontId="91" fillId="0" borderId="19" xfId="0" applyNumberFormat="1" applyFont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 wrapText="1"/>
    </xf>
    <xf numFmtId="2" fontId="90" fillId="0" borderId="0" xfId="0" applyNumberFormat="1" applyFont="1"/>
    <xf numFmtId="0" fontId="93" fillId="0" borderId="0" xfId="0" applyFont="1" applyFill="1" applyBorder="1" applyAlignment="1">
      <alignment horizontal="center" vertical="center" wrapText="1"/>
    </xf>
    <xf numFmtId="0" fontId="94" fillId="0" borderId="0" xfId="0" applyFont="1"/>
    <xf numFmtId="0" fontId="95" fillId="0" borderId="0" xfId="0" applyFont="1"/>
    <xf numFmtId="10" fontId="81" fillId="0" borderId="20" xfId="0" applyNumberFormat="1" applyFont="1" applyBorder="1" applyAlignment="1">
      <alignment horizontal="justify" vertical="center" wrapText="1"/>
    </xf>
    <xf numFmtId="9" fontId="85" fillId="0" borderId="29" xfId="0" applyNumberFormat="1" applyFont="1" applyBorder="1" applyAlignment="1">
      <alignment horizontal="justify" vertical="center" wrapText="1"/>
    </xf>
    <xf numFmtId="0" fontId="85" fillId="0" borderId="32" xfId="0" applyFont="1" applyBorder="1" applyAlignment="1">
      <alignment horizontal="justify" vertical="center" wrapText="1"/>
    </xf>
    <xf numFmtId="0" fontId="85" fillId="0" borderId="0" xfId="0" applyFont="1" applyBorder="1" applyAlignment="1">
      <alignment horizontal="justify" vertical="center" wrapText="1"/>
    </xf>
    <xf numFmtId="0" fontId="81" fillId="0" borderId="33" xfId="0" applyFont="1" applyBorder="1" applyAlignment="1">
      <alignment horizontal="justify" vertical="center" wrapText="1"/>
    </xf>
    <xf numFmtId="2" fontId="82" fillId="0" borderId="32" xfId="0" applyNumberFormat="1" applyFont="1" applyBorder="1" applyAlignment="1">
      <alignment horizontal="center" vertical="center" wrapText="1"/>
    </xf>
    <xf numFmtId="2" fontId="82" fillId="0" borderId="0" xfId="0" applyNumberFormat="1" applyFont="1" applyBorder="1" applyAlignment="1">
      <alignment horizontal="center" vertical="center" wrapText="1"/>
    </xf>
    <xf numFmtId="0" fontId="0" fillId="0" borderId="33" xfId="0" applyBorder="1"/>
    <xf numFmtId="0" fontId="0" fillId="0" borderId="0" xfId="0" applyBorder="1"/>
    <xf numFmtId="2" fontId="88" fillId="29" borderId="3" xfId="0" applyNumberFormat="1" applyFont="1" applyFill="1" applyBorder="1" applyAlignment="1" applyProtection="1">
      <alignment horizontal="center" vertical="center" wrapText="1"/>
    </xf>
    <xf numFmtId="2" fontId="88" fillId="29" borderId="3" xfId="237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/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32" borderId="3" xfId="0" applyFont="1" applyFill="1" applyBorder="1" applyAlignment="1" applyProtection="1">
      <alignment horizontal="center" vertical="center" wrapText="1"/>
    </xf>
    <xf numFmtId="0" fontId="5" fillId="32" borderId="3" xfId="245" applyFont="1" applyFill="1" applyBorder="1" applyAlignment="1" applyProtection="1">
      <alignment horizontal="left" vertical="center" wrapText="1"/>
      <protection locked="0"/>
    </xf>
    <xf numFmtId="0" fontId="5" fillId="32" borderId="3" xfId="0" applyFont="1" applyFill="1" applyBorder="1" applyAlignment="1" applyProtection="1">
      <alignment horizontal="center" vertical="center"/>
      <protection locked="0"/>
    </xf>
    <xf numFmtId="0" fontId="86" fillId="0" borderId="0" xfId="0" applyFont="1" applyBorder="1"/>
    <xf numFmtId="0" fontId="81" fillId="0" borderId="0" xfId="0" applyFont="1" applyBorder="1" applyAlignment="1">
      <alignment horizontal="justify" vertical="center" wrapText="1"/>
    </xf>
    <xf numFmtId="0" fontId="8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5" fillId="0" borderId="3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16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23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4" fillId="0" borderId="15" xfId="0" applyFont="1" applyBorder="1" applyAlignment="1" applyProtection="1">
      <alignment horizontal="left" vertical="center" wrapText="1"/>
      <protection locked="0"/>
    </xf>
    <xf numFmtId="0" fontId="74" fillId="0" borderId="16" xfId="0" applyFont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67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2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23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175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0" fontId="88" fillId="29" borderId="14" xfId="0" applyNumberFormat="1" applyFont="1" applyFill="1" applyBorder="1" applyAlignment="1" applyProtection="1">
      <alignment horizontal="center" vertical="center" wrapText="1"/>
    </xf>
    <xf numFmtId="10" fontId="88" fillId="29" borderId="16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5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5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5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75" fontId="5" fillId="32" borderId="14" xfId="0" applyNumberFormat="1" applyFont="1" applyFill="1" applyBorder="1" applyAlignment="1" applyProtection="1">
      <alignment horizontal="center" vertical="center" wrapText="1"/>
      <protection locked="0"/>
    </xf>
    <xf numFmtId="175" fontId="5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 shrinkToFit="1"/>
    </xf>
    <xf numFmtId="10" fontId="5" fillId="29" borderId="14" xfId="0" applyNumberFormat="1" applyFont="1" applyFill="1" applyBorder="1" applyAlignment="1" applyProtection="1">
      <alignment horizontal="center" vertical="center" wrapText="1"/>
    </xf>
    <xf numFmtId="10" fontId="5" fillId="29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4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0" borderId="0" xfId="0" applyFont="1" applyFill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15" xfId="263"/>
    <cellStyle name="Обычный 3 2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9" xfId="271"/>
    <cellStyle name="Обычный 3_Дефицит_7 млрд_0608_бс" xfId="272"/>
    <cellStyle name="Обычный 4" xfId="273"/>
    <cellStyle name="Обычный 5" xfId="274"/>
    <cellStyle name="Обычный 5 2" xfId="275"/>
    <cellStyle name="Обычный 6" xfId="276"/>
    <cellStyle name="Обычный 6 2" xfId="277"/>
    <cellStyle name="Обычный 6 3" xfId="278"/>
    <cellStyle name="Обычный 6 4" xfId="279"/>
    <cellStyle name="Обычный 6_Дефицит_7 млрд_0608_бс" xfId="280"/>
    <cellStyle name="Обычный 7" xfId="281"/>
    <cellStyle name="Обычный 7 2" xfId="282"/>
    <cellStyle name="Обычный 8" xfId="283"/>
    <cellStyle name="Обычный 9" xfId="284"/>
    <cellStyle name="Обычный 9 2" xfId="285"/>
    <cellStyle name="Плохой 2" xfId="286"/>
    <cellStyle name="Плохой 3" xfId="287"/>
    <cellStyle name="Пояснение 2" xfId="288"/>
    <cellStyle name="Пояснение 3" xfId="289"/>
    <cellStyle name="Примечание 2" xfId="290"/>
    <cellStyle name="Примечание 3" xfId="291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5:F20"/>
  <sheetViews>
    <sheetView workbookViewId="0">
      <selection activeCell="F12" sqref="F12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315" t="s">
        <v>399</v>
      </c>
      <c r="B5" s="315"/>
      <c r="C5" s="316" t="s">
        <v>400</v>
      </c>
      <c r="D5" s="316"/>
      <c r="E5" s="179" t="s">
        <v>401</v>
      </c>
      <c r="F5" s="179" t="s">
        <v>402</v>
      </c>
    </row>
    <row r="6" spans="1:6" ht="18">
      <c r="A6" s="176" t="s">
        <v>397</v>
      </c>
      <c r="B6" s="200">
        <v>0.22</v>
      </c>
      <c r="C6" s="205"/>
      <c r="D6" s="206"/>
      <c r="E6" s="178">
        <v>0.18</v>
      </c>
      <c r="F6" s="177">
        <v>1.4999999999999999E-2</v>
      </c>
    </row>
    <row r="7" spans="1:6" ht="25.5">
      <c r="A7" s="176" t="s">
        <v>398</v>
      </c>
      <c r="B7" s="209">
        <v>8.4099999999999994E-2</v>
      </c>
      <c r="C7" s="205"/>
      <c r="D7" s="182"/>
      <c r="E7" s="182"/>
      <c r="F7" s="182"/>
    </row>
    <row r="8" spans="1:6" ht="72.75" customHeight="1">
      <c r="A8" s="205"/>
      <c r="B8" s="206"/>
      <c r="C8" s="205"/>
      <c r="D8" s="206"/>
      <c r="E8" s="182"/>
      <c r="F8" s="182"/>
    </row>
    <row r="10" spans="1:6" ht="24" customHeight="1">
      <c r="B10" s="174"/>
      <c r="C10" s="175" t="s">
        <v>385</v>
      </c>
      <c r="D10" s="175" t="s">
        <v>377</v>
      </c>
      <c r="E10" s="175" t="s">
        <v>378</v>
      </c>
      <c r="F10" s="175" t="s">
        <v>87</v>
      </c>
    </row>
    <row r="11" spans="1:6" ht="25.5">
      <c r="B11" s="180" t="s">
        <v>404</v>
      </c>
      <c r="C11" s="198">
        <f>'I. Фін результат'!F96</f>
        <v>334</v>
      </c>
      <c r="D11" s="198">
        <f>'I. Фін результат'!G96</f>
        <v>795</v>
      </c>
      <c r="E11" s="198">
        <f>'I. Фін результат'!H96</f>
        <v>1256</v>
      </c>
      <c r="F11" s="198">
        <f>'I. Фін результат'!I96</f>
        <v>1718</v>
      </c>
    </row>
    <row r="12" spans="1:6" ht="26.25" customHeight="1">
      <c r="B12" s="181" t="s">
        <v>403</v>
      </c>
      <c r="C12" s="199">
        <f>ROUND(штатка!M30/1000,0)</f>
        <v>37</v>
      </c>
      <c r="D12" s="199">
        <f>ROUND(штатка!N30/1000,0)</f>
        <v>73</v>
      </c>
      <c r="E12" s="199">
        <f>ROUND(штатка!O30/1000,0)</f>
        <v>110</v>
      </c>
      <c r="F12" s="199">
        <f>ROUND(штатка!P30/1000,0)</f>
        <v>146</v>
      </c>
    </row>
    <row r="13" spans="1:6">
      <c r="B13" s="207"/>
      <c r="C13" s="208"/>
      <c r="D13" s="208"/>
      <c r="E13" s="208"/>
      <c r="F13" s="208"/>
    </row>
    <row r="17" spans="2:6" ht="25.5">
      <c r="B17" s="171" t="s">
        <v>6</v>
      </c>
      <c r="C17" s="173">
        <f>(C11-C12)*$B$6+C12*$B$7</f>
        <v>68.451700000000002</v>
      </c>
      <c r="D17" s="173">
        <f>(D11-D12)*$B$6+D12*$B$7</f>
        <v>164.97929999999999</v>
      </c>
      <c r="E17" s="173">
        <f>(E11-E12)*$B$6+E12*$B$7</f>
        <v>261.37099999999998</v>
      </c>
      <c r="F17" s="173">
        <f>(F11-F12)*$B$6+F12*$B$7</f>
        <v>358.11859999999996</v>
      </c>
    </row>
    <row r="18" spans="2:6" ht="38.25">
      <c r="B18" s="172" t="s">
        <v>405</v>
      </c>
      <c r="C18" s="173">
        <f>C11*$E$6</f>
        <v>60.12</v>
      </c>
      <c r="D18" s="173">
        <f>D11*$E$6</f>
        <v>143.1</v>
      </c>
      <c r="E18" s="173">
        <f>E11*$E$6</f>
        <v>226.07999999999998</v>
      </c>
      <c r="F18" s="173">
        <f>F11*$E$6</f>
        <v>309.24</v>
      </c>
    </row>
    <row r="19" spans="2:6">
      <c r="B19" s="176" t="s">
        <v>402</v>
      </c>
      <c r="C19" s="173">
        <f>C11*$F$6</f>
        <v>5.01</v>
      </c>
      <c r="D19" s="173">
        <f>D11*$F$6</f>
        <v>11.924999999999999</v>
      </c>
      <c r="E19" s="173">
        <f>E11*$F$6</f>
        <v>18.84</v>
      </c>
      <c r="F19" s="173">
        <f>F11*$F$6</f>
        <v>25.77</v>
      </c>
    </row>
    <row r="20" spans="2:6">
      <c r="C20" s="170"/>
      <c r="D20" s="170"/>
      <c r="E20" s="170"/>
      <c r="F20" s="170"/>
    </row>
  </sheetData>
  <sheetProtection password="C6FB" sheet="1"/>
  <mergeCells count="2">
    <mergeCell ref="A5:B5"/>
    <mergeCell ref="C5:D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6"/>
  <sheetViews>
    <sheetView topLeftCell="C4" workbookViewId="0">
      <selection activeCell="M57" sqref="M57"/>
    </sheetView>
  </sheetViews>
  <sheetFormatPr defaultRowHeight="12.75"/>
  <cols>
    <col min="2" max="2" width="37.28515625" customWidth="1"/>
    <col min="12" max="12" width="11.5703125" customWidth="1"/>
  </cols>
  <sheetData>
    <row r="1" spans="1:21" ht="13.5" thickBot="1">
      <c r="J1" s="254" t="s">
        <v>467</v>
      </c>
      <c r="K1" s="254"/>
      <c r="L1" s="254"/>
      <c r="M1" s="254"/>
      <c r="N1" s="254"/>
    </row>
    <row r="2" spans="1:21" ht="85.5" thickBot="1">
      <c r="A2" s="229" t="s">
        <v>56</v>
      </c>
      <c r="B2" s="230" t="s">
        <v>434</v>
      </c>
      <c r="C2" s="230" t="s">
        <v>435</v>
      </c>
      <c r="D2" s="230" t="s">
        <v>436</v>
      </c>
      <c r="E2" s="230" t="s">
        <v>437</v>
      </c>
      <c r="F2" s="231" t="s">
        <v>438</v>
      </c>
      <c r="G2" s="230" t="s">
        <v>439</v>
      </c>
      <c r="H2" s="242" t="s">
        <v>453</v>
      </c>
      <c r="I2" s="242" t="s">
        <v>454</v>
      </c>
      <c r="J2" s="240"/>
      <c r="L2" s="238" t="s">
        <v>450</v>
      </c>
      <c r="M2" s="238" t="s">
        <v>451</v>
      </c>
      <c r="N2" s="238" t="s">
        <v>377</v>
      </c>
      <c r="O2" s="238" t="s">
        <v>451</v>
      </c>
      <c r="P2" s="238" t="s">
        <v>378</v>
      </c>
      <c r="Q2" s="238" t="s">
        <v>451</v>
      </c>
      <c r="R2" s="238" t="s">
        <v>87</v>
      </c>
      <c r="S2" s="238" t="s">
        <v>451</v>
      </c>
      <c r="T2" s="238" t="s">
        <v>452</v>
      </c>
    </row>
    <row r="3" spans="1:21" ht="29.25" thickBot="1">
      <c r="A3" s="232"/>
      <c r="B3" s="233" t="s">
        <v>440</v>
      </c>
      <c r="C3" s="234"/>
      <c r="D3" s="234"/>
      <c r="E3" s="234"/>
      <c r="F3" s="234"/>
      <c r="G3" s="234"/>
      <c r="H3" s="243"/>
      <c r="I3" s="243"/>
      <c r="J3" s="241"/>
    </row>
    <row r="4" spans="1:21" s="253" customFormat="1" ht="15.75" thickBot="1">
      <c r="A4" s="248">
        <v>1</v>
      </c>
      <c r="B4" s="249" t="s">
        <v>441</v>
      </c>
      <c r="C4" s="249">
        <v>1</v>
      </c>
      <c r="D4" s="250">
        <v>12187</v>
      </c>
      <c r="E4" s="249"/>
      <c r="F4" s="250"/>
      <c r="G4" s="249"/>
      <c r="H4" s="251"/>
      <c r="I4" s="251"/>
      <c r="J4" s="252">
        <v>12</v>
      </c>
      <c r="L4" s="253">
        <f>D4*3</f>
        <v>36561</v>
      </c>
      <c r="M4" s="253">
        <f>(F4+G4+H4+I4)*3</f>
        <v>0</v>
      </c>
      <c r="N4" s="253">
        <f>D4*6</f>
        <v>73122</v>
      </c>
      <c r="O4" s="253">
        <f>(F4+G4+H4+I4)*6</f>
        <v>0</v>
      </c>
      <c r="P4" s="253">
        <f>D4*9</f>
        <v>109683</v>
      </c>
      <c r="Q4" s="253">
        <f>(F4+G4+H4+I4)*9</f>
        <v>0</v>
      </c>
      <c r="R4" s="253">
        <f>D4*12</f>
        <v>146244</v>
      </c>
      <c r="S4" s="253">
        <f>(F4+G4+H4+I4)*12</f>
        <v>0</v>
      </c>
      <c r="T4" s="253">
        <f>R4+S4</f>
        <v>146244</v>
      </c>
      <c r="U4" s="253">
        <f>T4/12</f>
        <v>12187</v>
      </c>
    </row>
    <row r="5" spans="1:21" ht="15.75" thickBot="1">
      <c r="A5" s="232">
        <v>2</v>
      </c>
      <c r="B5" s="234" t="s">
        <v>442</v>
      </c>
      <c r="C5" s="234">
        <v>1</v>
      </c>
      <c r="D5" s="234">
        <v>10968</v>
      </c>
      <c r="E5" s="234">
        <v>25</v>
      </c>
      <c r="F5" s="234">
        <v>2742</v>
      </c>
      <c r="G5" s="234"/>
      <c r="H5" s="243">
        <v>500</v>
      </c>
      <c r="I5" s="243"/>
      <c r="J5" s="241">
        <v>11</v>
      </c>
      <c r="L5">
        <f>D5*2</f>
        <v>21936</v>
      </c>
      <c r="M5">
        <f>(F5+G5+H5+I5)*2</f>
        <v>6484</v>
      </c>
      <c r="N5">
        <f>D5*5</f>
        <v>54840</v>
      </c>
      <c r="O5">
        <f>(F5+G5+H5+I5)*5</f>
        <v>16210</v>
      </c>
      <c r="P5">
        <f>D5*8</f>
        <v>87744</v>
      </c>
      <c r="Q5">
        <f>(F5+G5+H5+I5)*8</f>
        <v>25936</v>
      </c>
      <c r="R5">
        <f>D5*11</f>
        <v>120648</v>
      </c>
      <c r="S5">
        <f>(F5+G5+H5+I5)*11</f>
        <v>35662</v>
      </c>
      <c r="T5">
        <f t="shared" ref="T5:T18" si="0">R5+S5</f>
        <v>156310</v>
      </c>
      <c r="U5">
        <f>T5/11</f>
        <v>14210</v>
      </c>
    </row>
    <row r="6" spans="1:21" ht="15.75" thickBot="1">
      <c r="A6" s="232">
        <v>3</v>
      </c>
      <c r="B6" s="234" t="s">
        <v>443</v>
      </c>
      <c r="C6" s="234">
        <v>1</v>
      </c>
      <c r="D6" s="234">
        <v>8531</v>
      </c>
      <c r="E6" s="234">
        <v>25</v>
      </c>
      <c r="F6" s="234">
        <v>2133</v>
      </c>
      <c r="G6" s="234"/>
      <c r="H6" s="243">
        <v>2047</v>
      </c>
      <c r="I6" s="243"/>
      <c r="J6" s="241">
        <v>11</v>
      </c>
      <c r="L6">
        <f>D6*2</f>
        <v>17062</v>
      </c>
      <c r="M6">
        <f>(F6+G6+H6+I6)*2</f>
        <v>8360</v>
      </c>
      <c r="N6">
        <f>D6*5</f>
        <v>42655</v>
      </c>
      <c r="O6">
        <f>(F6+G6+H6+I6)*5</f>
        <v>20900</v>
      </c>
      <c r="P6">
        <f>D6*8</f>
        <v>68248</v>
      </c>
      <c r="Q6">
        <f>(F6+G6+H6+I6)*8</f>
        <v>33440</v>
      </c>
      <c r="R6">
        <f>D6*11</f>
        <v>93841</v>
      </c>
      <c r="S6">
        <f>(F6+G6+H6+I6)*11</f>
        <v>45980</v>
      </c>
      <c r="T6">
        <f t="shared" si="0"/>
        <v>139821</v>
      </c>
      <c r="U6">
        <f>T6/11</f>
        <v>12711</v>
      </c>
    </row>
    <row r="7" spans="1:21" ht="15.75" thickBot="1">
      <c r="A7" s="232">
        <v>4</v>
      </c>
      <c r="B7" s="234" t="s">
        <v>444</v>
      </c>
      <c r="C7" s="234">
        <v>1</v>
      </c>
      <c r="D7" s="235">
        <v>10359</v>
      </c>
      <c r="E7" s="234">
        <v>30</v>
      </c>
      <c r="F7" s="234">
        <v>3108</v>
      </c>
      <c r="G7" s="234"/>
      <c r="H7" s="243">
        <v>500</v>
      </c>
      <c r="I7" s="243"/>
      <c r="J7" s="241">
        <v>12</v>
      </c>
      <c r="L7">
        <f>D7*3</f>
        <v>31077</v>
      </c>
      <c r="M7">
        <f>(F7+G7+H7+I7)*3</f>
        <v>10824</v>
      </c>
      <c r="N7">
        <f>D7*6</f>
        <v>62154</v>
      </c>
      <c r="O7">
        <f>(F7+G7+H7+I7)*6</f>
        <v>21648</v>
      </c>
      <c r="P7">
        <f>D7*9</f>
        <v>93231</v>
      </c>
      <c r="Q7">
        <f>(F7+G7+H7+I7)*9</f>
        <v>32472</v>
      </c>
      <c r="R7">
        <f>D7*12</f>
        <v>124308</v>
      </c>
      <c r="S7">
        <f>(F7+G7+H7+I7)*12</f>
        <v>43296</v>
      </c>
      <c r="T7">
        <f t="shared" si="0"/>
        <v>167604</v>
      </c>
      <c r="U7">
        <f>T7/12</f>
        <v>13967</v>
      </c>
    </row>
    <row r="8" spans="1:21" ht="29.25" thickBot="1">
      <c r="A8" s="232"/>
      <c r="B8" s="233" t="s">
        <v>445</v>
      </c>
      <c r="C8" s="234"/>
      <c r="D8" s="234"/>
      <c r="E8" s="234"/>
      <c r="F8" s="234"/>
      <c r="G8" s="234"/>
      <c r="H8" s="243"/>
      <c r="I8" s="243"/>
      <c r="J8" s="241"/>
      <c r="L8">
        <f>D8*2</f>
        <v>0</v>
      </c>
      <c r="M8">
        <f>(F8+G8+H8+I8)*2</f>
        <v>0</v>
      </c>
      <c r="N8">
        <f>D8*5</f>
        <v>0</v>
      </c>
      <c r="O8">
        <f>(F8+G8+H8+I8)*5</f>
        <v>0</v>
      </c>
      <c r="P8">
        <f>D8*8</f>
        <v>0</v>
      </c>
      <c r="Q8">
        <f>(F8+G8+H8+I8)*8</f>
        <v>0</v>
      </c>
      <c r="R8">
        <f>D8*11</f>
        <v>0</v>
      </c>
      <c r="S8">
        <f>(F8+G8+H8+I8)*11</f>
        <v>0</v>
      </c>
      <c r="T8">
        <f t="shared" si="0"/>
        <v>0</v>
      </c>
    </row>
    <row r="9" spans="1:21" ht="15.75" thickBot="1">
      <c r="A9" s="232">
        <v>5</v>
      </c>
      <c r="B9" s="234" t="s">
        <v>446</v>
      </c>
      <c r="C9" s="234">
        <v>1</v>
      </c>
      <c r="D9" s="234">
        <v>10359</v>
      </c>
      <c r="E9" s="234">
        <v>25</v>
      </c>
      <c r="F9" s="234">
        <v>2590</v>
      </c>
      <c r="G9" s="234"/>
      <c r="H9" s="243">
        <v>1243</v>
      </c>
      <c r="I9" s="243"/>
      <c r="J9" s="241">
        <v>11</v>
      </c>
      <c r="L9">
        <f t="shared" ref="L9:L18" si="1">D9*2</f>
        <v>20718</v>
      </c>
      <c r="M9">
        <f t="shared" ref="M9:M18" si="2">(F9+G9+H9+I9)*2</f>
        <v>7666</v>
      </c>
      <c r="N9">
        <f t="shared" ref="N9:N18" si="3">D9*5</f>
        <v>51795</v>
      </c>
      <c r="O9">
        <f t="shared" ref="O9:O18" si="4">(F9+G9+H9+I9)*5</f>
        <v>19165</v>
      </c>
      <c r="P9">
        <f t="shared" ref="P9:P18" si="5">D9*8</f>
        <v>82872</v>
      </c>
      <c r="Q9">
        <f t="shared" ref="Q9:Q18" si="6">(F9+G9+H9+I9)*8</f>
        <v>30664</v>
      </c>
      <c r="R9">
        <f t="shared" ref="R9:R18" si="7">D9*11</f>
        <v>113949</v>
      </c>
      <c r="S9">
        <f t="shared" ref="S9:S18" si="8">(F9+G9+H9+I9)*11</f>
        <v>42163</v>
      </c>
      <c r="T9">
        <f t="shared" si="0"/>
        <v>156112</v>
      </c>
      <c r="U9">
        <f>T9/11</f>
        <v>14192</v>
      </c>
    </row>
    <row r="10" spans="1:21" ht="30.75" thickBot="1">
      <c r="A10" s="232">
        <v>6</v>
      </c>
      <c r="B10" s="234" t="s">
        <v>447</v>
      </c>
      <c r="C10" s="234">
        <v>1</v>
      </c>
      <c r="D10" s="234">
        <v>3496</v>
      </c>
      <c r="E10" s="234">
        <v>50</v>
      </c>
      <c r="F10" s="234">
        <v>1748</v>
      </c>
      <c r="G10" s="234"/>
      <c r="H10" s="243">
        <v>6487</v>
      </c>
      <c r="I10" s="243"/>
      <c r="J10" s="241">
        <v>11</v>
      </c>
      <c r="L10">
        <f t="shared" si="1"/>
        <v>6992</v>
      </c>
      <c r="M10">
        <f t="shared" si="2"/>
        <v>16470</v>
      </c>
      <c r="N10">
        <f t="shared" si="3"/>
        <v>17480</v>
      </c>
      <c r="O10">
        <f t="shared" si="4"/>
        <v>41175</v>
      </c>
      <c r="P10">
        <f t="shared" si="5"/>
        <v>27968</v>
      </c>
      <c r="Q10">
        <f t="shared" si="6"/>
        <v>65880</v>
      </c>
      <c r="R10">
        <f t="shared" si="7"/>
        <v>38456</v>
      </c>
      <c r="S10">
        <f t="shared" si="8"/>
        <v>90585</v>
      </c>
      <c r="T10">
        <f t="shared" si="0"/>
        <v>129041</v>
      </c>
      <c r="U10">
        <f t="shared" ref="U10:U18" si="9">T10/11</f>
        <v>11731</v>
      </c>
    </row>
    <row r="11" spans="1:21" ht="30.75" thickBot="1">
      <c r="A11" s="232">
        <v>7</v>
      </c>
      <c r="B11" s="234" t="s">
        <v>447</v>
      </c>
      <c r="C11" s="234">
        <v>1</v>
      </c>
      <c r="D11" s="234">
        <v>3496</v>
      </c>
      <c r="E11" s="234">
        <v>50</v>
      </c>
      <c r="F11" s="234">
        <v>1748</v>
      </c>
      <c r="G11" s="234"/>
      <c r="H11" s="243">
        <v>6487</v>
      </c>
      <c r="I11" s="243"/>
      <c r="J11" s="241">
        <v>11</v>
      </c>
      <c r="L11">
        <f t="shared" si="1"/>
        <v>6992</v>
      </c>
      <c r="M11">
        <f t="shared" si="2"/>
        <v>16470</v>
      </c>
      <c r="N11">
        <f t="shared" si="3"/>
        <v>17480</v>
      </c>
      <c r="O11">
        <f t="shared" si="4"/>
        <v>41175</v>
      </c>
      <c r="P11">
        <f t="shared" si="5"/>
        <v>27968</v>
      </c>
      <c r="Q11">
        <f t="shared" si="6"/>
        <v>65880</v>
      </c>
      <c r="R11">
        <f t="shared" si="7"/>
        <v>38456</v>
      </c>
      <c r="S11">
        <f t="shared" si="8"/>
        <v>90585</v>
      </c>
      <c r="T11">
        <f t="shared" si="0"/>
        <v>129041</v>
      </c>
      <c r="U11">
        <f t="shared" si="9"/>
        <v>11731</v>
      </c>
    </row>
    <row r="12" spans="1:21" ht="30.75" thickBot="1">
      <c r="A12" s="232">
        <v>8</v>
      </c>
      <c r="B12" s="236" t="s">
        <v>447</v>
      </c>
      <c r="C12" s="234">
        <v>1</v>
      </c>
      <c r="D12" s="234">
        <v>3496</v>
      </c>
      <c r="E12" s="234">
        <v>50</v>
      </c>
      <c r="F12" s="234">
        <v>1748</v>
      </c>
      <c r="G12" s="234"/>
      <c r="H12" s="243">
        <v>6487</v>
      </c>
      <c r="I12" s="243"/>
      <c r="J12" s="241">
        <v>11</v>
      </c>
      <c r="L12">
        <f t="shared" si="1"/>
        <v>6992</v>
      </c>
      <c r="M12">
        <f t="shared" si="2"/>
        <v>16470</v>
      </c>
      <c r="N12">
        <f t="shared" si="3"/>
        <v>17480</v>
      </c>
      <c r="O12">
        <f t="shared" si="4"/>
        <v>41175</v>
      </c>
      <c r="P12">
        <f t="shared" si="5"/>
        <v>27968</v>
      </c>
      <c r="Q12">
        <f t="shared" si="6"/>
        <v>65880</v>
      </c>
      <c r="R12">
        <f t="shared" si="7"/>
        <v>38456</v>
      </c>
      <c r="S12">
        <f t="shared" si="8"/>
        <v>90585</v>
      </c>
      <c r="T12">
        <f t="shared" si="0"/>
        <v>129041</v>
      </c>
      <c r="U12">
        <f t="shared" si="9"/>
        <v>11731</v>
      </c>
    </row>
    <row r="13" spans="1:21" ht="30.75" thickBot="1">
      <c r="A13" s="232">
        <v>9</v>
      </c>
      <c r="B13" s="234" t="s">
        <v>447</v>
      </c>
      <c r="C13" s="234">
        <v>1</v>
      </c>
      <c r="D13" s="234">
        <v>3496</v>
      </c>
      <c r="E13" s="234">
        <v>50</v>
      </c>
      <c r="F13" s="234">
        <v>1748</v>
      </c>
      <c r="G13" s="234"/>
      <c r="H13" s="243">
        <v>6487</v>
      </c>
      <c r="I13" s="243"/>
      <c r="J13" s="241">
        <v>11</v>
      </c>
      <c r="L13">
        <f t="shared" si="1"/>
        <v>6992</v>
      </c>
      <c r="M13">
        <f t="shared" si="2"/>
        <v>16470</v>
      </c>
      <c r="N13">
        <f t="shared" si="3"/>
        <v>17480</v>
      </c>
      <c r="O13">
        <f t="shared" si="4"/>
        <v>41175</v>
      </c>
      <c r="P13">
        <f t="shared" si="5"/>
        <v>27968</v>
      </c>
      <c r="Q13">
        <f t="shared" si="6"/>
        <v>65880</v>
      </c>
      <c r="R13">
        <f t="shared" si="7"/>
        <v>38456</v>
      </c>
      <c r="S13">
        <f t="shared" si="8"/>
        <v>90585</v>
      </c>
      <c r="T13">
        <f t="shared" si="0"/>
        <v>129041</v>
      </c>
      <c r="U13">
        <f t="shared" si="9"/>
        <v>11731</v>
      </c>
    </row>
    <row r="14" spans="1:21" ht="30.75" thickBot="1">
      <c r="A14" s="232">
        <v>10</v>
      </c>
      <c r="B14" s="234" t="s">
        <v>447</v>
      </c>
      <c r="C14" s="234">
        <v>1</v>
      </c>
      <c r="D14" s="234">
        <v>3496</v>
      </c>
      <c r="E14" s="234">
        <v>50</v>
      </c>
      <c r="F14" s="234">
        <v>1748</v>
      </c>
      <c r="G14" s="234"/>
      <c r="H14" s="243">
        <v>6487</v>
      </c>
      <c r="I14" s="243"/>
      <c r="J14" s="241">
        <v>11</v>
      </c>
      <c r="L14">
        <f t="shared" si="1"/>
        <v>6992</v>
      </c>
      <c r="M14">
        <f t="shared" si="2"/>
        <v>16470</v>
      </c>
      <c r="N14">
        <f t="shared" si="3"/>
        <v>17480</v>
      </c>
      <c r="O14">
        <f t="shared" si="4"/>
        <v>41175</v>
      </c>
      <c r="P14">
        <f t="shared" si="5"/>
        <v>27968</v>
      </c>
      <c r="Q14">
        <f t="shared" si="6"/>
        <v>65880</v>
      </c>
      <c r="R14">
        <f t="shared" si="7"/>
        <v>38456</v>
      </c>
      <c r="S14">
        <f t="shared" si="8"/>
        <v>90585</v>
      </c>
      <c r="T14">
        <f t="shared" si="0"/>
        <v>129041</v>
      </c>
      <c r="U14">
        <f t="shared" si="9"/>
        <v>11731</v>
      </c>
    </row>
    <row r="15" spans="1:21" ht="30.75" thickBot="1">
      <c r="A15" s="232">
        <v>11</v>
      </c>
      <c r="B15" s="234" t="s">
        <v>447</v>
      </c>
      <c r="C15" s="234">
        <v>1</v>
      </c>
      <c r="D15" s="234">
        <v>3496</v>
      </c>
      <c r="E15" s="234">
        <v>50</v>
      </c>
      <c r="F15" s="234">
        <v>1748</v>
      </c>
      <c r="G15" s="234"/>
      <c r="H15" s="243">
        <v>6487</v>
      </c>
      <c r="I15" s="243"/>
      <c r="J15" s="241">
        <v>11</v>
      </c>
      <c r="L15">
        <f t="shared" si="1"/>
        <v>6992</v>
      </c>
      <c r="M15">
        <f t="shared" si="2"/>
        <v>16470</v>
      </c>
      <c r="N15">
        <f t="shared" si="3"/>
        <v>17480</v>
      </c>
      <c r="O15">
        <f t="shared" si="4"/>
        <v>41175</v>
      </c>
      <c r="P15">
        <f t="shared" si="5"/>
        <v>27968</v>
      </c>
      <c r="Q15">
        <f t="shared" si="6"/>
        <v>65880</v>
      </c>
      <c r="R15">
        <f t="shared" si="7"/>
        <v>38456</v>
      </c>
      <c r="S15">
        <f t="shared" si="8"/>
        <v>90585</v>
      </c>
      <c r="T15">
        <f t="shared" si="0"/>
        <v>129041</v>
      </c>
      <c r="U15">
        <f t="shared" si="9"/>
        <v>11731</v>
      </c>
    </row>
    <row r="16" spans="1:21" ht="30.75" thickBot="1">
      <c r="A16" s="232">
        <v>12</v>
      </c>
      <c r="B16" s="234" t="s">
        <v>447</v>
      </c>
      <c r="C16" s="234">
        <v>1</v>
      </c>
      <c r="D16" s="234">
        <v>3496</v>
      </c>
      <c r="E16" s="234">
        <v>50</v>
      </c>
      <c r="F16" s="234">
        <v>1748</v>
      </c>
      <c r="G16" s="234"/>
      <c r="H16" s="243">
        <v>6487</v>
      </c>
      <c r="I16" s="243"/>
      <c r="J16" s="241">
        <v>11</v>
      </c>
      <c r="L16">
        <f t="shared" si="1"/>
        <v>6992</v>
      </c>
      <c r="M16">
        <f t="shared" si="2"/>
        <v>16470</v>
      </c>
      <c r="N16">
        <f t="shared" si="3"/>
        <v>17480</v>
      </c>
      <c r="O16">
        <f t="shared" si="4"/>
        <v>41175</v>
      </c>
      <c r="P16">
        <f t="shared" si="5"/>
        <v>27968</v>
      </c>
      <c r="Q16">
        <f t="shared" si="6"/>
        <v>65880</v>
      </c>
      <c r="R16">
        <f t="shared" si="7"/>
        <v>38456</v>
      </c>
      <c r="S16">
        <f t="shared" si="8"/>
        <v>90585</v>
      </c>
      <c r="T16">
        <f t="shared" si="0"/>
        <v>129041</v>
      </c>
      <c r="U16">
        <f t="shared" si="9"/>
        <v>11731</v>
      </c>
    </row>
    <row r="17" spans="1:21" ht="15.75" thickBot="1">
      <c r="A17" s="232"/>
      <c r="B17" s="233" t="s">
        <v>448</v>
      </c>
      <c r="C17" s="234"/>
      <c r="D17" s="234"/>
      <c r="E17" s="234"/>
      <c r="F17" s="234"/>
      <c r="G17" s="234"/>
      <c r="H17" s="243"/>
      <c r="I17" s="243"/>
      <c r="J17" s="241"/>
      <c r="L17">
        <f t="shared" si="1"/>
        <v>0</v>
      </c>
      <c r="M17">
        <f t="shared" si="2"/>
        <v>0</v>
      </c>
      <c r="N17">
        <f t="shared" si="3"/>
        <v>0</v>
      </c>
      <c r="O17">
        <f t="shared" si="4"/>
        <v>0</v>
      </c>
      <c r="P17">
        <f t="shared" si="5"/>
        <v>0</v>
      </c>
      <c r="Q17">
        <f t="shared" si="6"/>
        <v>0</v>
      </c>
      <c r="R17">
        <f t="shared" si="7"/>
        <v>0</v>
      </c>
      <c r="S17">
        <f t="shared" si="8"/>
        <v>0</v>
      </c>
      <c r="T17">
        <f t="shared" si="0"/>
        <v>0</v>
      </c>
      <c r="U17">
        <f t="shared" si="9"/>
        <v>0</v>
      </c>
    </row>
    <row r="18" spans="1:21" ht="15.75" thickBot="1">
      <c r="A18" s="232">
        <v>13</v>
      </c>
      <c r="B18" s="237" t="s">
        <v>449</v>
      </c>
      <c r="C18" s="234">
        <v>1</v>
      </c>
      <c r="D18" s="234">
        <v>2094</v>
      </c>
      <c r="E18" s="234">
        <v>50</v>
      </c>
      <c r="F18" s="234">
        <v>1047</v>
      </c>
      <c r="G18" s="234">
        <v>209</v>
      </c>
      <c r="H18" s="243"/>
      <c r="I18" s="243">
        <v>1032</v>
      </c>
      <c r="J18" s="241">
        <v>11</v>
      </c>
      <c r="L18">
        <f t="shared" si="1"/>
        <v>4188</v>
      </c>
      <c r="M18">
        <f t="shared" si="2"/>
        <v>4576</v>
      </c>
      <c r="N18">
        <f t="shared" si="3"/>
        <v>10470</v>
      </c>
      <c r="O18">
        <f t="shared" si="4"/>
        <v>11440</v>
      </c>
      <c r="P18">
        <f t="shared" si="5"/>
        <v>16752</v>
      </c>
      <c r="Q18">
        <f t="shared" si="6"/>
        <v>18304</v>
      </c>
      <c r="R18">
        <f t="shared" si="7"/>
        <v>23034</v>
      </c>
      <c r="S18">
        <f t="shared" si="8"/>
        <v>25168</v>
      </c>
      <c r="T18">
        <f t="shared" si="0"/>
        <v>48202</v>
      </c>
      <c r="U18">
        <f t="shared" si="9"/>
        <v>4382</v>
      </c>
    </row>
    <row r="19" spans="1:21">
      <c r="A19" s="228"/>
      <c r="B19" s="228"/>
      <c r="L19" s="239">
        <f>SUM(L4:L18)</f>
        <v>180486</v>
      </c>
      <c r="M19" s="239">
        <f t="shared" ref="M19:T19" si="10">SUM(M4:M18)</f>
        <v>153200</v>
      </c>
      <c r="N19" s="239">
        <f t="shared" si="10"/>
        <v>417396</v>
      </c>
      <c r="O19" s="239">
        <f t="shared" si="10"/>
        <v>377588</v>
      </c>
      <c r="P19" s="239">
        <f t="shared" si="10"/>
        <v>654306</v>
      </c>
      <c r="Q19" s="239">
        <f t="shared" si="10"/>
        <v>601976</v>
      </c>
      <c r="R19" s="239">
        <f t="shared" si="10"/>
        <v>891216</v>
      </c>
      <c r="S19" s="239">
        <f t="shared" si="10"/>
        <v>826364</v>
      </c>
      <c r="T19" s="239">
        <f t="shared" si="10"/>
        <v>1717580</v>
      </c>
    </row>
    <row r="20" spans="1:21">
      <c r="A20" s="228"/>
      <c r="B20" s="228"/>
    </row>
    <row r="21" spans="1:21">
      <c r="A21" s="311"/>
      <c r="B21" s="296"/>
      <c r="C21" s="296"/>
      <c r="D21" s="296"/>
      <c r="E21" s="296"/>
      <c r="F21" s="296"/>
      <c r="G21" s="296"/>
      <c r="H21" s="296"/>
      <c r="I21" s="296"/>
      <c r="J21" s="296"/>
    </row>
    <row r="22" spans="1:21">
      <c r="A22" s="296"/>
      <c r="B22" s="296"/>
      <c r="C22" s="296"/>
      <c r="D22" s="291"/>
      <c r="E22" s="291"/>
      <c r="F22" s="312"/>
      <c r="G22" s="291"/>
      <c r="H22" s="291"/>
      <c r="I22" s="296"/>
      <c r="J22" s="296"/>
    </row>
    <row r="23" spans="1:21">
      <c r="A23" s="313"/>
      <c r="B23" s="296"/>
      <c r="C23" s="296"/>
      <c r="D23" s="296"/>
      <c r="E23" s="296"/>
      <c r="F23" s="296"/>
      <c r="G23" s="296"/>
      <c r="H23" s="296"/>
      <c r="I23" s="296"/>
      <c r="J23" s="296"/>
      <c r="M23" t="s">
        <v>450</v>
      </c>
      <c r="N23" t="s">
        <v>377</v>
      </c>
      <c r="O23" t="s">
        <v>378</v>
      </c>
      <c r="P23" t="s">
        <v>87</v>
      </c>
    </row>
    <row r="24" spans="1:21">
      <c r="A24" s="296"/>
      <c r="B24" s="296"/>
      <c r="C24" s="296"/>
      <c r="D24" s="296"/>
      <c r="E24" s="296"/>
      <c r="F24" s="296"/>
      <c r="G24" s="296"/>
      <c r="H24" s="296"/>
      <c r="I24" s="296"/>
      <c r="J24" s="296"/>
      <c r="L24" t="s">
        <v>455</v>
      </c>
      <c r="M24">
        <f>SUM(L9:M16)</f>
        <v>192618</v>
      </c>
      <c r="N24">
        <f>SUM(N9:O16)</f>
        <v>481545</v>
      </c>
      <c r="O24">
        <f>SUM(P9:Q16)</f>
        <v>770472</v>
      </c>
      <c r="P24">
        <f>SUM(R9:S16)</f>
        <v>1059399</v>
      </c>
    </row>
    <row r="25" spans="1:21">
      <c r="A25" s="296"/>
      <c r="B25" s="296"/>
      <c r="C25" s="296"/>
      <c r="D25" s="296"/>
      <c r="E25" s="296"/>
      <c r="F25" s="296"/>
      <c r="G25" s="296"/>
      <c r="H25" s="296"/>
      <c r="I25" s="296"/>
      <c r="J25" s="311"/>
      <c r="L25" t="s">
        <v>456</v>
      </c>
      <c r="M25">
        <f>M24*22%</f>
        <v>42375.96</v>
      </c>
      <c r="N25">
        <f>N24*22%</f>
        <v>105939.9</v>
      </c>
      <c r="O25">
        <f>O24*22%</f>
        <v>169503.84</v>
      </c>
      <c r="P25">
        <f>P24*22%</f>
        <v>233067.78</v>
      </c>
    </row>
    <row r="26" spans="1:21">
      <c r="A26" s="296"/>
      <c r="B26" s="296"/>
      <c r="C26" s="296"/>
      <c r="D26" s="296"/>
      <c r="E26" s="296"/>
      <c r="F26" s="296"/>
      <c r="G26" s="296"/>
      <c r="H26" s="296"/>
      <c r="I26" s="296"/>
      <c r="J26" s="296"/>
    </row>
    <row r="27" spans="1:21">
      <c r="L27" t="s">
        <v>457</v>
      </c>
      <c r="M27">
        <f>SUM(L4:M7)+SUM(L18:M18)</f>
        <v>141068</v>
      </c>
      <c r="N27">
        <f>SUM(N4:O7)+SUM(N18:O18)</f>
        <v>313439</v>
      </c>
      <c r="O27">
        <f>SUM(P4:Q7)+SUM(P18:Q18)</f>
        <v>485810</v>
      </c>
      <c r="P27">
        <f>SUM(R4:S7)+SUM(R18:S18)</f>
        <v>658181</v>
      </c>
    </row>
    <row r="28" spans="1:21">
      <c r="J28" s="244"/>
      <c r="L28" t="s">
        <v>456</v>
      </c>
      <c r="M28">
        <f>(M27-M30)*22%+M30*8.41%</f>
        <v>26066.320100000001</v>
      </c>
      <c r="N28">
        <f>(N27-N30)*22%+N30*8.41%</f>
        <v>59019.300199999998</v>
      </c>
      <c r="O28">
        <f>(O27-O30)*22%+O30*8.41%</f>
        <v>91972.280299999999</v>
      </c>
      <c r="P28">
        <f>(P27-P30)*22%+P30*8.41%</f>
        <v>124925.2604</v>
      </c>
    </row>
    <row r="30" spans="1:21">
      <c r="L30" t="s">
        <v>458</v>
      </c>
      <c r="M30">
        <f>L4</f>
        <v>36561</v>
      </c>
      <c r="N30">
        <f>N4</f>
        <v>73122</v>
      </c>
      <c r="O30">
        <f>P4</f>
        <v>109683</v>
      </c>
      <c r="P30">
        <f>R4</f>
        <v>146244</v>
      </c>
    </row>
    <row r="32" spans="1:21">
      <c r="L32" t="s">
        <v>459</v>
      </c>
      <c r="M32">
        <f>M24+M27</f>
        <v>333686</v>
      </c>
      <c r="N32">
        <f t="shared" ref="N32:P33" si="11">N24+N27</f>
        <v>794984</v>
      </c>
      <c r="O32">
        <f t="shared" si="11"/>
        <v>1256282</v>
      </c>
      <c r="P32">
        <f t="shared" si="11"/>
        <v>1717580</v>
      </c>
    </row>
    <row r="33" spans="12:16">
      <c r="L33" t="s">
        <v>460</v>
      </c>
      <c r="M33">
        <f>M25+M28</f>
        <v>68442.280100000004</v>
      </c>
      <c r="N33">
        <f t="shared" si="11"/>
        <v>164959.20019999999</v>
      </c>
      <c r="O33">
        <f t="shared" si="11"/>
        <v>261476.12030000001</v>
      </c>
      <c r="P33">
        <f t="shared" si="11"/>
        <v>357993.0404</v>
      </c>
    </row>
    <row r="36" spans="12:16">
      <c r="L36" s="247" t="s">
        <v>461</v>
      </c>
    </row>
    <row r="37" spans="12:16">
      <c r="L37" s="247"/>
    </row>
    <row r="38" spans="12:16">
      <c r="L38" s="247" t="s">
        <v>462</v>
      </c>
    </row>
    <row r="39" spans="12:16">
      <c r="L39" s="247" t="s">
        <v>277</v>
      </c>
      <c r="M39">
        <f>T4</f>
        <v>146244</v>
      </c>
    </row>
    <row r="40" spans="12:16">
      <c r="L40" s="247" t="s">
        <v>463</v>
      </c>
      <c r="M40">
        <f>P27-M39</f>
        <v>511937</v>
      </c>
    </row>
    <row r="41" spans="12:16">
      <c r="L41" s="247" t="s">
        <v>278</v>
      </c>
      <c r="M41">
        <f>P24</f>
        <v>1059399</v>
      </c>
    </row>
    <row r="42" spans="12:16">
      <c r="L42" s="247"/>
    </row>
    <row r="43" spans="12:16">
      <c r="L43" s="247" t="s">
        <v>464</v>
      </c>
    </row>
    <row r="44" spans="12:16">
      <c r="L44" s="247" t="s">
        <v>277</v>
      </c>
      <c r="M44">
        <f>M39*1.0841</f>
        <v>158543.12040000001</v>
      </c>
    </row>
    <row r="45" spans="12:16">
      <c r="L45" s="247" t="s">
        <v>463</v>
      </c>
      <c r="M45">
        <f>P27+P28-M44</f>
        <v>624563.14</v>
      </c>
    </row>
    <row r="46" spans="12:16">
      <c r="L46" s="247" t="s">
        <v>278</v>
      </c>
      <c r="M46">
        <f>P24+P25</f>
        <v>1292466.78</v>
      </c>
    </row>
    <row r="47" spans="12:16">
      <c r="L47" s="247"/>
    </row>
    <row r="48" spans="12:16">
      <c r="L48" s="247" t="s">
        <v>465</v>
      </c>
    </row>
    <row r="49" spans="11:13">
      <c r="K49">
        <v>1</v>
      </c>
      <c r="L49" s="247" t="s">
        <v>277</v>
      </c>
      <c r="M49">
        <f>M39/12</f>
        <v>12187</v>
      </c>
    </row>
    <row r="50" spans="11:13">
      <c r="K50">
        <v>3</v>
      </c>
      <c r="L50" s="247" t="s">
        <v>463</v>
      </c>
      <c r="M50">
        <f>SUM(D5:D7)/3</f>
        <v>9952.6666666666661</v>
      </c>
    </row>
    <row r="51" spans="11:13">
      <c r="K51">
        <v>9</v>
      </c>
      <c r="L51" s="247" t="s">
        <v>278</v>
      </c>
      <c r="M51">
        <f>SUM(D9:D18)/9</f>
        <v>4102.7777777777774</v>
      </c>
    </row>
    <row r="52" spans="11:13">
      <c r="L52" s="247"/>
    </row>
    <row r="53" spans="11:13">
      <c r="L53" s="247" t="s">
        <v>466</v>
      </c>
    </row>
    <row r="54" spans="11:13">
      <c r="L54" s="247" t="s">
        <v>277</v>
      </c>
      <c r="M54">
        <f>M49</f>
        <v>12187</v>
      </c>
    </row>
    <row r="55" spans="11:13">
      <c r="L55" s="247" t="s">
        <v>463</v>
      </c>
      <c r="M55">
        <f>SUM(U5:U7)/3</f>
        <v>13629.333333333334</v>
      </c>
    </row>
    <row r="56" spans="11:13">
      <c r="L56" s="247" t="s">
        <v>278</v>
      </c>
      <c r="M56">
        <f>SUM(T9:T16,T18)/9/11</f>
        <v>11187.888888888889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AE92"/>
  <sheetViews>
    <sheetView zoomScale="60" zoomScaleNormal="70" zoomScaleSheetLayoutView="50" workbookViewId="0">
      <selection activeCell="B78" sqref="B78:F78"/>
    </sheetView>
  </sheetViews>
  <sheetFormatPr defaultColWidth="9.140625" defaultRowHeight="18.75"/>
  <cols>
    <col min="1" max="1" width="7.285156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468"/>
      <c r="AC1" s="469"/>
      <c r="AD1" s="469"/>
      <c r="AE1" s="469"/>
    </row>
    <row r="2" spans="1:31" ht="18.75" customHeight="1">
      <c r="B2" s="38" t="s">
        <v>258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1:31" ht="18.75" customHeight="1">
      <c r="A4" s="377" t="s">
        <v>56</v>
      </c>
      <c r="B4" s="377" t="s">
        <v>213</v>
      </c>
      <c r="C4" s="434" t="s">
        <v>214</v>
      </c>
      <c r="D4" s="435"/>
      <c r="E4" s="435"/>
      <c r="F4" s="436"/>
      <c r="G4" s="434" t="s">
        <v>354</v>
      </c>
      <c r="H4" s="435"/>
      <c r="I4" s="435"/>
      <c r="J4" s="435"/>
      <c r="K4" s="435"/>
      <c r="L4" s="436"/>
      <c r="M4" s="434" t="s">
        <v>215</v>
      </c>
      <c r="N4" s="435"/>
      <c r="O4" s="435"/>
      <c r="P4" s="436"/>
      <c r="Q4" s="403" t="s">
        <v>308</v>
      </c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5"/>
    </row>
    <row r="5" spans="1:31" ht="48.75" customHeight="1">
      <c r="A5" s="378"/>
      <c r="B5" s="378"/>
      <c r="C5" s="437"/>
      <c r="D5" s="438"/>
      <c r="E5" s="438"/>
      <c r="F5" s="439"/>
      <c r="G5" s="437"/>
      <c r="H5" s="438"/>
      <c r="I5" s="438"/>
      <c r="J5" s="438"/>
      <c r="K5" s="438"/>
      <c r="L5" s="439"/>
      <c r="M5" s="437"/>
      <c r="N5" s="438"/>
      <c r="O5" s="438"/>
      <c r="P5" s="439"/>
      <c r="Q5" s="400" t="s">
        <v>216</v>
      </c>
      <c r="R5" s="401"/>
      <c r="S5" s="402"/>
      <c r="T5" s="400" t="s">
        <v>217</v>
      </c>
      <c r="U5" s="401"/>
      <c r="V5" s="402"/>
      <c r="W5" s="400" t="s">
        <v>44</v>
      </c>
      <c r="X5" s="401"/>
      <c r="Y5" s="402"/>
      <c r="Z5" s="403" t="s">
        <v>218</v>
      </c>
      <c r="AA5" s="404"/>
      <c r="AB5" s="405"/>
      <c r="AC5" s="403" t="s">
        <v>219</v>
      </c>
      <c r="AD5" s="404"/>
      <c r="AE5" s="405"/>
    </row>
    <row r="6" spans="1:31" ht="18" customHeight="1">
      <c r="A6" s="62">
        <v>1</v>
      </c>
      <c r="B6" s="63">
        <v>2</v>
      </c>
      <c r="C6" s="427">
        <v>3</v>
      </c>
      <c r="D6" s="428"/>
      <c r="E6" s="428"/>
      <c r="F6" s="429"/>
      <c r="G6" s="427">
        <v>4</v>
      </c>
      <c r="H6" s="428"/>
      <c r="I6" s="428"/>
      <c r="J6" s="428"/>
      <c r="K6" s="428"/>
      <c r="L6" s="429"/>
      <c r="M6" s="427">
        <v>5</v>
      </c>
      <c r="N6" s="428"/>
      <c r="O6" s="428"/>
      <c r="P6" s="429"/>
      <c r="Q6" s="427">
        <v>6</v>
      </c>
      <c r="R6" s="428"/>
      <c r="S6" s="429"/>
      <c r="T6" s="427">
        <v>7</v>
      </c>
      <c r="U6" s="428"/>
      <c r="V6" s="429"/>
      <c r="W6" s="449">
        <v>8</v>
      </c>
      <c r="X6" s="450"/>
      <c r="Y6" s="451"/>
      <c r="Z6" s="449">
        <v>9</v>
      </c>
      <c r="AA6" s="450"/>
      <c r="AB6" s="451"/>
      <c r="AC6" s="449">
        <v>10</v>
      </c>
      <c r="AD6" s="450"/>
      <c r="AE6" s="451"/>
    </row>
    <row r="7" spans="1:31" ht="20.100000000000001" customHeight="1">
      <c r="A7" s="62"/>
      <c r="B7" s="219"/>
      <c r="C7" s="440"/>
      <c r="D7" s="441"/>
      <c r="E7" s="441"/>
      <c r="F7" s="442"/>
      <c r="G7" s="443"/>
      <c r="H7" s="444"/>
      <c r="I7" s="444"/>
      <c r="J7" s="444"/>
      <c r="K7" s="444"/>
      <c r="L7" s="445"/>
      <c r="M7" s="446">
        <f>SUM(Q7,T7,W7,Z7,AC7)</f>
        <v>0</v>
      </c>
      <c r="N7" s="447"/>
      <c r="O7" s="447"/>
      <c r="P7" s="448"/>
      <c r="Q7" s="430"/>
      <c r="R7" s="431"/>
      <c r="S7" s="432"/>
      <c r="T7" s="430"/>
      <c r="U7" s="431"/>
      <c r="V7" s="432"/>
      <c r="W7" s="430"/>
      <c r="X7" s="431"/>
      <c r="Y7" s="432"/>
      <c r="Z7" s="430"/>
      <c r="AA7" s="431"/>
      <c r="AB7" s="432"/>
      <c r="AC7" s="430"/>
      <c r="AD7" s="431"/>
      <c r="AE7" s="432"/>
    </row>
    <row r="8" spans="1:31" ht="20.100000000000001" customHeight="1">
      <c r="A8" s="62"/>
      <c r="B8" s="219"/>
      <c r="C8" s="440"/>
      <c r="D8" s="441"/>
      <c r="E8" s="441"/>
      <c r="F8" s="442"/>
      <c r="G8" s="443"/>
      <c r="H8" s="444"/>
      <c r="I8" s="444"/>
      <c r="J8" s="444"/>
      <c r="K8" s="444"/>
      <c r="L8" s="445"/>
      <c r="M8" s="446">
        <f>SUM(Q8,T8,W8,Z8,AC8)</f>
        <v>0</v>
      </c>
      <c r="N8" s="447"/>
      <c r="O8" s="447"/>
      <c r="P8" s="448"/>
      <c r="Q8" s="430"/>
      <c r="R8" s="431"/>
      <c r="S8" s="432"/>
      <c r="T8" s="430"/>
      <c r="U8" s="431"/>
      <c r="V8" s="432"/>
      <c r="W8" s="430"/>
      <c r="X8" s="431"/>
      <c r="Y8" s="432"/>
      <c r="Z8" s="430"/>
      <c r="AA8" s="431"/>
      <c r="AB8" s="432"/>
      <c r="AC8" s="430"/>
      <c r="AD8" s="431"/>
      <c r="AE8" s="432"/>
    </row>
    <row r="9" spans="1:31" ht="20.100000000000001" customHeight="1">
      <c r="A9" s="62"/>
      <c r="B9" s="219"/>
      <c r="C9" s="440"/>
      <c r="D9" s="441"/>
      <c r="E9" s="441"/>
      <c r="F9" s="442"/>
      <c r="G9" s="443"/>
      <c r="H9" s="444"/>
      <c r="I9" s="444"/>
      <c r="J9" s="444"/>
      <c r="K9" s="444"/>
      <c r="L9" s="445"/>
      <c r="M9" s="446">
        <f>SUM(Q9,T9,W9,Z9,AC9)</f>
        <v>0</v>
      </c>
      <c r="N9" s="447"/>
      <c r="O9" s="447"/>
      <c r="P9" s="448"/>
      <c r="Q9" s="430"/>
      <c r="R9" s="431"/>
      <c r="S9" s="432"/>
      <c r="T9" s="430"/>
      <c r="U9" s="431"/>
      <c r="V9" s="432"/>
      <c r="W9" s="430"/>
      <c r="X9" s="431"/>
      <c r="Y9" s="432"/>
      <c r="Z9" s="430"/>
      <c r="AA9" s="431"/>
      <c r="AB9" s="432"/>
      <c r="AC9" s="430"/>
      <c r="AD9" s="431"/>
      <c r="AE9" s="432"/>
    </row>
    <row r="10" spans="1:31" ht="20.100000000000001" customHeight="1">
      <c r="A10" s="62"/>
      <c r="B10" s="219"/>
      <c r="C10" s="440"/>
      <c r="D10" s="441"/>
      <c r="E10" s="441"/>
      <c r="F10" s="442"/>
      <c r="G10" s="443"/>
      <c r="H10" s="444"/>
      <c r="I10" s="444"/>
      <c r="J10" s="444"/>
      <c r="K10" s="444"/>
      <c r="L10" s="445"/>
      <c r="M10" s="446">
        <f>SUM(Q10,T10,W10,Z10,AC10)</f>
        <v>0</v>
      </c>
      <c r="N10" s="447"/>
      <c r="O10" s="447"/>
      <c r="P10" s="448"/>
      <c r="Q10" s="430"/>
      <c r="R10" s="431"/>
      <c r="S10" s="432"/>
      <c r="T10" s="430"/>
      <c r="U10" s="431"/>
      <c r="V10" s="432"/>
      <c r="W10" s="430"/>
      <c r="X10" s="431"/>
      <c r="Y10" s="432"/>
      <c r="Z10" s="430"/>
      <c r="AA10" s="431"/>
      <c r="AB10" s="432"/>
      <c r="AC10" s="430"/>
      <c r="AD10" s="431"/>
      <c r="AE10" s="432"/>
    </row>
    <row r="11" spans="1:31" ht="20.100000000000001" customHeight="1">
      <c r="A11" s="452" t="s">
        <v>61</v>
      </c>
      <c r="B11" s="453"/>
      <c r="C11" s="453"/>
      <c r="D11" s="453"/>
      <c r="E11" s="453"/>
      <c r="F11" s="453"/>
      <c r="G11" s="453"/>
      <c r="H11" s="453"/>
      <c r="I11" s="453"/>
      <c r="J11" s="453"/>
      <c r="K11" s="453"/>
      <c r="L11" s="454"/>
      <c r="M11" s="394">
        <f>SUM(M7:P10)</f>
        <v>0</v>
      </c>
      <c r="N11" s="433"/>
      <c r="O11" s="433"/>
      <c r="P11" s="395"/>
      <c r="Q11" s="394">
        <f>SUM(Q7:S10)</f>
        <v>0</v>
      </c>
      <c r="R11" s="433"/>
      <c r="S11" s="395"/>
      <c r="T11" s="394">
        <f>SUM(T7:V10)</f>
        <v>0</v>
      </c>
      <c r="U11" s="433"/>
      <c r="V11" s="395"/>
      <c r="W11" s="394">
        <f>SUM(W7:Y10)</f>
        <v>0</v>
      </c>
      <c r="X11" s="433"/>
      <c r="Y11" s="395"/>
      <c r="Z11" s="394">
        <f>SUM(Z7:AB10)</f>
        <v>0</v>
      </c>
      <c r="AA11" s="433"/>
      <c r="AB11" s="395"/>
      <c r="AC11" s="394">
        <f>SUM(AC7:AE10)</f>
        <v>0</v>
      </c>
      <c r="AD11" s="433"/>
      <c r="AE11" s="395"/>
    </row>
    <row r="12" spans="1:31" ht="18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3"/>
      <c r="N12" s="33"/>
      <c r="O12" s="33"/>
      <c r="P12" s="33"/>
      <c r="Q12" s="53"/>
      <c r="R12" s="53"/>
      <c r="S12" s="53"/>
      <c r="T12" s="53"/>
      <c r="U12" s="53"/>
      <c r="V12" s="53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s="38" customFormat="1" ht="18.75" customHeight="1">
      <c r="B13" s="38" t="s">
        <v>259</v>
      </c>
    </row>
    <row r="14" spans="1:31" s="38" customFormat="1" ht="18.75" customHeight="1"/>
    <row r="15" spans="1:31" ht="18.75" customHeight="1">
      <c r="A15" s="369" t="s">
        <v>56</v>
      </c>
      <c r="B15" s="369" t="s">
        <v>220</v>
      </c>
      <c r="C15" s="370" t="s">
        <v>213</v>
      </c>
      <c r="D15" s="370"/>
      <c r="E15" s="370"/>
      <c r="F15" s="370"/>
      <c r="G15" s="370" t="s">
        <v>354</v>
      </c>
      <c r="H15" s="370"/>
      <c r="I15" s="370"/>
      <c r="J15" s="370"/>
      <c r="K15" s="370"/>
      <c r="L15" s="370"/>
      <c r="M15" s="370"/>
      <c r="N15" s="370"/>
      <c r="O15" s="370"/>
      <c r="P15" s="370"/>
      <c r="Q15" s="370" t="s">
        <v>221</v>
      </c>
      <c r="R15" s="370"/>
      <c r="S15" s="370"/>
      <c r="T15" s="370"/>
      <c r="U15" s="370"/>
      <c r="V15" s="367" t="s">
        <v>222</v>
      </c>
      <c r="W15" s="367"/>
      <c r="X15" s="367"/>
      <c r="Y15" s="367"/>
      <c r="Z15" s="367"/>
      <c r="AA15" s="367"/>
      <c r="AB15" s="367"/>
      <c r="AC15" s="367"/>
      <c r="AD15" s="367"/>
      <c r="AE15" s="367"/>
    </row>
    <row r="16" spans="1:31" ht="18.75" customHeight="1">
      <c r="A16" s="369"/>
      <c r="B16" s="369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67" t="s">
        <v>223</v>
      </c>
      <c r="W16" s="367"/>
      <c r="X16" s="367" t="s">
        <v>106</v>
      </c>
      <c r="Y16" s="367"/>
      <c r="Z16" s="367"/>
      <c r="AA16" s="367"/>
      <c r="AB16" s="367"/>
      <c r="AC16" s="367"/>
      <c r="AD16" s="367"/>
      <c r="AE16" s="367"/>
    </row>
    <row r="17" spans="1:31" ht="18.75" customHeight="1">
      <c r="A17" s="369"/>
      <c r="B17" s="369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67"/>
      <c r="W17" s="367"/>
      <c r="X17" s="367" t="s">
        <v>385</v>
      </c>
      <c r="Y17" s="367"/>
      <c r="Z17" s="367" t="s">
        <v>377</v>
      </c>
      <c r="AA17" s="367"/>
      <c r="AB17" s="367" t="s">
        <v>378</v>
      </c>
      <c r="AC17" s="367"/>
      <c r="AD17" s="367" t="s">
        <v>87</v>
      </c>
      <c r="AE17" s="367"/>
    </row>
    <row r="18" spans="1:31" ht="18" customHeight="1">
      <c r="A18" s="62">
        <v>1</v>
      </c>
      <c r="B18" s="62">
        <v>2</v>
      </c>
      <c r="C18" s="456">
        <v>3</v>
      </c>
      <c r="D18" s="456"/>
      <c r="E18" s="456"/>
      <c r="F18" s="456"/>
      <c r="G18" s="456">
        <v>4</v>
      </c>
      <c r="H18" s="456"/>
      <c r="I18" s="456"/>
      <c r="J18" s="456"/>
      <c r="K18" s="456"/>
      <c r="L18" s="456"/>
      <c r="M18" s="456"/>
      <c r="N18" s="456"/>
      <c r="O18" s="456"/>
      <c r="P18" s="456"/>
      <c r="Q18" s="456">
        <v>5</v>
      </c>
      <c r="R18" s="456"/>
      <c r="S18" s="456"/>
      <c r="T18" s="456"/>
      <c r="U18" s="456"/>
      <c r="V18" s="456">
        <v>6</v>
      </c>
      <c r="W18" s="456"/>
      <c r="X18" s="455">
        <v>7</v>
      </c>
      <c r="Y18" s="455"/>
      <c r="Z18" s="455">
        <v>8</v>
      </c>
      <c r="AA18" s="455"/>
      <c r="AB18" s="455">
        <v>9</v>
      </c>
      <c r="AC18" s="455"/>
      <c r="AD18" s="455">
        <v>10</v>
      </c>
      <c r="AE18" s="455"/>
    </row>
    <row r="19" spans="1:31" ht="20.100000000000001" customHeight="1">
      <c r="A19" s="86"/>
      <c r="B19" s="81"/>
      <c r="C19" s="457"/>
      <c r="D19" s="457"/>
      <c r="E19" s="457"/>
      <c r="F19" s="457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9"/>
      <c r="R19" s="459"/>
      <c r="S19" s="459"/>
      <c r="T19" s="459"/>
      <c r="U19" s="459"/>
      <c r="V19" s="460">
        <f>AD19</f>
        <v>0</v>
      </c>
      <c r="W19" s="460"/>
      <c r="X19" s="461"/>
      <c r="Y19" s="461"/>
      <c r="Z19" s="461"/>
      <c r="AA19" s="461"/>
      <c r="AB19" s="461"/>
      <c r="AC19" s="461"/>
      <c r="AD19" s="461"/>
      <c r="AE19" s="461"/>
    </row>
    <row r="20" spans="1:31" ht="20.100000000000001" customHeight="1">
      <c r="A20" s="86"/>
      <c r="B20" s="81"/>
      <c r="C20" s="457"/>
      <c r="D20" s="457"/>
      <c r="E20" s="457"/>
      <c r="F20" s="457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9"/>
      <c r="R20" s="459"/>
      <c r="S20" s="459"/>
      <c r="T20" s="459"/>
      <c r="U20" s="459"/>
      <c r="V20" s="460">
        <f>AD20</f>
        <v>0</v>
      </c>
      <c r="W20" s="460"/>
      <c r="X20" s="461"/>
      <c r="Y20" s="461"/>
      <c r="Z20" s="461"/>
      <c r="AA20" s="461"/>
      <c r="AB20" s="461"/>
      <c r="AC20" s="461"/>
      <c r="AD20" s="461"/>
      <c r="AE20" s="461"/>
    </row>
    <row r="21" spans="1:31" ht="20.100000000000001" customHeight="1">
      <c r="A21" s="86"/>
      <c r="B21" s="81"/>
      <c r="C21" s="457"/>
      <c r="D21" s="457"/>
      <c r="E21" s="457"/>
      <c r="F21" s="457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9"/>
      <c r="R21" s="459"/>
      <c r="S21" s="459"/>
      <c r="T21" s="459"/>
      <c r="U21" s="459"/>
      <c r="V21" s="460">
        <f>AD21</f>
        <v>0</v>
      </c>
      <c r="W21" s="460"/>
      <c r="X21" s="461"/>
      <c r="Y21" s="461"/>
      <c r="Z21" s="461"/>
      <c r="AA21" s="461"/>
      <c r="AB21" s="461"/>
      <c r="AC21" s="461"/>
      <c r="AD21" s="461"/>
      <c r="AE21" s="461"/>
    </row>
    <row r="22" spans="1:31" ht="20.100000000000001" customHeight="1">
      <c r="A22" s="86"/>
      <c r="B22" s="81"/>
      <c r="C22" s="457"/>
      <c r="D22" s="457"/>
      <c r="E22" s="457"/>
      <c r="F22" s="457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9"/>
      <c r="R22" s="459"/>
      <c r="S22" s="459"/>
      <c r="T22" s="459"/>
      <c r="U22" s="459"/>
      <c r="V22" s="460">
        <f>AD22</f>
        <v>0</v>
      </c>
      <c r="W22" s="460"/>
      <c r="X22" s="461"/>
      <c r="Y22" s="461"/>
      <c r="Z22" s="461"/>
      <c r="AA22" s="461"/>
      <c r="AB22" s="461"/>
      <c r="AC22" s="461"/>
      <c r="AD22" s="461"/>
      <c r="AE22" s="461"/>
    </row>
    <row r="23" spans="1:31" ht="20.100000000000001" customHeight="1">
      <c r="A23" s="369" t="s">
        <v>61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460">
        <f>AD23</f>
        <v>0</v>
      </c>
      <c r="W23" s="460"/>
      <c r="X23" s="425">
        <f>SUM(X19:Y22)</f>
        <v>0</v>
      </c>
      <c r="Y23" s="425"/>
      <c r="Z23" s="425">
        <f>SUM(Z19:AA22)</f>
        <v>0</v>
      </c>
      <c r="AA23" s="425"/>
      <c r="AB23" s="425">
        <f>SUM(AB19:AC22)</f>
        <v>0</v>
      </c>
      <c r="AC23" s="425"/>
      <c r="AD23" s="425">
        <f>SUM(AD19:AE22)</f>
        <v>0</v>
      </c>
      <c r="AE23" s="425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8" customFormat="1" ht="18.75" customHeight="1">
      <c r="B26" s="38" t="s">
        <v>236</v>
      </c>
    </row>
    <row r="27" spans="1:31">
      <c r="A27" s="23"/>
      <c r="B27" s="23"/>
      <c r="C27" s="23"/>
      <c r="D27" s="23"/>
      <c r="E27" s="23"/>
      <c r="F27" s="23"/>
      <c r="G27" s="2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23"/>
      <c r="AD27" s="67" t="s">
        <v>256</v>
      </c>
    </row>
    <row r="28" spans="1:31" ht="30" customHeight="1">
      <c r="A28" s="370" t="s">
        <v>56</v>
      </c>
      <c r="B28" s="370" t="s">
        <v>260</v>
      </c>
      <c r="C28" s="370"/>
      <c r="D28" s="370"/>
      <c r="E28" s="370"/>
      <c r="F28" s="370"/>
      <c r="G28" s="400" t="s">
        <v>60</v>
      </c>
      <c r="H28" s="401"/>
      <c r="I28" s="401"/>
      <c r="J28" s="402"/>
      <c r="K28" s="400" t="s">
        <v>97</v>
      </c>
      <c r="L28" s="401"/>
      <c r="M28" s="401"/>
      <c r="N28" s="402"/>
      <c r="O28" s="400" t="s">
        <v>312</v>
      </c>
      <c r="P28" s="401"/>
      <c r="Q28" s="401"/>
      <c r="R28" s="402"/>
      <c r="S28" s="400" t="s">
        <v>143</v>
      </c>
      <c r="T28" s="401"/>
      <c r="U28" s="401"/>
      <c r="V28" s="402"/>
      <c r="W28" s="400" t="s">
        <v>61</v>
      </c>
      <c r="X28" s="401"/>
      <c r="Y28" s="401"/>
      <c r="Z28" s="402"/>
    </row>
    <row r="29" spans="1:31" ht="30" customHeight="1">
      <c r="A29" s="370"/>
      <c r="B29" s="370"/>
      <c r="C29" s="370"/>
      <c r="D29" s="370"/>
      <c r="E29" s="370"/>
      <c r="F29" s="370"/>
      <c r="G29" s="400" t="s">
        <v>106</v>
      </c>
      <c r="H29" s="401"/>
      <c r="I29" s="401"/>
      <c r="J29" s="402"/>
      <c r="K29" s="400" t="s">
        <v>106</v>
      </c>
      <c r="L29" s="401"/>
      <c r="M29" s="401"/>
      <c r="N29" s="402"/>
      <c r="O29" s="400" t="s">
        <v>106</v>
      </c>
      <c r="P29" s="401"/>
      <c r="Q29" s="401"/>
      <c r="R29" s="402"/>
      <c r="S29" s="400" t="s">
        <v>106</v>
      </c>
      <c r="T29" s="401"/>
      <c r="U29" s="401"/>
      <c r="V29" s="402"/>
      <c r="W29" s="400" t="s">
        <v>106</v>
      </c>
      <c r="X29" s="401"/>
      <c r="Y29" s="401"/>
      <c r="Z29" s="402"/>
    </row>
    <row r="30" spans="1:31" ht="39.950000000000003" customHeight="1">
      <c r="A30" s="370"/>
      <c r="B30" s="370"/>
      <c r="C30" s="370"/>
      <c r="D30" s="370"/>
      <c r="E30" s="370"/>
      <c r="F30" s="370"/>
      <c r="G30" s="7" t="s">
        <v>386</v>
      </c>
      <c r="H30" s="7" t="s">
        <v>377</v>
      </c>
      <c r="I30" s="7" t="s">
        <v>378</v>
      </c>
      <c r="J30" s="7" t="s">
        <v>87</v>
      </c>
      <c r="K30" s="7" t="s">
        <v>386</v>
      </c>
      <c r="L30" s="7" t="s">
        <v>377</v>
      </c>
      <c r="M30" s="7" t="s">
        <v>378</v>
      </c>
      <c r="N30" s="7" t="s">
        <v>87</v>
      </c>
      <c r="O30" s="7" t="s">
        <v>386</v>
      </c>
      <c r="P30" s="7" t="s">
        <v>377</v>
      </c>
      <c r="Q30" s="7" t="s">
        <v>378</v>
      </c>
      <c r="R30" s="7" t="s">
        <v>87</v>
      </c>
      <c r="S30" s="7" t="s">
        <v>386</v>
      </c>
      <c r="T30" s="7" t="s">
        <v>377</v>
      </c>
      <c r="U30" s="7" t="s">
        <v>378</v>
      </c>
      <c r="V30" s="7" t="s">
        <v>87</v>
      </c>
      <c r="W30" s="7" t="s">
        <v>386</v>
      </c>
      <c r="X30" s="7" t="s">
        <v>377</v>
      </c>
      <c r="Y30" s="7" t="s">
        <v>378</v>
      </c>
      <c r="Z30" s="7" t="s">
        <v>87</v>
      </c>
    </row>
    <row r="31" spans="1:31" ht="18" customHeight="1">
      <c r="A31" s="7">
        <v>1</v>
      </c>
      <c r="B31" s="370">
        <v>2</v>
      </c>
      <c r="C31" s="370"/>
      <c r="D31" s="370"/>
      <c r="E31" s="370"/>
      <c r="F31" s="370"/>
      <c r="G31" s="7">
        <v>3</v>
      </c>
      <c r="H31" s="94">
        <v>4</v>
      </c>
      <c r="I31" s="94">
        <v>5</v>
      </c>
      <c r="J31" s="95">
        <v>6</v>
      </c>
      <c r="K31" s="95">
        <v>7</v>
      </c>
      <c r="L31" s="95">
        <v>8</v>
      </c>
      <c r="M31" s="96">
        <v>9</v>
      </c>
      <c r="N31" s="7">
        <v>10</v>
      </c>
      <c r="O31" s="94">
        <v>11</v>
      </c>
      <c r="P31" s="95">
        <v>12</v>
      </c>
      <c r="Q31" s="95">
        <v>13</v>
      </c>
      <c r="R31" s="96">
        <v>14</v>
      </c>
      <c r="S31" s="7">
        <v>15</v>
      </c>
      <c r="T31" s="94">
        <v>16</v>
      </c>
      <c r="U31" s="95">
        <v>17</v>
      </c>
      <c r="V31" s="95">
        <v>18</v>
      </c>
      <c r="W31" s="95">
        <v>19</v>
      </c>
      <c r="X31" s="96">
        <v>20</v>
      </c>
      <c r="Y31" s="7">
        <v>21</v>
      </c>
      <c r="Z31" s="6">
        <v>22</v>
      </c>
    </row>
    <row r="32" spans="1:31" ht="20.100000000000001" customHeight="1">
      <c r="A32" s="85">
        <v>1</v>
      </c>
      <c r="B32" s="426" t="s">
        <v>516</v>
      </c>
      <c r="C32" s="426"/>
      <c r="D32" s="426"/>
      <c r="E32" s="426"/>
      <c r="F32" s="426"/>
      <c r="G32" s="109"/>
      <c r="H32" s="109"/>
      <c r="I32" s="109"/>
      <c r="J32" s="109"/>
      <c r="K32" s="109"/>
      <c r="L32" s="302"/>
      <c r="M32" s="302">
        <v>258</v>
      </c>
      <c r="N32" s="302">
        <v>258</v>
      </c>
      <c r="O32" s="109"/>
      <c r="P32" s="109"/>
      <c r="Q32" s="109"/>
      <c r="R32" s="109"/>
      <c r="S32" s="109"/>
      <c r="T32" s="109"/>
      <c r="U32" s="109"/>
      <c r="V32" s="109"/>
      <c r="W32" s="93">
        <f t="shared" ref="W32:Z54" si="0">SUM(G32,K32,O32,S32)</f>
        <v>0</v>
      </c>
      <c r="X32" s="93">
        <f t="shared" si="0"/>
        <v>0</v>
      </c>
      <c r="Y32" s="93">
        <f t="shared" si="0"/>
        <v>258</v>
      </c>
      <c r="Z32" s="93">
        <f t="shared" si="0"/>
        <v>258</v>
      </c>
    </row>
    <row r="33" spans="1:26" ht="20.100000000000001" customHeight="1">
      <c r="A33" s="85" t="s">
        <v>517</v>
      </c>
      <c r="B33" s="465" t="s">
        <v>495</v>
      </c>
      <c r="C33" s="466"/>
      <c r="D33" s="466"/>
      <c r="E33" s="466"/>
      <c r="F33" s="467"/>
      <c r="G33" s="299"/>
      <c r="H33" s="299"/>
      <c r="I33" s="299"/>
      <c r="J33" s="299"/>
      <c r="K33" s="299"/>
      <c r="L33" s="302"/>
      <c r="M33" s="301">
        <v>6</v>
      </c>
      <c r="N33" s="301">
        <v>6</v>
      </c>
      <c r="O33" s="299"/>
      <c r="P33" s="299"/>
      <c r="Q33" s="301"/>
      <c r="R33" s="301"/>
      <c r="S33" s="299"/>
      <c r="T33" s="299"/>
      <c r="U33" s="299"/>
      <c r="V33" s="299"/>
      <c r="W33" s="300"/>
      <c r="X33" s="300"/>
      <c r="Y33" s="300">
        <v>6</v>
      </c>
      <c r="Z33" s="300">
        <v>6</v>
      </c>
    </row>
    <row r="34" spans="1:26" ht="20.100000000000001" customHeight="1">
      <c r="A34" s="85" t="s">
        <v>518</v>
      </c>
      <c r="B34" s="465" t="s">
        <v>496</v>
      </c>
      <c r="C34" s="466"/>
      <c r="D34" s="466"/>
      <c r="E34" s="466"/>
      <c r="F34" s="467"/>
      <c r="G34" s="299"/>
      <c r="H34" s="299"/>
      <c r="I34" s="299"/>
      <c r="J34" s="299"/>
      <c r="K34" s="299"/>
      <c r="L34" s="302"/>
      <c r="M34" s="301">
        <v>6</v>
      </c>
      <c r="N34" s="301">
        <v>6</v>
      </c>
      <c r="O34" s="299"/>
      <c r="P34" s="299"/>
      <c r="Q34" s="301"/>
      <c r="R34" s="301"/>
      <c r="S34" s="189"/>
      <c r="T34" s="299"/>
      <c r="U34" s="299"/>
      <c r="V34" s="299"/>
      <c r="W34" s="300"/>
      <c r="X34" s="300"/>
      <c r="Y34" s="300">
        <v>6</v>
      </c>
      <c r="Z34" s="300">
        <v>6</v>
      </c>
    </row>
    <row r="35" spans="1:26" ht="20.100000000000001" customHeight="1">
      <c r="A35" s="85" t="s">
        <v>519</v>
      </c>
      <c r="B35" s="465" t="s">
        <v>497</v>
      </c>
      <c r="C35" s="466"/>
      <c r="D35" s="466"/>
      <c r="E35" s="466"/>
      <c r="F35" s="467"/>
      <c r="G35" s="299"/>
      <c r="H35" s="299"/>
      <c r="I35" s="299"/>
      <c r="J35" s="299"/>
      <c r="K35" s="299"/>
      <c r="L35" s="302"/>
      <c r="M35" s="301">
        <v>7</v>
      </c>
      <c r="N35" s="301">
        <v>7</v>
      </c>
      <c r="O35" s="299"/>
      <c r="P35" s="299"/>
      <c r="Q35" s="301"/>
      <c r="R35" s="301"/>
      <c r="S35" s="299"/>
      <c r="T35" s="299"/>
      <c r="U35" s="299"/>
      <c r="V35" s="299"/>
      <c r="W35" s="300"/>
      <c r="X35" s="300"/>
      <c r="Y35" s="300">
        <v>7</v>
      </c>
      <c r="Z35" s="300">
        <v>7</v>
      </c>
    </row>
    <row r="36" spans="1:26" ht="20.100000000000001" customHeight="1">
      <c r="A36" s="85" t="s">
        <v>520</v>
      </c>
      <c r="B36" s="465" t="s">
        <v>498</v>
      </c>
      <c r="C36" s="466"/>
      <c r="D36" s="466"/>
      <c r="E36" s="466"/>
      <c r="F36" s="467"/>
      <c r="G36" s="299"/>
      <c r="H36" s="299"/>
      <c r="I36" s="299"/>
      <c r="J36" s="299"/>
      <c r="K36" s="299"/>
      <c r="L36" s="302"/>
      <c r="M36" s="301">
        <v>7</v>
      </c>
      <c r="N36" s="301">
        <v>7</v>
      </c>
      <c r="O36" s="299"/>
      <c r="P36" s="299"/>
      <c r="Q36" s="301"/>
      <c r="R36" s="301"/>
      <c r="S36" s="299"/>
      <c r="T36" s="299"/>
      <c r="U36" s="299"/>
      <c r="V36" s="299"/>
      <c r="W36" s="300"/>
      <c r="X36" s="300"/>
      <c r="Y36" s="300">
        <v>7</v>
      </c>
      <c r="Z36" s="300">
        <v>7</v>
      </c>
    </row>
    <row r="37" spans="1:26" ht="20.100000000000001" customHeight="1">
      <c r="A37" s="85" t="s">
        <v>521</v>
      </c>
      <c r="B37" s="465" t="s">
        <v>499</v>
      </c>
      <c r="C37" s="466"/>
      <c r="D37" s="466"/>
      <c r="E37" s="466"/>
      <c r="F37" s="467"/>
      <c r="G37" s="299"/>
      <c r="H37" s="299"/>
      <c r="I37" s="299"/>
      <c r="J37" s="299"/>
      <c r="K37" s="299"/>
      <c r="L37" s="302"/>
      <c r="M37" s="301">
        <v>8</v>
      </c>
      <c r="N37" s="301">
        <v>8</v>
      </c>
      <c r="O37" s="299"/>
      <c r="P37" s="299"/>
      <c r="Q37" s="301"/>
      <c r="R37" s="301"/>
      <c r="S37" s="299"/>
      <c r="T37" s="299"/>
      <c r="U37" s="299"/>
      <c r="V37" s="299"/>
      <c r="W37" s="300"/>
      <c r="X37" s="300"/>
      <c r="Y37" s="300">
        <v>8</v>
      </c>
      <c r="Z37" s="300">
        <v>8</v>
      </c>
    </row>
    <row r="38" spans="1:26" ht="20.100000000000001" customHeight="1">
      <c r="A38" s="85" t="s">
        <v>522</v>
      </c>
      <c r="B38" s="465" t="s">
        <v>500</v>
      </c>
      <c r="C38" s="466"/>
      <c r="D38" s="466"/>
      <c r="E38" s="466"/>
      <c r="F38" s="467"/>
      <c r="G38" s="299"/>
      <c r="H38" s="299"/>
      <c r="I38" s="299"/>
      <c r="J38" s="299"/>
      <c r="K38" s="299"/>
      <c r="L38" s="302"/>
      <c r="M38" s="301">
        <v>8</v>
      </c>
      <c r="N38" s="301">
        <v>8</v>
      </c>
      <c r="O38" s="299"/>
      <c r="P38" s="299"/>
      <c r="Q38" s="301"/>
      <c r="R38" s="301"/>
      <c r="S38" s="299"/>
      <c r="T38" s="299"/>
      <c r="U38" s="299"/>
      <c r="V38" s="299"/>
      <c r="W38" s="300"/>
      <c r="X38" s="300"/>
      <c r="Y38" s="300">
        <v>8</v>
      </c>
      <c r="Z38" s="300">
        <v>8</v>
      </c>
    </row>
    <row r="39" spans="1:26" ht="20.100000000000001" customHeight="1">
      <c r="A39" s="85" t="s">
        <v>523</v>
      </c>
      <c r="B39" s="465" t="s">
        <v>501</v>
      </c>
      <c r="C39" s="466"/>
      <c r="D39" s="466"/>
      <c r="E39" s="466"/>
      <c r="F39" s="467"/>
      <c r="G39" s="299"/>
      <c r="H39" s="299"/>
      <c r="I39" s="299"/>
      <c r="J39" s="299"/>
      <c r="K39" s="299"/>
      <c r="L39" s="302"/>
      <c r="M39" s="301">
        <v>25</v>
      </c>
      <c r="N39" s="301">
        <v>25</v>
      </c>
      <c r="O39" s="299"/>
      <c r="P39" s="299"/>
      <c r="Q39" s="301"/>
      <c r="R39" s="301"/>
      <c r="S39" s="299"/>
      <c r="T39" s="299"/>
      <c r="U39" s="299"/>
      <c r="V39" s="299"/>
      <c r="W39" s="300"/>
      <c r="X39" s="300"/>
      <c r="Y39" s="300">
        <v>25</v>
      </c>
      <c r="Z39" s="300">
        <v>25</v>
      </c>
    </row>
    <row r="40" spans="1:26" ht="20.100000000000001" customHeight="1">
      <c r="A40" s="85" t="s">
        <v>524</v>
      </c>
      <c r="B40" s="443" t="s">
        <v>502</v>
      </c>
      <c r="C40" s="444"/>
      <c r="D40" s="444"/>
      <c r="E40" s="444"/>
      <c r="F40" s="445"/>
      <c r="G40" s="299"/>
      <c r="H40" s="299"/>
      <c r="I40" s="299"/>
      <c r="J40" s="299"/>
      <c r="K40" s="299"/>
      <c r="L40" s="302"/>
      <c r="M40" s="301">
        <v>83</v>
      </c>
      <c r="N40" s="301">
        <v>83</v>
      </c>
      <c r="O40" s="299"/>
      <c r="P40" s="299"/>
      <c r="Q40" s="301"/>
      <c r="R40" s="301"/>
      <c r="S40" s="299"/>
      <c r="T40" s="299"/>
      <c r="U40" s="299"/>
      <c r="V40" s="299"/>
      <c r="W40" s="300"/>
      <c r="X40" s="300"/>
      <c r="Y40" s="300">
        <v>83</v>
      </c>
      <c r="Z40" s="300">
        <v>83</v>
      </c>
    </row>
    <row r="41" spans="1:26" ht="20.100000000000001" customHeight="1">
      <c r="A41" s="85" t="s">
        <v>525</v>
      </c>
      <c r="B41" s="443" t="s">
        <v>503</v>
      </c>
      <c r="C41" s="444"/>
      <c r="D41" s="444"/>
      <c r="E41" s="444"/>
      <c r="F41" s="445"/>
      <c r="G41" s="299"/>
      <c r="H41" s="299"/>
      <c r="I41" s="299"/>
      <c r="J41" s="299"/>
      <c r="K41" s="299"/>
      <c r="L41" s="302"/>
      <c r="M41" s="301">
        <v>7</v>
      </c>
      <c r="N41" s="301">
        <v>7</v>
      </c>
      <c r="O41" s="299"/>
      <c r="P41" s="299"/>
      <c r="Q41" s="301"/>
      <c r="R41" s="301"/>
      <c r="S41" s="299"/>
      <c r="T41" s="299"/>
      <c r="U41" s="299"/>
      <c r="V41" s="299"/>
      <c r="W41" s="300"/>
      <c r="X41" s="300"/>
      <c r="Y41" s="300">
        <v>7</v>
      </c>
      <c r="Z41" s="300">
        <v>7</v>
      </c>
    </row>
    <row r="42" spans="1:26" ht="20.100000000000001" customHeight="1">
      <c r="A42" s="85" t="s">
        <v>526</v>
      </c>
      <c r="B42" s="443" t="s">
        <v>504</v>
      </c>
      <c r="C42" s="444"/>
      <c r="D42" s="444"/>
      <c r="E42" s="444"/>
      <c r="F42" s="445"/>
      <c r="G42" s="299"/>
      <c r="H42" s="299"/>
      <c r="I42" s="299"/>
      <c r="J42" s="299"/>
      <c r="K42" s="299"/>
      <c r="L42" s="302"/>
      <c r="M42" s="301">
        <v>8</v>
      </c>
      <c r="N42" s="301">
        <v>8</v>
      </c>
      <c r="O42" s="299"/>
      <c r="P42" s="299"/>
      <c r="Q42" s="301"/>
      <c r="R42" s="301"/>
      <c r="S42" s="299"/>
      <c r="T42" s="299"/>
      <c r="U42" s="299"/>
      <c r="V42" s="299"/>
      <c r="W42" s="300"/>
      <c r="X42" s="300"/>
      <c r="Y42" s="300">
        <v>8</v>
      </c>
      <c r="Z42" s="300">
        <v>8</v>
      </c>
    </row>
    <row r="43" spans="1:26" ht="20.100000000000001" customHeight="1">
      <c r="A43" s="85" t="s">
        <v>528</v>
      </c>
      <c r="B43" s="465" t="s">
        <v>505</v>
      </c>
      <c r="C43" s="466"/>
      <c r="D43" s="466"/>
      <c r="E43" s="466"/>
      <c r="F43" s="467"/>
      <c r="G43" s="299"/>
      <c r="H43" s="299"/>
      <c r="I43" s="299"/>
      <c r="J43" s="299"/>
      <c r="K43" s="299"/>
      <c r="L43" s="302"/>
      <c r="M43" s="301">
        <v>9</v>
      </c>
      <c r="N43" s="301">
        <v>9</v>
      </c>
      <c r="O43" s="299"/>
      <c r="P43" s="299"/>
      <c r="Q43" s="301"/>
      <c r="R43" s="301"/>
      <c r="S43" s="299"/>
      <c r="T43" s="299"/>
      <c r="U43" s="299"/>
      <c r="V43" s="299"/>
      <c r="W43" s="300"/>
      <c r="X43" s="300"/>
      <c r="Y43" s="300">
        <v>9</v>
      </c>
      <c r="Z43" s="300">
        <v>9</v>
      </c>
    </row>
    <row r="44" spans="1:26" ht="20.100000000000001" customHeight="1">
      <c r="A44" s="85" t="s">
        <v>527</v>
      </c>
      <c r="B44" s="465" t="s">
        <v>506</v>
      </c>
      <c r="C44" s="466"/>
      <c r="D44" s="466"/>
      <c r="E44" s="466"/>
      <c r="F44" s="467"/>
      <c r="G44" s="299"/>
      <c r="H44" s="299"/>
      <c r="I44" s="299"/>
      <c r="J44" s="299"/>
      <c r="K44" s="299"/>
      <c r="L44" s="302"/>
      <c r="M44" s="301">
        <v>8</v>
      </c>
      <c r="N44" s="301">
        <v>8</v>
      </c>
      <c r="O44" s="299"/>
      <c r="P44" s="299"/>
      <c r="Q44" s="301"/>
      <c r="R44" s="301"/>
      <c r="S44" s="299"/>
      <c r="T44" s="299"/>
      <c r="U44" s="299"/>
      <c r="V44" s="299"/>
      <c r="W44" s="300"/>
      <c r="X44" s="300"/>
      <c r="Y44" s="300">
        <v>8</v>
      </c>
      <c r="Z44" s="300">
        <v>8</v>
      </c>
    </row>
    <row r="45" spans="1:26" ht="20.100000000000001" customHeight="1">
      <c r="A45" s="85" t="s">
        <v>529</v>
      </c>
      <c r="B45" s="465" t="s">
        <v>507</v>
      </c>
      <c r="C45" s="466"/>
      <c r="D45" s="466"/>
      <c r="E45" s="466"/>
      <c r="F45" s="467"/>
      <c r="G45" s="299"/>
      <c r="H45" s="299"/>
      <c r="I45" s="299"/>
      <c r="J45" s="299"/>
      <c r="K45" s="299"/>
      <c r="L45" s="302"/>
      <c r="M45" s="301">
        <v>8</v>
      </c>
      <c r="N45" s="301">
        <v>8</v>
      </c>
      <c r="O45" s="299"/>
      <c r="P45" s="299"/>
      <c r="Q45" s="301"/>
      <c r="R45" s="301"/>
      <c r="S45" s="299"/>
      <c r="T45" s="299"/>
      <c r="U45" s="299"/>
      <c r="V45" s="299"/>
      <c r="W45" s="300"/>
      <c r="X45" s="300"/>
      <c r="Y45" s="300">
        <v>8</v>
      </c>
      <c r="Z45" s="300">
        <v>8</v>
      </c>
    </row>
    <row r="46" spans="1:26" ht="20.100000000000001" customHeight="1">
      <c r="A46" s="85" t="s">
        <v>530</v>
      </c>
      <c r="B46" s="465" t="s">
        <v>508</v>
      </c>
      <c r="C46" s="466"/>
      <c r="D46" s="466"/>
      <c r="E46" s="466"/>
      <c r="F46" s="467"/>
      <c r="G46" s="299"/>
      <c r="H46" s="299"/>
      <c r="I46" s="299"/>
      <c r="J46" s="299"/>
      <c r="K46" s="299"/>
      <c r="L46" s="302"/>
      <c r="M46" s="301">
        <v>8</v>
      </c>
      <c r="N46" s="301">
        <v>8</v>
      </c>
      <c r="O46" s="299"/>
      <c r="P46" s="299"/>
      <c r="Q46" s="301"/>
      <c r="R46" s="301"/>
      <c r="S46" s="299"/>
      <c r="T46" s="299"/>
      <c r="U46" s="299"/>
      <c r="V46" s="299"/>
      <c r="W46" s="300"/>
      <c r="X46" s="300"/>
      <c r="Y46" s="300">
        <v>8</v>
      </c>
      <c r="Z46" s="300">
        <v>8</v>
      </c>
    </row>
    <row r="47" spans="1:26" ht="20.100000000000001" customHeight="1">
      <c r="A47" s="85" t="s">
        <v>531</v>
      </c>
      <c r="B47" s="465" t="s">
        <v>509</v>
      </c>
      <c r="C47" s="466"/>
      <c r="D47" s="466"/>
      <c r="E47" s="466"/>
      <c r="F47" s="467"/>
      <c r="G47" s="299"/>
      <c r="H47" s="299"/>
      <c r="I47" s="299"/>
      <c r="J47" s="299"/>
      <c r="K47" s="299"/>
      <c r="L47" s="302"/>
      <c r="M47" s="301">
        <v>14</v>
      </c>
      <c r="N47" s="301">
        <v>14</v>
      </c>
      <c r="O47" s="299"/>
      <c r="P47" s="299"/>
      <c r="Q47" s="301"/>
      <c r="R47" s="301"/>
      <c r="S47" s="299"/>
      <c r="T47" s="299"/>
      <c r="U47" s="299"/>
      <c r="V47" s="299"/>
      <c r="W47" s="300"/>
      <c r="X47" s="300"/>
      <c r="Y47" s="300">
        <v>14</v>
      </c>
      <c r="Z47" s="300">
        <v>14</v>
      </c>
    </row>
    <row r="48" spans="1:26" ht="20.100000000000001" customHeight="1">
      <c r="A48" s="85" t="s">
        <v>532</v>
      </c>
      <c r="B48" s="465" t="s">
        <v>510</v>
      </c>
      <c r="C48" s="466"/>
      <c r="D48" s="466"/>
      <c r="E48" s="466"/>
      <c r="F48" s="467"/>
      <c r="G48" s="299"/>
      <c r="H48" s="299"/>
      <c r="I48" s="299"/>
      <c r="J48" s="299"/>
      <c r="K48" s="299"/>
      <c r="L48" s="302"/>
      <c r="M48" s="301">
        <v>13</v>
      </c>
      <c r="N48" s="301">
        <v>13</v>
      </c>
      <c r="O48" s="299"/>
      <c r="P48" s="299"/>
      <c r="Q48" s="301"/>
      <c r="R48" s="301"/>
      <c r="S48" s="299"/>
      <c r="T48" s="299"/>
      <c r="U48" s="299"/>
      <c r="V48" s="299"/>
      <c r="W48" s="300"/>
      <c r="X48" s="300"/>
      <c r="Y48" s="300">
        <v>13</v>
      </c>
      <c r="Z48" s="300">
        <v>13</v>
      </c>
    </row>
    <row r="49" spans="1:31" ht="20.100000000000001" customHeight="1">
      <c r="A49" s="85" t="s">
        <v>533</v>
      </c>
      <c r="B49" s="465" t="s">
        <v>511</v>
      </c>
      <c r="C49" s="466"/>
      <c r="D49" s="466"/>
      <c r="E49" s="466"/>
      <c r="F49" s="467"/>
      <c r="G49" s="299"/>
      <c r="H49" s="299"/>
      <c r="I49" s="299"/>
      <c r="J49" s="299"/>
      <c r="K49" s="299"/>
      <c r="L49" s="302"/>
      <c r="M49" s="301">
        <v>9</v>
      </c>
      <c r="N49" s="301">
        <v>9</v>
      </c>
      <c r="O49" s="299"/>
      <c r="P49" s="299"/>
      <c r="Q49" s="301"/>
      <c r="R49" s="301"/>
      <c r="S49" s="299"/>
      <c r="T49" s="299"/>
      <c r="U49" s="299"/>
      <c r="V49" s="299"/>
      <c r="W49" s="300"/>
      <c r="X49" s="300"/>
      <c r="Y49" s="300">
        <v>9</v>
      </c>
      <c r="Z49" s="300">
        <v>9</v>
      </c>
    </row>
    <row r="50" spans="1:31" ht="20.100000000000001" customHeight="1">
      <c r="A50" s="85" t="s">
        <v>534</v>
      </c>
      <c r="B50" s="465" t="s">
        <v>512</v>
      </c>
      <c r="C50" s="466"/>
      <c r="D50" s="466"/>
      <c r="E50" s="466"/>
      <c r="F50" s="467"/>
      <c r="G50" s="299"/>
      <c r="H50" s="299"/>
      <c r="I50" s="299"/>
      <c r="J50" s="299"/>
      <c r="K50" s="299"/>
      <c r="L50" s="302"/>
      <c r="M50" s="301">
        <v>8</v>
      </c>
      <c r="N50" s="301">
        <v>8</v>
      </c>
      <c r="O50" s="299"/>
      <c r="P50" s="299"/>
      <c r="Q50" s="301"/>
      <c r="R50" s="301"/>
      <c r="S50" s="299"/>
      <c r="T50" s="299"/>
      <c r="U50" s="299"/>
      <c r="V50" s="299"/>
      <c r="W50" s="300"/>
      <c r="X50" s="300"/>
      <c r="Y50" s="300">
        <v>8</v>
      </c>
      <c r="Z50" s="300">
        <v>8</v>
      </c>
    </row>
    <row r="51" spans="1:31" ht="20.100000000000001" customHeight="1">
      <c r="A51" s="85" t="s">
        <v>535</v>
      </c>
      <c r="B51" s="465" t="s">
        <v>513</v>
      </c>
      <c r="C51" s="466"/>
      <c r="D51" s="466"/>
      <c r="E51" s="466"/>
      <c r="F51" s="467"/>
      <c r="G51" s="299"/>
      <c r="H51" s="299"/>
      <c r="I51" s="299"/>
      <c r="J51" s="299"/>
      <c r="K51" s="299"/>
      <c r="L51" s="302"/>
      <c r="M51" s="301">
        <v>8</v>
      </c>
      <c r="N51" s="301">
        <v>8</v>
      </c>
      <c r="O51" s="299"/>
      <c r="P51" s="299"/>
      <c r="Q51" s="301"/>
      <c r="R51" s="301"/>
      <c r="S51" s="299"/>
      <c r="T51" s="299"/>
      <c r="U51" s="299"/>
      <c r="V51" s="299"/>
      <c r="W51" s="300"/>
      <c r="X51" s="300"/>
      <c r="Y51" s="300">
        <v>8</v>
      </c>
      <c r="Z51" s="300">
        <v>8</v>
      </c>
    </row>
    <row r="52" spans="1:31" ht="20.100000000000001" customHeight="1">
      <c r="A52" s="85" t="s">
        <v>536</v>
      </c>
      <c r="B52" s="465" t="s">
        <v>514</v>
      </c>
      <c r="C52" s="466"/>
      <c r="D52" s="466"/>
      <c r="E52" s="466"/>
      <c r="F52" s="467"/>
      <c r="G52" s="299"/>
      <c r="H52" s="299"/>
      <c r="I52" s="299"/>
      <c r="J52" s="299"/>
      <c r="K52" s="299"/>
      <c r="L52" s="302"/>
      <c r="M52" s="301">
        <v>8</v>
      </c>
      <c r="N52" s="301">
        <v>8</v>
      </c>
      <c r="O52" s="299"/>
      <c r="P52" s="299"/>
      <c r="Q52" s="301"/>
      <c r="R52" s="301"/>
      <c r="S52" s="299"/>
      <c r="T52" s="299"/>
      <c r="U52" s="299"/>
      <c r="V52" s="299"/>
      <c r="W52" s="300"/>
      <c r="X52" s="300"/>
      <c r="Y52" s="300">
        <v>8</v>
      </c>
      <c r="Z52" s="300">
        <v>8</v>
      </c>
    </row>
    <row r="53" spans="1:31" ht="20.100000000000001" customHeight="1">
      <c r="A53" s="85">
        <v>2</v>
      </c>
      <c r="B53" s="426" t="s">
        <v>537</v>
      </c>
      <c r="C53" s="426"/>
      <c r="D53" s="426"/>
      <c r="E53" s="426"/>
      <c r="F53" s="426"/>
      <c r="G53" s="109"/>
      <c r="H53" s="109"/>
      <c r="I53" s="109"/>
      <c r="J53" s="109"/>
      <c r="K53" s="109"/>
      <c r="L53" s="302">
        <v>169</v>
      </c>
      <c r="M53" s="302">
        <v>336</v>
      </c>
      <c r="N53" s="302">
        <v>503</v>
      </c>
      <c r="O53" s="109"/>
      <c r="P53" s="109"/>
      <c r="Q53" s="109"/>
      <c r="R53" s="109"/>
      <c r="S53" s="109"/>
      <c r="T53" s="109"/>
      <c r="U53" s="109"/>
      <c r="V53" s="109"/>
      <c r="W53" s="93">
        <f t="shared" si="0"/>
        <v>0</v>
      </c>
      <c r="X53" s="93">
        <f t="shared" si="0"/>
        <v>169</v>
      </c>
      <c r="Y53" s="307">
        <f t="shared" ref="Y53:Y54" si="1">SUM(I53,M53,Q53,U53)</f>
        <v>336</v>
      </c>
      <c r="Z53" s="307">
        <f t="shared" ref="Z53:Z54" si="2">SUM(J53,N53,R53,V53)</f>
        <v>503</v>
      </c>
    </row>
    <row r="54" spans="1:31" ht="20.100000000000001" customHeight="1">
      <c r="A54" s="85" t="s">
        <v>538</v>
      </c>
      <c r="B54" s="426" t="s">
        <v>428</v>
      </c>
      <c r="C54" s="426"/>
      <c r="D54" s="426"/>
      <c r="E54" s="426"/>
      <c r="F54" s="426"/>
      <c r="G54" s="109"/>
      <c r="H54" s="109"/>
      <c r="I54" s="109"/>
      <c r="J54" s="109"/>
      <c r="K54" s="109"/>
      <c r="L54" s="109">
        <v>6</v>
      </c>
      <c r="M54" s="109">
        <v>6</v>
      </c>
      <c r="N54" s="109">
        <v>6</v>
      </c>
      <c r="O54" s="109"/>
      <c r="P54" s="109"/>
      <c r="Q54" s="109"/>
      <c r="R54" s="109"/>
      <c r="S54" s="109"/>
      <c r="T54" s="109"/>
      <c r="U54" s="109"/>
      <c r="V54" s="109"/>
      <c r="W54" s="93"/>
      <c r="X54" s="307">
        <f t="shared" si="0"/>
        <v>6</v>
      </c>
      <c r="Y54" s="307">
        <f t="shared" si="1"/>
        <v>6</v>
      </c>
      <c r="Z54" s="307">
        <f t="shared" si="2"/>
        <v>6</v>
      </c>
    </row>
    <row r="55" spans="1:31" ht="20.100000000000001" customHeight="1">
      <c r="A55" s="85"/>
      <c r="B55" s="481"/>
      <c r="C55" s="482"/>
      <c r="D55" s="482"/>
      <c r="E55" s="482"/>
      <c r="F55" s="483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93"/>
      <c r="X55" s="93"/>
      <c r="Y55" s="93"/>
      <c r="Z55" s="93"/>
    </row>
    <row r="56" spans="1:31" ht="20.100000000000001" customHeight="1">
      <c r="A56" s="85"/>
      <c r="B56" s="426"/>
      <c r="C56" s="426"/>
      <c r="D56" s="426"/>
      <c r="E56" s="426"/>
      <c r="F56" s="426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93">
        <f>SUM(G56,K56,O56,S56)</f>
        <v>0</v>
      </c>
      <c r="X56" s="93">
        <f>SUM(H56,L56,P56,T56)</f>
        <v>0</v>
      </c>
      <c r="Y56" s="93">
        <f>SUM(I56,M56,Q56,U56)</f>
        <v>0</v>
      </c>
      <c r="Z56" s="93">
        <f>SUM(J56,N56,R56,V56)</f>
        <v>0</v>
      </c>
    </row>
    <row r="57" spans="1:31" ht="20.100000000000001" customHeight="1">
      <c r="A57" s="478" t="s">
        <v>61</v>
      </c>
      <c r="B57" s="479"/>
      <c r="C57" s="479"/>
      <c r="D57" s="479"/>
      <c r="E57" s="479"/>
      <c r="F57" s="480"/>
      <c r="G57" s="93">
        <f t="shared" ref="G57:V57" si="3">SUM(G32:G56)</f>
        <v>0</v>
      </c>
      <c r="H57" s="93">
        <f t="shared" si="3"/>
        <v>0</v>
      </c>
      <c r="I57" s="93">
        <f t="shared" si="3"/>
        <v>0</v>
      </c>
      <c r="J57" s="93">
        <f t="shared" si="3"/>
        <v>0</v>
      </c>
      <c r="K57" s="93">
        <f>K32+K53+K54</f>
        <v>0</v>
      </c>
      <c r="L57" s="305">
        <f>L32+L53+L54</f>
        <v>175</v>
      </c>
      <c r="M57" s="305">
        <f>M32+M53+M54</f>
        <v>600</v>
      </c>
      <c r="N57" s="305">
        <f>N32+N53+N54</f>
        <v>767</v>
      </c>
      <c r="O57" s="93">
        <f t="shared" si="3"/>
        <v>0</v>
      </c>
      <c r="P57" s="93">
        <f t="shared" si="3"/>
        <v>0</v>
      </c>
      <c r="Q57" s="93">
        <f t="shared" si="3"/>
        <v>0</v>
      </c>
      <c r="R57" s="93">
        <f t="shared" si="3"/>
        <v>0</v>
      </c>
      <c r="S57" s="93">
        <f t="shared" si="3"/>
        <v>0</v>
      </c>
      <c r="T57" s="93">
        <f t="shared" si="3"/>
        <v>0</v>
      </c>
      <c r="U57" s="93">
        <f t="shared" si="3"/>
        <v>0</v>
      </c>
      <c r="V57" s="93">
        <f t="shared" si="3"/>
        <v>0</v>
      </c>
      <c r="W57" s="93">
        <f>G57+K57+O57+S57</f>
        <v>0</v>
      </c>
      <c r="X57" s="305">
        <f t="shared" ref="X57:Z57" si="4">H57+L57+P57+T57</f>
        <v>175</v>
      </c>
      <c r="Y57" s="305">
        <f t="shared" si="4"/>
        <v>600</v>
      </c>
      <c r="Z57" s="305">
        <f t="shared" si="4"/>
        <v>767</v>
      </c>
    </row>
    <row r="58" spans="1:31" ht="20.100000000000001" customHeight="1">
      <c r="A58" s="462" t="s">
        <v>62</v>
      </c>
      <c r="B58" s="463"/>
      <c r="C58" s="463"/>
      <c r="D58" s="463"/>
      <c r="E58" s="463"/>
      <c r="F58" s="464"/>
      <c r="G58" s="76"/>
      <c r="H58" s="76"/>
      <c r="I58" s="76"/>
      <c r="J58" s="76"/>
      <c r="K58" s="76"/>
      <c r="L58" s="76">
        <f>L57/X57*100</f>
        <v>100</v>
      </c>
      <c r="M58" s="304">
        <f t="shared" ref="M58:N58" si="5">M57/Y57*100</f>
        <v>100</v>
      </c>
      <c r="N58" s="304">
        <f t="shared" si="5"/>
        <v>100</v>
      </c>
      <c r="O58" s="76"/>
      <c r="P58" s="76"/>
      <c r="Q58" s="76"/>
      <c r="R58" s="76"/>
      <c r="S58" s="76"/>
      <c r="T58" s="76"/>
      <c r="U58" s="76"/>
      <c r="V58" s="76"/>
      <c r="W58" s="76"/>
      <c r="X58" s="76">
        <v>100</v>
      </c>
      <c r="Y58" s="304">
        <v>100</v>
      </c>
      <c r="Z58" s="304">
        <v>100</v>
      </c>
    </row>
    <row r="59" spans="1:31" ht="20.100000000000001" customHeight="1">
      <c r="A59" s="51"/>
      <c r="B59" s="51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51"/>
      <c r="T59" s="51"/>
      <c r="U59" s="51"/>
      <c r="V59" s="51"/>
      <c r="W59" s="84"/>
      <c r="X59" s="51"/>
      <c r="Y59" s="51"/>
      <c r="Z59" s="51"/>
      <c r="AA59" s="51"/>
    </row>
    <row r="60" spans="1:31" ht="20.100000000000001" customHeight="1">
      <c r="A60" s="13"/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31" s="38" customFormat="1" ht="20.100000000000001" customHeight="1">
      <c r="B61" s="38" t="s">
        <v>261</v>
      </c>
    </row>
    <row r="62" spans="1:31" s="68" customFormat="1" ht="20.100000000000001" customHeight="1">
      <c r="A62" s="1"/>
      <c r="B62" s="1"/>
      <c r="C62" s="1"/>
      <c r="D62" s="1"/>
      <c r="E62" s="1"/>
      <c r="F62" s="1"/>
      <c r="G62" s="1"/>
      <c r="H62" s="1"/>
      <c r="I62" s="1"/>
      <c r="K62" s="1"/>
      <c r="AD62" s="67" t="s">
        <v>256</v>
      </c>
    </row>
    <row r="63" spans="1:31" s="69" customFormat="1" ht="34.5" customHeight="1">
      <c r="A63" s="367" t="s">
        <v>228</v>
      </c>
      <c r="B63" s="370" t="s">
        <v>311</v>
      </c>
      <c r="C63" s="370" t="s">
        <v>342</v>
      </c>
      <c r="D63" s="370"/>
      <c r="E63" s="370" t="s">
        <v>229</v>
      </c>
      <c r="F63" s="370"/>
      <c r="G63" s="370" t="s">
        <v>230</v>
      </c>
      <c r="H63" s="370"/>
      <c r="I63" s="370" t="s">
        <v>303</v>
      </c>
      <c r="J63" s="370"/>
      <c r="K63" s="370" t="s">
        <v>152</v>
      </c>
      <c r="L63" s="370"/>
      <c r="M63" s="370"/>
      <c r="N63" s="370"/>
      <c r="O63" s="370"/>
      <c r="P63" s="370"/>
      <c r="Q63" s="370"/>
      <c r="R63" s="370"/>
      <c r="S63" s="370"/>
      <c r="T63" s="370"/>
      <c r="U63" s="370" t="s">
        <v>343</v>
      </c>
      <c r="V63" s="370"/>
      <c r="W63" s="370"/>
      <c r="X63" s="370"/>
      <c r="Y63" s="370"/>
      <c r="Z63" s="370" t="s">
        <v>307</v>
      </c>
      <c r="AA63" s="370"/>
      <c r="AB63" s="370"/>
      <c r="AC63" s="370"/>
      <c r="AD63" s="370"/>
      <c r="AE63" s="370"/>
    </row>
    <row r="64" spans="1:31" s="69" customFormat="1" ht="52.5" customHeight="1">
      <c r="A64" s="367"/>
      <c r="B64" s="370"/>
      <c r="C64" s="370"/>
      <c r="D64" s="370"/>
      <c r="E64" s="370"/>
      <c r="F64" s="370"/>
      <c r="G64" s="370"/>
      <c r="H64" s="370"/>
      <c r="I64" s="370"/>
      <c r="J64" s="370"/>
      <c r="K64" s="370" t="s">
        <v>355</v>
      </c>
      <c r="L64" s="370"/>
      <c r="M64" s="370" t="s">
        <v>356</v>
      </c>
      <c r="N64" s="370"/>
      <c r="O64" s="370" t="s">
        <v>341</v>
      </c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</row>
    <row r="65" spans="1:31" s="70" customFormat="1" ht="82.5" customHeight="1">
      <c r="A65" s="367"/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 t="s">
        <v>304</v>
      </c>
      <c r="P65" s="370"/>
      <c r="Q65" s="370" t="s">
        <v>305</v>
      </c>
      <c r="R65" s="370"/>
      <c r="S65" s="370" t="s">
        <v>306</v>
      </c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</row>
    <row r="66" spans="1:31" s="69" customFormat="1" ht="18" customHeight="1">
      <c r="A66" s="6">
        <v>1</v>
      </c>
      <c r="B66" s="7">
        <v>2</v>
      </c>
      <c r="C66" s="370">
        <v>3</v>
      </c>
      <c r="D66" s="370"/>
      <c r="E66" s="370">
        <v>4</v>
      </c>
      <c r="F66" s="370"/>
      <c r="G66" s="370">
        <v>5</v>
      </c>
      <c r="H66" s="370"/>
      <c r="I66" s="370">
        <v>6</v>
      </c>
      <c r="J66" s="370"/>
      <c r="K66" s="400">
        <v>7</v>
      </c>
      <c r="L66" s="402"/>
      <c r="M66" s="400">
        <v>8</v>
      </c>
      <c r="N66" s="402"/>
      <c r="O66" s="370">
        <v>9</v>
      </c>
      <c r="P66" s="370"/>
      <c r="Q66" s="367">
        <v>10</v>
      </c>
      <c r="R66" s="367"/>
      <c r="S66" s="370">
        <v>11</v>
      </c>
      <c r="T66" s="370"/>
      <c r="U66" s="370">
        <v>12</v>
      </c>
      <c r="V66" s="370"/>
      <c r="W66" s="370"/>
      <c r="X66" s="370"/>
      <c r="Y66" s="370"/>
      <c r="Z66" s="370">
        <v>13</v>
      </c>
      <c r="AA66" s="370"/>
      <c r="AB66" s="370"/>
      <c r="AC66" s="370"/>
      <c r="AD66" s="370"/>
      <c r="AE66" s="370"/>
    </row>
    <row r="67" spans="1:31" s="69" customFormat="1" ht="20.100000000000001" customHeight="1">
      <c r="A67" s="220"/>
      <c r="B67" s="221"/>
      <c r="C67" s="476"/>
      <c r="D67" s="476"/>
      <c r="E67" s="391"/>
      <c r="F67" s="391"/>
      <c r="G67" s="391"/>
      <c r="H67" s="391"/>
      <c r="I67" s="391"/>
      <c r="J67" s="391"/>
      <c r="K67" s="392"/>
      <c r="L67" s="393"/>
      <c r="M67" s="394">
        <f t="shared" ref="M67:M73" si="6">SUM(O67,Q67,S67)</f>
        <v>0</v>
      </c>
      <c r="N67" s="395"/>
      <c r="O67" s="391"/>
      <c r="P67" s="391"/>
      <c r="Q67" s="391"/>
      <c r="R67" s="391"/>
      <c r="S67" s="391"/>
      <c r="T67" s="391"/>
      <c r="U67" s="411"/>
      <c r="V67" s="411"/>
      <c r="W67" s="411"/>
      <c r="X67" s="411"/>
      <c r="Y67" s="411"/>
      <c r="Z67" s="426"/>
      <c r="AA67" s="426"/>
      <c r="AB67" s="426"/>
      <c r="AC67" s="426"/>
      <c r="AD67" s="426"/>
      <c r="AE67" s="426"/>
    </row>
    <row r="68" spans="1:31" s="69" customFormat="1" ht="20.100000000000001" customHeight="1">
      <c r="A68" s="220"/>
      <c r="B68" s="221"/>
      <c r="C68" s="476"/>
      <c r="D68" s="476"/>
      <c r="E68" s="391"/>
      <c r="F68" s="391"/>
      <c r="G68" s="391"/>
      <c r="H68" s="391"/>
      <c r="I68" s="391"/>
      <c r="J68" s="391"/>
      <c r="K68" s="392"/>
      <c r="L68" s="393"/>
      <c r="M68" s="394">
        <f t="shared" si="6"/>
        <v>0</v>
      </c>
      <c r="N68" s="395"/>
      <c r="O68" s="391"/>
      <c r="P68" s="391"/>
      <c r="Q68" s="391"/>
      <c r="R68" s="391"/>
      <c r="S68" s="391"/>
      <c r="T68" s="391"/>
      <c r="U68" s="411"/>
      <c r="V68" s="411"/>
      <c r="W68" s="411"/>
      <c r="X68" s="411"/>
      <c r="Y68" s="411"/>
      <c r="Z68" s="426"/>
      <c r="AA68" s="426"/>
      <c r="AB68" s="426"/>
      <c r="AC68" s="426"/>
      <c r="AD68" s="426"/>
      <c r="AE68" s="426"/>
    </row>
    <row r="69" spans="1:31" s="69" customFormat="1" ht="20.100000000000001" customHeight="1">
      <c r="A69" s="220"/>
      <c r="B69" s="221"/>
      <c r="C69" s="476"/>
      <c r="D69" s="476"/>
      <c r="E69" s="391"/>
      <c r="F69" s="391"/>
      <c r="G69" s="391"/>
      <c r="H69" s="391"/>
      <c r="I69" s="391"/>
      <c r="J69" s="391"/>
      <c r="K69" s="392"/>
      <c r="L69" s="393"/>
      <c r="M69" s="394">
        <f t="shared" si="6"/>
        <v>0</v>
      </c>
      <c r="N69" s="395"/>
      <c r="O69" s="391"/>
      <c r="P69" s="391"/>
      <c r="Q69" s="391"/>
      <c r="R69" s="391"/>
      <c r="S69" s="391"/>
      <c r="T69" s="391"/>
      <c r="U69" s="411"/>
      <c r="V69" s="411"/>
      <c r="W69" s="411"/>
      <c r="X69" s="411"/>
      <c r="Y69" s="411"/>
      <c r="Z69" s="426"/>
      <c r="AA69" s="426"/>
      <c r="AB69" s="426"/>
      <c r="AC69" s="426"/>
      <c r="AD69" s="426"/>
      <c r="AE69" s="426"/>
    </row>
    <row r="70" spans="1:31" s="69" customFormat="1" ht="20.100000000000001" customHeight="1">
      <c r="A70" s="220"/>
      <c r="B70" s="221"/>
      <c r="C70" s="476"/>
      <c r="D70" s="476"/>
      <c r="E70" s="391"/>
      <c r="F70" s="391"/>
      <c r="G70" s="391"/>
      <c r="H70" s="391"/>
      <c r="I70" s="391"/>
      <c r="J70" s="391"/>
      <c r="K70" s="392"/>
      <c r="L70" s="393"/>
      <c r="M70" s="394">
        <f>SUM(O70,Q70,S70)</f>
        <v>0</v>
      </c>
      <c r="N70" s="395"/>
      <c r="O70" s="391"/>
      <c r="P70" s="391"/>
      <c r="Q70" s="391"/>
      <c r="R70" s="391"/>
      <c r="S70" s="391"/>
      <c r="T70" s="391"/>
      <c r="U70" s="411"/>
      <c r="V70" s="411"/>
      <c r="W70" s="411"/>
      <c r="X70" s="411"/>
      <c r="Y70" s="411"/>
      <c r="Z70" s="426"/>
      <c r="AA70" s="426"/>
      <c r="AB70" s="426"/>
      <c r="AC70" s="426"/>
      <c r="AD70" s="426"/>
      <c r="AE70" s="426"/>
    </row>
    <row r="71" spans="1:31" s="69" customFormat="1" ht="20.100000000000001" customHeight="1">
      <c r="A71" s="220"/>
      <c r="B71" s="221"/>
      <c r="C71" s="476"/>
      <c r="D71" s="476"/>
      <c r="E71" s="391"/>
      <c r="F71" s="391"/>
      <c r="G71" s="391"/>
      <c r="H71" s="391"/>
      <c r="I71" s="391"/>
      <c r="J71" s="391"/>
      <c r="K71" s="392"/>
      <c r="L71" s="393"/>
      <c r="M71" s="394">
        <f t="shared" si="6"/>
        <v>0</v>
      </c>
      <c r="N71" s="395"/>
      <c r="O71" s="391"/>
      <c r="P71" s="391"/>
      <c r="Q71" s="391"/>
      <c r="R71" s="391"/>
      <c r="S71" s="391"/>
      <c r="T71" s="391"/>
      <c r="U71" s="411"/>
      <c r="V71" s="411"/>
      <c r="W71" s="411"/>
      <c r="X71" s="411"/>
      <c r="Y71" s="411"/>
      <c r="Z71" s="426"/>
      <c r="AA71" s="426"/>
      <c r="AB71" s="426"/>
      <c r="AC71" s="426"/>
      <c r="AD71" s="426"/>
      <c r="AE71" s="426"/>
    </row>
    <row r="72" spans="1:31" s="69" customFormat="1" ht="20.100000000000001" customHeight="1">
      <c r="A72" s="220"/>
      <c r="B72" s="221"/>
      <c r="C72" s="476"/>
      <c r="D72" s="476"/>
      <c r="E72" s="391"/>
      <c r="F72" s="391"/>
      <c r="G72" s="391"/>
      <c r="H72" s="391"/>
      <c r="I72" s="391"/>
      <c r="J72" s="391"/>
      <c r="K72" s="392"/>
      <c r="L72" s="393"/>
      <c r="M72" s="394">
        <f t="shared" si="6"/>
        <v>0</v>
      </c>
      <c r="N72" s="395"/>
      <c r="O72" s="391"/>
      <c r="P72" s="391"/>
      <c r="Q72" s="391"/>
      <c r="R72" s="391"/>
      <c r="S72" s="391"/>
      <c r="T72" s="391"/>
      <c r="U72" s="411"/>
      <c r="V72" s="411"/>
      <c r="W72" s="411"/>
      <c r="X72" s="411"/>
      <c r="Y72" s="411"/>
      <c r="Z72" s="426"/>
      <c r="AA72" s="426"/>
      <c r="AB72" s="426"/>
      <c r="AC72" s="426"/>
      <c r="AD72" s="426"/>
      <c r="AE72" s="426"/>
    </row>
    <row r="73" spans="1:31" s="69" customFormat="1" ht="20.100000000000001" customHeight="1">
      <c r="A73" s="220"/>
      <c r="B73" s="221"/>
      <c r="C73" s="476"/>
      <c r="D73" s="476"/>
      <c r="E73" s="391"/>
      <c r="F73" s="391"/>
      <c r="G73" s="391"/>
      <c r="H73" s="391"/>
      <c r="I73" s="391"/>
      <c r="J73" s="391"/>
      <c r="K73" s="392"/>
      <c r="L73" s="393"/>
      <c r="M73" s="394">
        <f t="shared" si="6"/>
        <v>0</v>
      </c>
      <c r="N73" s="395"/>
      <c r="O73" s="391"/>
      <c r="P73" s="391"/>
      <c r="Q73" s="391"/>
      <c r="R73" s="391"/>
      <c r="S73" s="391"/>
      <c r="T73" s="391"/>
      <c r="U73" s="411"/>
      <c r="V73" s="411"/>
      <c r="W73" s="411"/>
      <c r="X73" s="411"/>
      <c r="Y73" s="411"/>
      <c r="Z73" s="426"/>
      <c r="AA73" s="426"/>
      <c r="AB73" s="426"/>
      <c r="AC73" s="426"/>
      <c r="AD73" s="426"/>
      <c r="AE73" s="426"/>
    </row>
    <row r="74" spans="1:31" s="69" customFormat="1" ht="20.100000000000001" customHeight="1">
      <c r="A74" s="462" t="s">
        <v>61</v>
      </c>
      <c r="B74" s="463"/>
      <c r="C74" s="463"/>
      <c r="D74" s="464"/>
      <c r="E74" s="425">
        <f>SUM(E67:F73)</f>
        <v>0</v>
      </c>
      <c r="F74" s="425"/>
      <c r="G74" s="425">
        <f>SUM(G67:H73)</f>
        <v>0</v>
      </c>
      <c r="H74" s="425"/>
      <c r="I74" s="425">
        <f>SUM(I67:J73)</f>
        <v>0</v>
      </c>
      <c r="J74" s="425"/>
      <c r="K74" s="425">
        <f>SUM(K67:L73)</f>
        <v>0</v>
      </c>
      <c r="L74" s="425"/>
      <c r="M74" s="425">
        <f>SUM(M67:N73)</f>
        <v>0</v>
      </c>
      <c r="N74" s="425"/>
      <c r="O74" s="425">
        <f>SUM(O67:P73)</f>
        <v>0</v>
      </c>
      <c r="P74" s="425"/>
      <c r="Q74" s="425">
        <f>SUM(Q67:R73)</f>
        <v>0</v>
      </c>
      <c r="R74" s="425"/>
      <c r="S74" s="425">
        <f>SUM(S67:T73)</f>
        <v>0</v>
      </c>
      <c r="T74" s="425"/>
      <c r="U74" s="471"/>
      <c r="V74" s="471"/>
      <c r="W74" s="471"/>
      <c r="X74" s="471"/>
      <c r="Y74" s="471"/>
      <c r="Z74" s="472"/>
      <c r="AA74" s="472"/>
      <c r="AB74" s="472"/>
      <c r="AC74" s="472"/>
      <c r="AD74" s="472"/>
      <c r="AE74" s="472"/>
    </row>
    <row r="75" spans="1:31" ht="20.100000000000001" customHeight="1">
      <c r="A75" s="13"/>
      <c r="B75" s="1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31" ht="20.100000000000001" customHeight="1">
      <c r="A76" s="13"/>
      <c r="B76" s="1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31" s="4" customFormat="1" ht="20.100000000000001" customHeight="1">
      <c r="C77" s="38"/>
      <c r="D77" s="38"/>
      <c r="E77" s="38"/>
      <c r="F77" s="38"/>
      <c r="G77" s="38"/>
      <c r="H77" s="38"/>
      <c r="I77" s="38"/>
      <c r="J77" s="38"/>
      <c r="K77" s="38"/>
    </row>
    <row r="78" spans="1:31" s="32" customFormat="1" ht="20.100000000000001" customHeight="1">
      <c r="B78" s="412" t="s">
        <v>558</v>
      </c>
      <c r="C78" s="477"/>
      <c r="D78" s="477"/>
      <c r="E78" s="477"/>
      <c r="F78" s="477"/>
      <c r="G78" s="65"/>
      <c r="H78" s="65"/>
      <c r="I78" s="65"/>
      <c r="J78" s="65"/>
      <c r="K78" s="65"/>
      <c r="L78" s="473" t="s">
        <v>266</v>
      </c>
      <c r="M78" s="473"/>
      <c r="N78" s="473"/>
      <c r="O78" s="473"/>
      <c r="P78" s="473"/>
      <c r="Q78" s="66"/>
      <c r="R78" s="66"/>
      <c r="S78" s="66"/>
      <c r="T78" s="66"/>
      <c r="U78" s="66"/>
      <c r="V78" s="474" t="s">
        <v>551</v>
      </c>
      <c r="W78" s="475"/>
      <c r="X78" s="475"/>
      <c r="Y78" s="475"/>
      <c r="Z78" s="475"/>
    </row>
    <row r="79" spans="1:31" s="4" customFormat="1" ht="19.5" customHeight="1">
      <c r="B79" s="3"/>
      <c r="C79" s="4" t="s">
        <v>84</v>
      </c>
      <c r="E79" s="41"/>
      <c r="F79" s="41"/>
      <c r="G79" s="41"/>
      <c r="H79" s="41"/>
      <c r="I79" s="41"/>
      <c r="J79" s="41"/>
      <c r="K79" s="41"/>
      <c r="M79" s="3"/>
      <c r="N79" s="22" t="s">
        <v>85</v>
      </c>
      <c r="O79" s="3"/>
      <c r="Q79" s="41"/>
      <c r="R79" s="41"/>
      <c r="S79" s="41"/>
      <c r="V79" s="470" t="s">
        <v>144</v>
      </c>
      <c r="W79" s="470"/>
      <c r="X79" s="470"/>
      <c r="Y79" s="470"/>
      <c r="Z79" s="470"/>
    </row>
    <row r="80" spans="1:31" ht="20.100000000000001" customHeight="1">
      <c r="B80" s="34"/>
      <c r="C80" s="34"/>
      <c r="D80" s="34"/>
      <c r="E80" s="34"/>
      <c r="F80" s="34"/>
      <c r="G80" s="34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34"/>
      <c r="U80" s="34"/>
    </row>
    <row r="81" spans="2:21" ht="20.100000000000001" customHeight="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spans="2:2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spans="2:21">
      <c r="B83" s="35"/>
    </row>
    <row r="86" spans="2:21" ht="19.5">
      <c r="B86" s="36"/>
    </row>
    <row r="87" spans="2:21" ht="19.5">
      <c r="B87" s="36"/>
    </row>
    <row r="88" spans="2:21" ht="19.5">
      <c r="B88" s="36"/>
    </row>
    <row r="89" spans="2:21" ht="19.5">
      <c r="B89" s="36"/>
    </row>
    <row r="90" spans="2:21" ht="19.5">
      <c r="B90" s="36"/>
    </row>
    <row r="91" spans="2:21" ht="19.5">
      <c r="B91" s="36"/>
    </row>
    <row r="92" spans="2:21" ht="19.5">
      <c r="B92" s="36"/>
    </row>
  </sheetData>
  <mergeCells count="275">
    <mergeCell ref="B47:F47"/>
    <mergeCell ref="B48:F48"/>
    <mergeCell ref="B49:F49"/>
    <mergeCell ref="B50:F50"/>
    <mergeCell ref="B51:F51"/>
    <mergeCell ref="B52:F52"/>
    <mergeCell ref="B78:F78"/>
    <mergeCell ref="A57:F57"/>
    <mergeCell ref="C70:D70"/>
    <mergeCell ref="C66:D66"/>
    <mergeCell ref="C67:D67"/>
    <mergeCell ref="B55:F55"/>
    <mergeCell ref="L78:P78"/>
    <mergeCell ref="V78:Z78"/>
    <mergeCell ref="K29:N29"/>
    <mergeCell ref="A74:D74"/>
    <mergeCell ref="C73:D73"/>
    <mergeCell ref="E73:F73"/>
    <mergeCell ref="Z73:AE73"/>
    <mergeCell ref="Q74:R74"/>
    <mergeCell ref="K74:L74"/>
    <mergeCell ref="C69:D69"/>
    <mergeCell ref="C68:D68"/>
    <mergeCell ref="E67:F67"/>
    <mergeCell ref="G66:H66"/>
    <mergeCell ref="I68:J68"/>
    <mergeCell ref="G67:H67"/>
    <mergeCell ref="I67:J67"/>
    <mergeCell ref="I66:J66"/>
    <mergeCell ref="C71:D71"/>
    <mergeCell ref="E74:F74"/>
    <mergeCell ref="G74:H74"/>
    <mergeCell ref="I73:J73"/>
    <mergeCell ref="E72:F72"/>
    <mergeCell ref="C72:D72"/>
    <mergeCell ref="B28:F30"/>
    <mergeCell ref="V79:Z79"/>
    <mergeCell ref="U74:Y74"/>
    <mergeCell ref="S29:V29"/>
    <mergeCell ref="W28:Z28"/>
    <mergeCell ref="O29:R29"/>
    <mergeCell ref="S73:T73"/>
    <mergeCell ref="Z74:AE74"/>
    <mergeCell ref="M73:N73"/>
    <mergeCell ref="S74:T74"/>
    <mergeCell ref="U73:Y73"/>
    <mergeCell ref="Q70:R70"/>
    <mergeCell ref="S66:T66"/>
    <mergeCell ref="M72:N72"/>
    <mergeCell ref="O72:P72"/>
    <mergeCell ref="Q72:R72"/>
    <mergeCell ref="M71:N71"/>
    <mergeCell ref="M74:N74"/>
    <mergeCell ref="O65:P65"/>
    <mergeCell ref="Q65:R65"/>
    <mergeCell ref="U63:Y65"/>
    <mergeCell ref="K63:T63"/>
    <mergeCell ref="W29:Z29"/>
    <mergeCell ref="S28:V28"/>
    <mergeCell ref="K64:L65"/>
    <mergeCell ref="AB1:AE1"/>
    <mergeCell ref="Q73:R73"/>
    <mergeCell ref="S69:T69"/>
    <mergeCell ref="U69:Y69"/>
    <mergeCell ref="S71:T71"/>
    <mergeCell ref="U71:Y71"/>
    <mergeCell ref="S67:T67"/>
    <mergeCell ref="A23:U23"/>
    <mergeCell ref="K66:L66"/>
    <mergeCell ref="K67:L67"/>
    <mergeCell ref="Z70:AE70"/>
    <mergeCell ref="S70:T70"/>
    <mergeCell ref="U70:Y70"/>
    <mergeCell ref="Q68:R68"/>
    <mergeCell ref="Q67:R67"/>
    <mergeCell ref="O67:P67"/>
    <mergeCell ref="O64:T64"/>
    <mergeCell ref="M68:N68"/>
    <mergeCell ref="M67:N67"/>
    <mergeCell ref="M64:N65"/>
    <mergeCell ref="S65:T65"/>
    <mergeCell ref="M66:N66"/>
    <mergeCell ref="O68:P68"/>
    <mergeCell ref="O66:P66"/>
    <mergeCell ref="A28:A30"/>
    <mergeCell ref="B31:F31"/>
    <mergeCell ref="A63:A65"/>
    <mergeCell ref="B63:B65"/>
    <mergeCell ref="C63:D65"/>
    <mergeCell ref="E63:F65"/>
    <mergeCell ref="I63:J65"/>
    <mergeCell ref="G63:H65"/>
    <mergeCell ref="B32:F32"/>
    <mergeCell ref="B56:F56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Z63:AE65"/>
    <mergeCell ref="B53:F53"/>
    <mergeCell ref="A58:F58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54:F54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Q4:AE4"/>
    <mergeCell ref="T5:V5"/>
    <mergeCell ref="W5:Y5"/>
    <mergeCell ref="Z5:AB5"/>
    <mergeCell ref="Q5:S5"/>
    <mergeCell ref="AC5:AE5"/>
    <mergeCell ref="Q6:S6"/>
    <mergeCell ref="I69:J69"/>
    <mergeCell ref="G68:H68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69:P69"/>
    <mergeCell ref="Q7:S7"/>
    <mergeCell ref="Q15:U17"/>
    <mergeCell ref="Q8:S8"/>
    <mergeCell ref="T10:V10"/>
    <mergeCell ref="G29:J29"/>
    <mergeCell ref="Z68:AE68"/>
    <mergeCell ref="U66:Y66"/>
    <mergeCell ref="U67:Y67"/>
    <mergeCell ref="U68:Y68"/>
    <mergeCell ref="E71:F71"/>
    <mergeCell ref="G71:H71"/>
    <mergeCell ref="I71:J71"/>
    <mergeCell ref="Q71:R71"/>
    <mergeCell ref="E69:F69"/>
    <mergeCell ref="G69:H69"/>
    <mergeCell ref="Z66:AE66"/>
    <mergeCell ref="Z67:AE67"/>
    <mergeCell ref="Q66:R66"/>
    <mergeCell ref="S68:T68"/>
    <mergeCell ref="K68:L68"/>
    <mergeCell ref="K71:L71"/>
    <mergeCell ref="E70:F70"/>
    <mergeCell ref="E68:F68"/>
    <mergeCell ref="E66:F66"/>
    <mergeCell ref="G73:H73"/>
    <mergeCell ref="K73:L73"/>
    <mergeCell ref="O74:P74"/>
    <mergeCell ref="I74:J74"/>
    <mergeCell ref="O73:P73"/>
    <mergeCell ref="Z69:AE69"/>
    <mergeCell ref="I72:J72"/>
    <mergeCell ref="K70:L70"/>
    <mergeCell ref="K69:L69"/>
    <mergeCell ref="O71:P71"/>
    <mergeCell ref="Q69:R69"/>
    <mergeCell ref="Z72:AE72"/>
    <mergeCell ref="S72:T72"/>
    <mergeCell ref="U72:Y72"/>
    <mergeCell ref="Z71:AE71"/>
    <mergeCell ref="G70:H70"/>
    <mergeCell ref="I70:J70"/>
    <mergeCell ref="M70:N70"/>
    <mergeCell ref="O70:P70"/>
    <mergeCell ref="M69:N69"/>
    <mergeCell ref="G72:H72"/>
    <mergeCell ref="K72:L72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6"/>
  <sheetViews>
    <sheetView tabSelected="1" view="pageBreakPreview" topLeftCell="A16" zoomScale="65" zoomScaleNormal="75" zoomScaleSheetLayoutView="75" workbookViewId="0">
      <selection activeCell="H86" sqref="H86:J86"/>
    </sheetView>
  </sheetViews>
  <sheetFormatPr defaultColWidth="9.140625" defaultRowHeight="18.75"/>
  <cols>
    <col min="1" max="1" width="50.28515625" style="2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" customWidth="1"/>
    <col min="8" max="8" width="14.5703125" style="2" customWidth="1"/>
    <col min="9" max="9" width="15.7109375" style="2" customWidth="1"/>
    <col min="10" max="10" width="15.1406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>
      <c r="A1" s="110"/>
      <c r="B1" s="111"/>
      <c r="C1" s="111"/>
      <c r="D1" s="111"/>
      <c r="E1" s="111"/>
      <c r="F1" s="111" t="s">
        <v>19</v>
      </c>
      <c r="G1" s="110"/>
      <c r="H1" s="110"/>
      <c r="I1" s="110"/>
      <c r="J1" s="110"/>
    </row>
    <row r="2" spans="1:10" ht="18.75" customHeight="1">
      <c r="A2" s="349" t="s">
        <v>387</v>
      </c>
      <c r="B2" s="349"/>
      <c r="C2" s="113"/>
      <c r="D2" s="114"/>
      <c r="E2" s="114"/>
      <c r="F2" s="350" t="s">
        <v>388</v>
      </c>
      <c r="G2" s="350"/>
      <c r="H2" s="350"/>
      <c r="I2" s="350"/>
      <c r="J2" s="350"/>
    </row>
    <row r="3" spans="1:10" ht="18.75" customHeight="1">
      <c r="A3" s="351" t="s">
        <v>541</v>
      </c>
      <c r="B3" s="351"/>
      <c r="C3" s="113"/>
      <c r="D3" s="116"/>
      <c r="E3" s="116"/>
      <c r="F3" s="350"/>
      <c r="G3" s="350"/>
      <c r="H3" s="350"/>
      <c r="I3" s="350"/>
      <c r="J3" s="350"/>
    </row>
    <row r="4" spans="1:10" ht="18.75" customHeight="1">
      <c r="A4" s="351" t="s">
        <v>543</v>
      </c>
      <c r="B4" s="351"/>
      <c r="C4" s="113"/>
      <c r="D4" s="116"/>
      <c r="E4" s="116"/>
      <c r="F4" s="350"/>
      <c r="G4" s="350"/>
      <c r="H4" s="350"/>
      <c r="I4" s="350"/>
      <c r="J4" s="350"/>
    </row>
    <row r="5" spans="1:10" ht="18.75" customHeight="1">
      <c r="A5" s="351" t="s">
        <v>542</v>
      </c>
      <c r="B5" s="351"/>
      <c r="C5" s="113"/>
      <c r="D5" s="116"/>
      <c r="E5" s="116"/>
      <c r="F5" s="116"/>
      <c r="G5" s="352"/>
      <c r="H5" s="352"/>
      <c r="I5" s="117"/>
      <c r="J5" s="117"/>
    </row>
    <row r="6" spans="1:10" ht="18.75" customHeight="1">
      <c r="A6" s="349" t="s">
        <v>389</v>
      </c>
      <c r="B6" s="349"/>
      <c r="C6" s="113"/>
      <c r="D6" s="118"/>
      <c r="E6" s="118"/>
      <c r="F6" s="353" t="s">
        <v>390</v>
      </c>
      <c r="G6" s="353"/>
      <c r="H6" s="353"/>
      <c r="I6" s="353"/>
      <c r="J6" s="353"/>
    </row>
    <row r="7" spans="1:10" ht="63" customHeight="1">
      <c r="A7" s="349"/>
      <c r="B7" s="349"/>
      <c r="C7" s="113"/>
      <c r="D7" s="118"/>
      <c r="E7" s="118"/>
      <c r="F7" s="353" t="s">
        <v>266</v>
      </c>
      <c r="G7" s="353"/>
      <c r="H7" s="353"/>
      <c r="I7" s="353"/>
      <c r="J7" s="353"/>
    </row>
    <row r="8" spans="1:10" ht="18.75" customHeight="1">
      <c r="A8" s="119" t="s">
        <v>357</v>
      </c>
      <c r="B8" s="112"/>
      <c r="C8" s="113"/>
      <c r="D8" s="118"/>
      <c r="E8" s="118"/>
      <c r="F8" s="353" t="s">
        <v>391</v>
      </c>
      <c r="G8" s="353"/>
      <c r="H8" s="353"/>
      <c r="I8" s="353"/>
      <c r="J8" s="353"/>
    </row>
    <row r="9" spans="1:10" ht="18.600000000000001" customHeight="1">
      <c r="A9" s="112"/>
      <c r="B9" s="112"/>
      <c r="C9" s="113"/>
      <c r="D9" s="118"/>
      <c r="E9" s="118"/>
      <c r="F9" s="353" t="s">
        <v>392</v>
      </c>
      <c r="G9" s="353"/>
      <c r="H9" s="353"/>
      <c r="I9" s="353"/>
      <c r="J9" s="353"/>
    </row>
    <row r="10" spans="1:10" ht="20.25">
      <c r="A10" s="112"/>
      <c r="B10" s="112"/>
      <c r="C10" s="113"/>
      <c r="D10" s="118"/>
      <c r="E10" s="118"/>
      <c r="F10" s="114"/>
      <c r="G10" s="114"/>
      <c r="H10" s="114"/>
      <c r="I10" s="114"/>
      <c r="J10" s="114"/>
    </row>
    <row r="11" spans="1:10" ht="72" customHeight="1">
      <c r="A11" s="112"/>
      <c r="B11" s="112"/>
      <c r="C11" s="113"/>
      <c r="D11" s="118"/>
      <c r="E11" s="118"/>
      <c r="F11" s="350" t="s">
        <v>544</v>
      </c>
      <c r="G11" s="350"/>
      <c r="H11" s="350"/>
      <c r="I11" s="350"/>
      <c r="J11" s="350"/>
    </row>
    <row r="12" spans="1:10" ht="20.25" customHeight="1">
      <c r="A12" s="112"/>
      <c r="B12" s="112"/>
      <c r="C12" s="113"/>
      <c r="D12" s="118"/>
      <c r="E12" s="118"/>
      <c r="F12" s="119" t="s">
        <v>357</v>
      </c>
      <c r="G12" s="114"/>
      <c r="H12" s="114"/>
      <c r="I12" s="114"/>
      <c r="J12" s="114"/>
    </row>
    <row r="13" spans="1:10" ht="19.5" customHeight="1">
      <c r="A13" s="112"/>
      <c r="B13" s="112"/>
      <c r="C13" s="113"/>
      <c r="D13" s="118"/>
      <c r="E13" s="118"/>
      <c r="F13" s="114"/>
      <c r="G13" s="117"/>
      <c r="H13" s="119"/>
      <c r="I13" s="119"/>
      <c r="J13" s="119"/>
    </row>
    <row r="14" spans="1:10" ht="19.5" customHeight="1">
      <c r="A14" s="114"/>
      <c r="B14" s="120"/>
      <c r="C14" s="120"/>
      <c r="D14" s="120"/>
      <c r="E14" s="120"/>
      <c r="F14" s="120"/>
      <c r="G14" s="121"/>
      <c r="H14" s="121"/>
      <c r="I14" s="121"/>
      <c r="J14" s="121"/>
    </row>
    <row r="15" spans="1:10" ht="19.5" customHeight="1">
      <c r="A15" s="122"/>
      <c r="B15" s="344"/>
      <c r="C15" s="344"/>
      <c r="D15" s="344"/>
      <c r="E15" s="344"/>
      <c r="F15" s="344"/>
      <c r="G15" s="123"/>
      <c r="H15" s="124"/>
      <c r="I15" s="125" t="s">
        <v>539</v>
      </c>
      <c r="J15" s="126" t="s">
        <v>267</v>
      </c>
    </row>
    <row r="16" spans="1:10" ht="16.5" customHeight="1">
      <c r="A16" s="127" t="s">
        <v>14</v>
      </c>
      <c r="B16" s="344" t="s">
        <v>432</v>
      </c>
      <c r="C16" s="344"/>
      <c r="D16" s="344"/>
      <c r="E16" s="344"/>
      <c r="F16" s="344"/>
      <c r="G16" s="128"/>
      <c r="H16" s="129"/>
      <c r="I16" s="130" t="s">
        <v>147</v>
      </c>
      <c r="J16" s="126">
        <v>32616599</v>
      </c>
    </row>
    <row r="17" spans="1:10" ht="16.5" customHeight="1">
      <c r="A17" s="127" t="s">
        <v>15</v>
      </c>
      <c r="B17" s="344" t="s">
        <v>468</v>
      </c>
      <c r="C17" s="344"/>
      <c r="D17" s="344"/>
      <c r="E17" s="344"/>
      <c r="F17" s="344"/>
      <c r="G17" s="123"/>
      <c r="H17" s="124"/>
      <c r="I17" s="130" t="s">
        <v>146</v>
      </c>
      <c r="J17" s="126"/>
    </row>
    <row r="18" spans="1:10" ht="18.75" customHeight="1">
      <c r="A18" s="127" t="s">
        <v>20</v>
      </c>
      <c r="B18" s="344"/>
      <c r="C18" s="344"/>
      <c r="D18" s="344"/>
      <c r="E18" s="344"/>
      <c r="F18" s="344"/>
      <c r="G18" s="123"/>
      <c r="H18" s="124"/>
      <c r="I18" s="130" t="s">
        <v>145</v>
      </c>
      <c r="J18" s="126"/>
    </row>
    <row r="19" spans="1:10" ht="15.75" customHeight="1">
      <c r="A19" s="127" t="s">
        <v>393</v>
      </c>
      <c r="B19" s="344"/>
      <c r="C19" s="344"/>
      <c r="D19" s="344"/>
      <c r="E19" s="344"/>
      <c r="F19" s="344"/>
      <c r="G19" s="128"/>
      <c r="H19" s="129"/>
      <c r="I19" s="130" t="s">
        <v>9</v>
      </c>
      <c r="J19" s="126"/>
    </row>
    <row r="20" spans="1:10" ht="15.75" customHeight="1">
      <c r="A20" s="127" t="s">
        <v>17</v>
      </c>
      <c r="B20" s="344"/>
      <c r="C20" s="344"/>
      <c r="D20" s="344"/>
      <c r="E20" s="344"/>
      <c r="F20" s="344"/>
      <c r="G20" s="128"/>
      <c r="H20" s="129"/>
      <c r="I20" s="130" t="s">
        <v>8</v>
      </c>
      <c r="J20" s="126"/>
    </row>
    <row r="21" spans="1:10" ht="21" customHeight="1">
      <c r="A21" s="127" t="s">
        <v>16</v>
      </c>
      <c r="B21" s="344" t="s">
        <v>469</v>
      </c>
      <c r="C21" s="344"/>
      <c r="D21" s="344"/>
      <c r="E21" s="344"/>
      <c r="F21" s="344"/>
      <c r="G21" s="128"/>
      <c r="H21" s="131"/>
      <c r="I21" s="133" t="s">
        <v>10</v>
      </c>
      <c r="J21" s="126" t="s">
        <v>470</v>
      </c>
    </row>
    <row r="22" spans="1:10" ht="20.25" customHeight="1">
      <c r="A22" s="343" t="s">
        <v>394</v>
      </c>
      <c r="B22" s="344"/>
      <c r="C22" s="344"/>
      <c r="D22" s="344"/>
      <c r="E22" s="344"/>
      <c r="F22" s="344"/>
      <c r="G22" s="344" t="s">
        <v>210</v>
      </c>
      <c r="H22" s="347"/>
      <c r="I22" s="348"/>
      <c r="J22" s="134"/>
    </row>
    <row r="23" spans="1:10" ht="15.75" customHeight="1">
      <c r="A23" s="127" t="s">
        <v>21</v>
      </c>
      <c r="B23" s="344" t="s">
        <v>471</v>
      </c>
      <c r="C23" s="344"/>
      <c r="D23" s="344"/>
      <c r="E23" s="344"/>
      <c r="F23" s="344"/>
      <c r="G23" s="344" t="s">
        <v>211</v>
      </c>
      <c r="H23" s="347"/>
      <c r="I23" s="348"/>
      <c r="J23" s="134"/>
    </row>
    <row r="24" spans="1:10" ht="15.75" customHeight="1">
      <c r="A24" s="343" t="s">
        <v>472</v>
      </c>
      <c r="B24" s="344"/>
      <c r="C24" s="344"/>
      <c r="D24" s="344"/>
      <c r="E24" s="344"/>
      <c r="F24" s="344"/>
      <c r="G24" s="128"/>
      <c r="H24" s="128"/>
      <c r="I24" s="128"/>
      <c r="J24" s="129"/>
    </row>
    <row r="25" spans="1:10" ht="18.75" customHeight="1">
      <c r="A25" s="127" t="s">
        <v>11</v>
      </c>
      <c r="B25" s="344" t="s">
        <v>473</v>
      </c>
      <c r="C25" s="344"/>
      <c r="D25" s="344"/>
      <c r="E25" s="344"/>
      <c r="F25" s="344"/>
      <c r="G25" s="123"/>
      <c r="H25" s="123"/>
      <c r="I25" s="123"/>
      <c r="J25" s="124"/>
    </row>
    <row r="26" spans="1:10" ht="18" customHeight="1">
      <c r="A26" s="127" t="s">
        <v>12</v>
      </c>
      <c r="B26" s="344"/>
      <c r="C26" s="344"/>
      <c r="D26" s="344"/>
      <c r="E26" s="344"/>
      <c r="F26" s="344"/>
      <c r="G26" s="128"/>
      <c r="H26" s="128"/>
      <c r="I26" s="128"/>
      <c r="J26" s="129"/>
    </row>
    <row r="27" spans="1:10" ht="21" customHeight="1">
      <c r="A27" s="127" t="s">
        <v>13</v>
      </c>
      <c r="B27" s="344" t="s">
        <v>474</v>
      </c>
      <c r="C27" s="344"/>
      <c r="D27" s="344"/>
      <c r="E27" s="344"/>
      <c r="F27" s="344"/>
      <c r="G27" s="123"/>
      <c r="H27" s="123"/>
      <c r="I27" s="123"/>
      <c r="J27" s="124"/>
    </row>
    <row r="28" spans="1:10" ht="20.100000000000001" customHeigh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</row>
    <row r="29" spans="1:10" ht="19.5" customHeight="1">
      <c r="A29" s="97"/>
      <c r="B29" s="110"/>
      <c r="C29" s="111"/>
      <c r="D29" s="110"/>
      <c r="E29" s="110"/>
      <c r="F29" s="110"/>
      <c r="G29" s="110"/>
      <c r="H29" s="110"/>
      <c r="I29" s="110"/>
      <c r="J29" s="110"/>
    </row>
    <row r="30" spans="1:10">
      <c r="A30" s="346" t="s">
        <v>433</v>
      </c>
      <c r="B30" s="346"/>
      <c r="C30" s="346"/>
      <c r="D30" s="346"/>
      <c r="E30" s="346"/>
      <c r="F30" s="346"/>
      <c r="G30" s="346"/>
      <c r="H30" s="346"/>
      <c r="I30" s="346"/>
      <c r="J30" s="346"/>
    </row>
    <row r="31" spans="1:10" ht="9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>
      <c r="A32" s="345" t="s">
        <v>224</v>
      </c>
      <c r="B32" s="345"/>
      <c r="C32" s="345"/>
      <c r="D32" s="345"/>
      <c r="E32" s="345"/>
      <c r="F32" s="345"/>
      <c r="G32" s="345"/>
      <c r="H32" s="345"/>
      <c r="I32" s="345"/>
      <c r="J32" s="345"/>
    </row>
    <row r="33" spans="1:10" ht="12" customHeight="1">
      <c r="B33" s="24"/>
      <c r="C33" s="4"/>
      <c r="D33" s="24"/>
      <c r="E33" s="24"/>
      <c r="F33" s="24"/>
      <c r="G33" s="24"/>
      <c r="H33" s="24"/>
      <c r="I33" s="24"/>
      <c r="J33" s="24"/>
    </row>
    <row r="34" spans="1:10" ht="31.5" customHeight="1">
      <c r="A34" s="319" t="s">
        <v>279</v>
      </c>
      <c r="B34" s="320" t="s">
        <v>18</v>
      </c>
      <c r="C34" s="330" t="s">
        <v>32</v>
      </c>
      <c r="D34" s="330" t="s">
        <v>40</v>
      </c>
      <c r="E34" s="320" t="s">
        <v>152</v>
      </c>
      <c r="F34" s="334" t="s">
        <v>185</v>
      </c>
      <c r="G34" s="321" t="s">
        <v>280</v>
      </c>
      <c r="H34" s="322"/>
      <c r="I34" s="322"/>
      <c r="J34" s="323"/>
    </row>
    <row r="35" spans="1:10" ht="54.75" customHeight="1">
      <c r="A35" s="319"/>
      <c r="B35" s="320"/>
      <c r="C35" s="331"/>
      <c r="D35" s="331"/>
      <c r="E35" s="320"/>
      <c r="F35" s="335"/>
      <c r="G35" s="308" t="s">
        <v>271</v>
      </c>
      <c r="H35" s="308" t="s">
        <v>272</v>
      </c>
      <c r="I35" s="308" t="s">
        <v>273</v>
      </c>
      <c r="J35" s="308" t="s">
        <v>365</v>
      </c>
    </row>
    <row r="36" spans="1:10" ht="20.100000000000001" customHeight="1">
      <c r="A36" s="98">
        <v>1</v>
      </c>
      <c r="B36" s="99">
        <v>2</v>
      </c>
      <c r="C36" s="99">
        <v>3</v>
      </c>
      <c r="D36" s="99">
        <v>4</v>
      </c>
      <c r="E36" s="99">
        <v>5</v>
      </c>
      <c r="F36" s="99">
        <v>6</v>
      </c>
      <c r="G36" s="99">
        <v>7</v>
      </c>
      <c r="H36" s="99">
        <v>8</v>
      </c>
      <c r="I36" s="99">
        <v>9</v>
      </c>
      <c r="J36" s="99">
        <v>10</v>
      </c>
    </row>
    <row r="37" spans="1:10" ht="24.95" customHeight="1">
      <c r="A37" s="324" t="s">
        <v>109</v>
      </c>
      <c r="B37" s="325"/>
      <c r="C37" s="325"/>
      <c r="D37" s="325"/>
      <c r="E37" s="325"/>
      <c r="F37" s="325"/>
      <c r="G37" s="325"/>
      <c r="H37" s="325"/>
      <c r="I37" s="325"/>
      <c r="J37" s="326"/>
    </row>
    <row r="38" spans="1:10" ht="37.5">
      <c r="A38" s="100" t="s">
        <v>225</v>
      </c>
      <c r="B38" s="98">
        <f>'I. Фін результат'!B7</f>
        <v>1000</v>
      </c>
      <c r="C38" s="192">
        <f>'I. Фін результат'!C7</f>
        <v>0</v>
      </c>
      <c r="D38" s="192">
        <f>'I. Фін результат'!D7</f>
        <v>0</v>
      </c>
      <c r="E38" s="192">
        <f>'I. Фін результат'!I7</f>
        <v>250</v>
      </c>
      <c r="F38" s="192">
        <f>'I. Фін результат'!E7</f>
        <v>0</v>
      </c>
      <c r="G38" s="189">
        <f>E38/100*105</f>
        <v>262.5</v>
      </c>
      <c r="H38" s="189">
        <f t="shared" ref="H38:J39" si="0">G38/100*105</f>
        <v>275.625</v>
      </c>
      <c r="I38" s="189">
        <f t="shared" si="0"/>
        <v>289.40625</v>
      </c>
      <c r="J38" s="189">
        <f t="shared" si="0"/>
        <v>303.87656249999998</v>
      </c>
    </row>
    <row r="39" spans="1:10" ht="37.5">
      <c r="A39" s="100" t="s">
        <v>193</v>
      </c>
      <c r="B39" s="98">
        <f>'I. Фін результат'!B9</f>
        <v>1010</v>
      </c>
      <c r="C39" s="192">
        <f>'I. Фін результат'!C9</f>
        <v>0</v>
      </c>
      <c r="D39" s="192">
        <f>'I. Фін результат'!D9</f>
        <v>0</v>
      </c>
      <c r="E39" s="192">
        <f>'I. Фін результат'!I9</f>
        <v>1924</v>
      </c>
      <c r="F39" s="192">
        <f>'I. Фін результат'!E9</f>
        <v>0</v>
      </c>
      <c r="G39" s="189">
        <f>E39/100*105</f>
        <v>2020.1999999999998</v>
      </c>
      <c r="H39" s="189">
        <f t="shared" si="0"/>
        <v>2121.21</v>
      </c>
      <c r="I39" s="189">
        <f t="shared" si="0"/>
        <v>2227.2705000000001</v>
      </c>
      <c r="J39" s="189">
        <f t="shared" si="0"/>
        <v>2338.6340250000003</v>
      </c>
    </row>
    <row r="40" spans="1:10" ht="20.100000000000001" customHeight="1">
      <c r="A40" s="102" t="s">
        <v>313</v>
      </c>
      <c r="B40" s="98">
        <f>'I. Фін результат'!B18</f>
        <v>1020</v>
      </c>
      <c r="C40" s="192">
        <f>'I. Фін результат'!C18</f>
        <v>0</v>
      </c>
      <c r="D40" s="192">
        <f>'I. Фін результат'!D18</f>
        <v>0</v>
      </c>
      <c r="E40" s="192">
        <f>'I. Фін результат'!I18</f>
        <v>-1674</v>
      </c>
      <c r="F40" s="192">
        <f>'I. Фін результат'!E18</f>
        <v>0</v>
      </c>
      <c r="G40" s="192">
        <f>G38-G39</f>
        <v>-1757.6999999999998</v>
      </c>
      <c r="H40" s="192">
        <f>H38-H39</f>
        <v>-1845.585</v>
      </c>
      <c r="I40" s="192">
        <f>I38-I39</f>
        <v>-1937.8642500000001</v>
      </c>
      <c r="J40" s="192">
        <f>J38-J39</f>
        <v>-2034.7574625000002</v>
      </c>
    </row>
    <row r="41" spans="1:10" ht="20.100000000000001" customHeight="1">
      <c r="A41" s="100" t="s">
        <v>158</v>
      </c>
      <c r="B41" s="98">
        <f>'I. Фін результат'!B21</f>
        <v>1040</v>
      </c>
      <c r="C41" s="192">
        <f>'I. Фін результат'!C21</f>
        <v>0</v>
      </c>
      <c r="D41" s="192">
        <f>'I. Фін результат'!D21</f>
        <v>0</v>
      </c>
      <c r="E41" s="192">
        <f>'I. Фін результат'!I21</f>
        <v>1130</v>
      </c>
      <c r="F41" s="192">
        <f>'I. Фін результат'!E21</f>
        <v>28</v>
      </c>
      <c r="G41" s="189">
        <f>E41/100*105</f>
        <v>1186.5</v>
      </c>
      <c r="H41" s="189">
        <f>G41/100*105</f>
        <v>1245.825</v>
      </c>
      <c r="I41" s="189">
        <f>H41/100*105</f>
        <v>1308.11625</v>
      </c>
      <c r="J41" s="189">
        <f>I41/100*105</f>
        <v>1373.5220624999999</v>
      </c>
    </row>
    <row r="42" spans="1:10" ht="20.100000000000001" customHeight="1">
      <c r="A42" s="100" t="s">
        <v>155</v>
      </c>
      <c r="B42" s="98">
        <f>'I. Фін результат'!B48</f>
        <v>1070</v>
      </c>
      <c r="C42" s="192">
        <f>'I. Фін результат'!C48</f>
        <v>0</v>
      </c>
      <c r="D42" s="192">
        <f>'I. Фін результат'!D48</f>
        <v>0</v>
      </c>
      <c r="E42" s="192">
        <f>'I. Фін результат'!I48</f>
        <v>0</v>
      </c>
      <c r="F42" s="192">
        <f>'I. Фін результат'!E48</f>
        <v>0</v>
      </c>
      <c r="G42" s="189"/>
      <c r="H42" s="189"/>
      <c r="I42" s="189"/>
      <c r="J42" s="189"/>
    </row>
    <row r="43" spans="1:10" ht="20.100000000000001" customHeight="1">
      <c r="A43" s="100" t="s">
        <v>159</v>
      </c>
      <c r="B43" s="98">
        <f>'I. Фін результат'!B80</f>
        <v>1300</v>
      </c>
      <c r="C43" s="192">
        <f>'I. Фін результат'!C80</f>
        <v>0</v>
      </c>
      <c r="D43" s="192">
        <f>'I. Фін результат'!D80</f>
        <v>0</v>
      </c>
      <c r="E43" s="192">
        <f>'I. Фін результат'!I80</f>
        <v>0</v>
      </c>
      <c r="F43" s="192">
        <f>'I. Фін результат'!E80</f>
        <v>0</v>
      </c>
      <c r="G43" s="189"/>
      <c r="H43" s="189"/>
      <c r="I43" s="189"/>
      <c r="J43" s="189"/>
    </row>
    <row r="44" spans="1:10" ht="37.5">
      <c r="A44" s="103" t="s">
        <v>4</v>
      </c>
      <c r="B44" s="98">
        <f>'I. Фін результат'!B62</f>
        <v>1100</v>
      </c>
      <c r="C44" s="192">
        <f>'I. Фін результат'!C62</f>
        <v>0</v>
      </c>
      <c r="D44" s="192">
        <f>'I. Фін результат'!D62</f>
        <v>0</v>
      </c>
      <c r="E44" s="192">
        <f>'I. Фін результат'!I62</f>
        <v>-2804</v>
      </c>
      <c r="F44" s="192">
        <f>'I. Фін результат'!E62</f>
        <v>-28</v>
      </c>
      <c r="G44" s="192">
        <f>G40-G41-G42+G43</f>
        <v>-2944.2</v>
      </c>
      <c r="H44" s="192">
        <f>H40-H41-H42+H43</f>
        <v>-3091.41</v>
      </c>
      <c r="I44" s="192">
        <f>I40-I41-I42+I43</f>
        <v>-3245.9805000000001</v>
      </c>
      <c r="J44" s="192">
        <f>J40-J41-J42+J43</f>
        <v>-3408.2795249999999</v>
      </c>
    </row>
    <row r="45" spans="1:10" ht="20.100000000000001" customHeight="1">
      <c r="A45" s="103" t="s">
        <v>160</v>
      </c>
      <c r="B45" s="98">
        <f>'I. Фін результат'!B91</f>
        <v>1410</v>
      </c>
      <c r="C45" s="192">
        <f>'I. Фін результат'!C91</f>
        <v>0</v>
      </c>
      <c r="D45" s="192">
        <f>'I. Фін результат'!D91</f>
        <v>0</v>
      </c>
      <c r="E45" s="192">
        <f>'I. Фін результат'!I91</f>
        <v>-2438</v>
      </c>
      <c r="F45" s="192">
        <f>'I. Фін результат'!E91</f>
        <v>-28</v>
      </c>
      <c r="G45" s="189"/>
      <c r="H45" s="189"/>
      <c r="I45" s="189"/>
      <c r="J45" s="189"/>
    </row>
    <row r="46" spans="1:10" ht="20.100000000000001" customHeight="1">
      <c r="A46" s="104" t="s">
        <v>247</v>
      </c>
      <c r="B46" s="98">
        <f>' V. Коефіцієнти'!B8</f>
        <v>5010</v>
      </c>
      <c r="C46" s="297" t="e">
        <f>' V. Коефіцієнти'!D8</f>
        <v>#DIV/0!</v>
      </c>
      <c r="D46" s="297" t="e">
        <f>D45*100/D38</f>
        <v>#DIV/0!</v>
      </c>
      <c r="E46" s="193">
        <f>' V. Коефіцієнти'!G8</f>
        <v>-975.2</v>
      </c>
      <c r="F46" s="297" t="e">
        <f>' V. Коефіцієнти'!F8</f>
        <v>#DIV/0!</v>
      </c>
      <c r="G46" s="201">
        <f>G45*100/G38</f>
        <v>0</v>
      </c>
      <c r="H46" s="201">
        <f>H45*100/H38</f>
        <v>0</v>
      </c>
      <c r="I46" s="201">
        <f>I45*100/I38</f>
        <v>0</v>
      </c>
      <c r="J46" s="201">
        <f>J45*100/J38</f>
        <v>0</v>
      </c>
    </row>
    <row r="47" spans="1:10" ht="37.5">
      <c r="A47" s="104" t="s">
        <v>161</v>
      </c>
      <c r="B47" s="98">
        <f>'I. Фін результат'!B81</f>
        <v>1310</v>
      </c>
      <c r="C47" s="192">
        <f>'I. Фін результат'!C81</f>
        <v>0</v>
      </c>
      <c r="D47" s="192">
        <f>'I. Фін результат'!D81</f>
        <v>0</v>
      </c>
      <c r="E47" s="192">
        <f>'I. Фін результат'!I81</f>
        <v>0</v>
      </c>
      <c r="F47" s="192">
        <f>'I. Фін результат'!E81</f>
        <v>0</v>
      </c>
      <c r="G47" s="189"/>
      <c r="H47" s="189"/>
      <c r="I47" s="189"/>
      <c r="J47" s="189"/>
    </row>
    <row r="48" spans="1:10" ht="20.100000000000001" customHeight="1">
      <c r="A48" s="100" t="s">
        <v>252</v>
      </c>
      <c r="B48" s="98">
        <f>'I. Фін результат'!B82</f>
        <v>1320</v>
      </c>
      <c r="C48" s="192">
        <f>'I. Фін результат'!C82</f>
        <v>0</v>
      </c>
      <c r="D48" s="192">
        <f>'I. Фін результат'!D82</f>
        <v>0</v>
      </c>
      <c r="E48" s="192">
        <f>'I. Фін результат'!I82</f>
        <v>28</v>
      </c>
      <c r="F48" s="192">
        <f>'I. Фін результат'!E82</f>
        <v>0</v>
      </c>
      <c r="G48" s="189">
        <f>E48/100*105</f>
        <v>29.400000000000002</v>
      </c>
      <c r="H48" s="189">
        <f>G48/100*105</f>
        <v>30.870000000000005</v>
      </c>
      <c r="I48" s="189">
        <f>H48/100*105</f>
        <v>32.413500000000006</v>
      </c>
      <c r="J48" s="189">
        <f>I48/100*105</f>
        <v>34.034175000000005</v>
      </c>
    </row>
    <row r="49" spans="1:10" ht="37.5">
      <c r="A49" s="103" t="s">
        <v>107</v>
      </c>
      <c r="B49" s="98">
        <f>'I. Фін результат'!B72</f>
        <v>1170</v>
      </c>
      <c r="C49" s="192">
        <f>'I. Фін результат'!C72</f>
        <v>0</v>
      </c>
      <c r="D49" s="192">
        <f>'I. Фін результат'!D72</f>
        <v>0</v>
      </c>
      <c r="E49" s="192">
        <f>'I. Фін результат'!I72</f>
        <v>-2776</v>
      </c>
      <c r="F49" s="192">
        <f>'I. Фін результат'!E72</f>
        <v>-28</v>
      </c>
      <c r="G49" s="192">
        <f>G44+G47+G48</f>
        <v>-2914.7999999999997</v>
      </c>
      <c r="H49" s="192">
        <f>H44+H47+H48</f>
        <v>-3060.54</v>
      </c>
      <c r="I49" s="192">
        <f>I44+I47+I48</f>
        <v>-3213.567</v>
      </c>
      <c r="J49" s="192">
        <f>J44+J47+J48</f>
        <v>-3374.2453500000001</v>
      </c>
    </row>
    <row r="50" spans="1:10" ht="20.100000000000001" customHeight="1">
      <c r="A50" s="104" t="s">
        <v>156</v>
      </c>
      <c r="B50" s="98">
        <f>'I. Фін результат'!B73</f>
        <v>1180</v>
      </c>
      <c r="C50" s="192">
        <f>'I. Фін результат'!C73</f>
        <v>0</v>
      </c>
      <c r="D50" s="192">
        <f>'I. Фін результат'!D73</f>
        <v>0</v>
      </c>
      <c r="E50" s="192">
        <f>'I. Фін результат'!I73</f>
        <v>0</v>
      </c>
      <c r="F50" s="192">
        <f>'I. Фін результат'!E73</f>
        <v>0</v>
      </c>
      <c r="G50" s="192">
        <f>IF(G49&gt;0,G49*18%,0)</f>
        <v>0</v>
      </c>
      <c r="H50" s="192">
        <f>IF(H49&gt;0,H49*18%,0)</f>
        <v>0</v>
      </c>
      <c r="I50" s="192">
        <f>IF(I49&gt;0,I49*18%,0)</f>
        <v>0</v>
      </c>
      <c r="J50" s="192">
        <f>IF(J49&gt;0,J49*18%,0)</f>
        <v>0</v>
      </c>
    </row>
    <row r="51" spans="1:10" ht="20.100000000000001" customHeight="1">
      <c r="A51" s="103" t="s">
        <v>248</v>
      </c>
      <c r="B51" s="98">
        <f>'I. Фін результат'!B75</f>
        <v>1200</v>
      </c>
      <c r="C51" s="192">
        <f>'I. Фін результат'!C75</f>
        <v>0</v>
      </c>
      <c r="D51" s="192">
        <f>'I. Фін результат'!D75</f>
        <v>0</v>
      </c>
      <c r="E51" s="192">
        <f>'I. Фін результат'!I75</f>
        <v>-2776</v>
      </c>
      <c r="F51" s="192">
        <f>'I. Фін результат'!E75</f>
        <v>-28</v>
      </c>
      <c r="G51" s="192">
        <f>G49-G50</f>
        <v>-2914.7999999999997</v>
      </c>
      <c r="H51" s="192">
        <f>H49-H50</f>
        <v>-3060.54</v>
      </c>
      <c r="I51" s="192">
        <f>I49-I50</f>
        <v>-3213.567</v>
      </c>
      <c r="J51" s="192">
        <f>J49-J50</f>
        <v>-3374.2453500000001</v>
      </c>
    </row>
    <row r="52" spans="1:10" ht="20.100000000000001" customHeight="1">
      <c r="A52" s="104" t="s">
        <v>249</v>
      </c>
      <c r="B52" s="98">
        <f>' V. Коефіцієнти'!B11</f>
        <v>5040</v>
      </c>
      <c r="C52" s="297" t="e">
        <f>' V. Коефіцієнти'!D11</f>
        <v>#DIV/0!</v>
      </c>
      <c r="D52" s="297" t="e">
        <f>D51/D38</f>
        <v>#DIV/0!</v>
      </c>
      <c r="E52" s="193">
        <f>' V. Коефіцієнти'!G11</f>
        <v>-11.103999999999999</v>
      </c>
      <c r="F52" s="297" t="e">
        <f>' V. Коефіцієнти'!F11</f>
        <v>#DIV/0!</v>
      </c>
      <c r="G52" s="193">
        <f>G51/G38</f>
        <v>-11.103999999999999</v>
      </c>
      <c r="H52" s="193">
        <f>H51/H38</f>
        <v>-11.103999999999999</v>
      </c>
      <c r="I52" s="193">
        <f>I51/I38</f>
        <v>-11.103999999999999</v>
      </c>
      <c r="J52" s="193">
        <f>J51/J38</f>
        <v>-11.104000000000001</v>
      </c>
    </row>
    <row r="53" spans="1:10" ht="24.95" customHeight="1">
      <c r="A53" s="340" t="s">
        <v>173</v>
      </c>
      <c r="B53" s="341"/>
      <c r="C53" s="341"/>
      <c r="D53" s="341"/>
      <c r="E53" s="341"/>
      <c r="F53" s="341"/>
      <c r="G53" s="341"/>
      <c r="H53" s="341"/>
      <c r="I53" s="341"/>
      <c r="J53" s="342"/>
    </row>
    <row r="54" spans="1:10" ht="20.100000000000001" customHeight="1">
      <c r="A54" s="105" t="s">
        <v>370</v>
      </c>
      <c r="B54" s="98">
        <f>'ІІ. Розр. з бюджетом'!B19</f>
        <v>2100</v>
      </c>
      <c r="C54" s="192">
        <f>'ІІ. Розр. з бюджетом'!C19</f>
        <v>0</v>
      </c>
      <c r="D54" s="192">
        <f>'ІІ. Розр. з бюджетом'!D19</f>
        <v>0</v>
      </c>
      <c r="E54" s="192">
        <f>'ІІ. Розр. з бюджетом'!I19</f>
        <v>0</v>
      </c>
      <c r="F54" s="192">
        <f>'ІІ. Розр. з бюджетом'!E19</f>
        <v>0</v>
      </c>
      <c r="G54" s="189"/>
      <c r="H54" s="189"/>
      <c r="I54" s="189"/>
      <c r="J54" s="189"/>
    </row>
    <row r="55" spans="1:10" ht="20.100000000000001" customHeight="1">
      <c r="A55" s="106" t="s">
        <v>172</v>
      </c>
      <c r="B55" s="98">
        <f>'ІІ. Розр. з бюджетом'!B22</f>
        <v>2110</v>
      </c>
      <c r="C55" s="192">
        <f>'ІІ. Розр. з бюджетом'!C22</f>
        <v>0</v>
      </c>
      <c r="D55" s="192">
        <f>'ІІ. Розр. з бюджетом'!D22</f>
        <v>0</v>
      </c>
      <c r="E55" s="192">
        <f>'ІІ. Розр. з бюджетом'!I22</f>
        <v>0</v>
      </c>
      <c r="F55" s="192">
        <f>'ІІ. Розр. з бюджетом'!E22</f>
        <v>0</v>
      </c>
      <c r="G55" s="192">
        <f>G50</f>
        <v>0</v>
      </c>
      <c r="H55" s="192">
        <f>H50</f>
        <v>0</v>
      </c>
      <c r="I55" s="192">
        <f>I50</f>
        <v>0</v>
      </c>
      <c r="J55" s="192">
        <f>J50</f>
        <v>0</v>
      </c>
    </row>
    <row r="56" spans="1:10" ht="56.25">
      <c r="A56" s="106" t="s">
        <v>366</v>
      </c>
      <c r="B56" s="98" t="s">
        <v>250</v>
      </c>
      <c r="C56" s="192">
        <f>SUM('ІІ. Розр. з бюджетом'!C23,'ІІ. Розр. з бюджетом'!C24)</f>
        <v>0</v>
      </c>
      <c r="D56" s="192">
        <f>SUM('ІІ. Розр. з бюджетом'!D23,'ІІ. Розр. з бюджетом'!D24)</f>
        <v>0</v>
      </c>
      <c r="E56" s="192">
        <f>'ІІ. Розр. з бюджетом'!I23+'ІІ. Розр. з бюджетом'!I24</f>
        <v>0</v>
      </c>
      <c r="F56" s="192">
        <f>SUM('ІІ. Розр. з бюджетом'!E23,'ІІ. Розр. з бюджетом'!E24)</f>
        <v>0</v>
      </c>
      <c r="G56" s="189"/>
      <c r="H56" s="189"/>
      <c r="I56" s="189"/>
      <c r="J56" s="189"/>
    </row>
    <row r="57" spans="1:10" ht="56.25">
      <c r="A57" s="105" t="s">
        <v>371</v>
      </c>
      <c r="B57" s="98">
        <f>'ІІ. Розр. з бюджетом'!B25</f>
        <v>2140</v>
      </c>
      <c r="C57" s="192">
        <f>'ІІ. Розр. з бюджетом'!C25</f>
        <v>0</v>
      </c>
      <c r="D57" s="192">
        <f>'ІІ. Розр. з бюджетом'!D25</f>
        <v>0</v>
      </c>
      <c r="E57" s="192">
        <f>'ІІ. Розр. з бюджетом'!I25</f>
        <v>335</v>
      </c>
      <c r="F57" s="192">
        <f>'ІІ. Розр. з бюджетом'!E25</f>
        <v>4</v>
      </c>
      <c r="G57" s="189">
        <f>E57/100*105</f>
        <v>351.75</v>
      </c>
      <c r="H57" s="189">
        <f>G57/100*105</f>
        <v>369.33750000000003</v>
      </c>
      <c r="I57" s="189">
        <f>H57/100*105</f>
        <v>387.80437500000005</v>
      </c>
      <c r="J57" s="189">
        <f>I57/100*105</f>
        <v>407.19459375000008</v>
      </c>
    </row>
    <row r="58" spans="1:10" ht="39" customHeight="1">
      <c r="A58" s="105" t="s">
        <v>91</v>
      </c>
      <c r="B58" s="98">
        <f>'ІІ. Розр. з бюджетом'!B36</f>
        <v>2150</v>
      </c>
      <c r="C58" s="192">
        <f>'ІІ. Розр. з бюджетом'!C36</f>
        <v>0</v>
      </c>
      <c r="D58" s="192">
        <f>'ІІ. Розр. з бюджетом'!D36</f>
        <v>0</v>
      </c>
      <c r="E58" s="192">
        <f>'ІІ. Розр. з бюджетом'!I36</f>
        <v>358</v>
      </c>
      <c r="F58" s="192">
        <f>'ІІ. Розр. з бюджетом'!E36</f>
        <v>3</v>
      </c>
      <c r="G58" s="189">
        <f>E58*1.05</f>
        <v>375.90000000000003</v>
      </c>
      <c r="H58" s="189">
        <f>G58*1.05</f>
        <v>394.69500000000005</v>
      </c>
      <c r="I58" s="189">
        <f>H58*1.05</f>
        <v>414.42975000000007</v>
      </c>
      <c r="J58" s="189">
        <f>I58*1.05</f>
        <v>435.15123750000009</v>
      </c>
    </row>
    <row r="59" spans="1:10" ht="20.100000000000001" customHeight="1">
      <c r="A59" s="107" t="s">
        <v>372</v>
      </c>
      <c r="B59" s="98">
        <f>'ІІ. Розр. з бюджетом'!B37</f>
        <v>2200</v>
      </c>
      <c r="C59" s="192">
        <f>'ІІ. Розр. з бюджетом'!C37</f>
        <v>0</v>
      </c>
      <c r="D59" s="192">
        <f>'ІІ. Розр. з бюджетом'!D37</f>
        <v>0</v>
      </c>
      <c r="E59" s="192">
        <f>'ІІ. Розр. з бюджетом'!I37</f>
        <v>693</v>
      </c>
      <c r="F59" s="192">
        <f>'ІІ. Розр. з бюджетом'!E37</f>
        <v>7</v>
      </c>
      <c r="G59" s="192">
        <f>SUM(G54:G58)</f>
        <v>727.65000000000009</v>
      </c>
      <c r="H59" s="192">
        <f>SUM(H54:H58)</f>
        <v>764.03250000000003</v>
      </c>
      <c r="I59" s="192">
        <f>SUM(I54:I58)</f>
        <v>802.23412500000018</v>
      </c>
      <c r="J59" s="192">
        <f>SUM(J54:J58)</f>
        <v>842.34583125000017</v>
      </c>
    </row>
    <row r="60" spans="1:10" ht="24.95" customHeight="1">
      <c r="A60" s="340" t="s">
        <v>171</v>
      </c>
      <c r="B60" s="341"/>
      <c r="C60" s="341"/>
      <c r="D60" s="341"/>
      <c r="E60" s="341"/>
      <c r="F60" s="341"/>
      <c r="G60" s="341"/>
      <c r="H60" s="341"/>
      <c r="I60" s="341"/>
      <c r="J60" s="342"/>
    </row>
    <row r="61" spans="1:10" ht="20.100000000000001" customHeight="1">
      <c r="A61" s="107" t="s">
        <v>162</v>
      </c>
      <c r="B61" s="98">
        <f>'ІІІ. Рух грош. коштів'!B69</f>
        <v>3600</v>
      </c>
      <c r="C61" s="192">
        <f>'ІІІ. Рух грош. коштів'!C69</f>
        <v>0</v>
      </c>
      <c r="D61" s="192">
        <f>'ІІІ. Рух грош. коштів'!D69</f>
        <v>0</v>
      </c>
      <c r="E61" s="192">
        <f>'ІІІ. Рух грош. коштів'!I69</f>
        <v>100</v>
      </c>
      <c r="F61" s="192">
        <f>'ІІІ. Рух грош. коштів'!E69</f>
        <v>0</v>
      </c>
      <c r="G61" s="192">
        <f>E66</f>
        <v>242</v>
      </c>
      <c r="H61" s="192">
        <f>G66</f>
        <v>391.09999999999991</v>
      </c>
      <c r="I61" s="192">
        <f>H66</f>
        <v>547.65499999999929</v>
      </c>
      <c r="J61" s="192">
        <f>I66</f>
        <v>712.0377499999986</v>
      </c>
    </row>
    <row r="62" spans="1:10" ht="37.5">
      <c r="A62" s="105" t="s">
        <v>163</v>
      </c>
      <c r="B62" s="98">
        <f>'ІІІ. Рух грош. коштів'!B20</f>
        <v>3090</v>
      </c>
      <c r="C62" s="192">
        <f>'ІІІ. Рух грош. коштів'!C20</f>
        <v>0</v>
      </c>
      <c r="D62" s="192">
        <f>'ІІІ. Рух грош. коштів'!D20</f>
        <v>0</v>
      </c>
      <c r="E62" s="192">
        <f>'ІІІ. Рух грош. коштів'!I20</f>
        <v>-2438</v>
      </c>
      <c r="F62" s="192">
        <f>'ІІІ. Рух грош. коштів'!E20</f>
        <v>-446</v>
      </c>
      <c r="G62" s="189">
        <f>E62*1.05</f>
        <v>-2559.9</v>
      </c>
      <c r="H62" s="189">
        <f t="shared" ref="H62:J64" si="1">G62*1.05</f>
        <v>-2687.8950000000004</v>
      </c>
      <c r="I62" s="189">
        <f t="shared" si="1"/>
        <v>-2822.2897500000004</v>
      </c>
      <c r="J62" s="189">
        <f t="shared" si="1"/>
        <v>-2963.4042375000004</v>
      </c>
    </row>
    <row r="63" spans="1:10" ht="37.5">
      <c r="A63" s="105" t="s">
        <v>253</v>
      </c>
      <c r="B63" s="98">
        <f>'ІІІ. Рух грош. коштів'!B40</f>
        <v>3320</v>
      </c>
      <c r="C63" s="192">
        <f>'ІІІ. Рух грош. коштів'!C40</f>
        <v>0</v>
      </c>
      <c r="D63" s="192">
        <f>'ІІІ. Рух грош. коштів'!D40</f>
        <v>0</v>
      </c>
      <c r="E63" s="192">
        <f>'ІІІ. Рух грош. коштів'!I40</f>
        <v>-920</v>
      </c>
      <c r="F63" s="192">
        <f>'ІІІ. Рух грош. коштів'!E40</f>
        <v>0</v>
      </c>
      <c r="G63" s="189">
        <f>E63*1.05</f>
        <v>-966</v>
      </c>
      <c r="H63" s="189">
        <f t="shared" si="1"/>
        <v>-1014.3000000000001</v>
      </c>
      <c r="I63" s="189">
        <f t="shared" si="1"/>
        <v>-1065.0150000000001</v>
      </c>
      <c r="J63" s="189">
        <f t="shared" si="1"/>
        <v>-1118.2657500000003</v>
      </c>
    </row>
    <row r="64" spans="1:10" ht="37.5">
      <c r="A64" s="105" t="s">
        <v>164</v>
      </c>
      <c r="B64" s="98">
        <f>'ІІІ. Рух грош. коштів'!B67</f>
        <v>3580</v>
      </c>
      <c r="C64" s="192">
        <f>'ІІІ. Рух грош. коштів'!C67</f>
        <v>0</v>
      </c>
      <c r="D64" s="192">
        <f>'ІІІ. Рух грош. коштів'!D67</f>
        <v>0</v>
      </c>
      <c r="E64" s="192">
        <f>'ІІІ. Рух грош. коштів'!I67</f>
        <v>3500</v>
      </c>
      <c r="F64" s="192">
        <f>'ІІІ. Рух грош. коштів'!E67</f>
        <v>546</v>
      </c>
      <c r="G64" s="189">
        <f>E64*1.05</f>
        <v>3675</v>
      </c>
      <c r="H64" s="189">
        <f>G64*1.05</f>
        <v>3858.75</v>
      </c>
      <c r="I64" s="189">
        <f t="shared" si="1"/>
        <v>4051.6875</v>
      </c>
      <c r="J64" s="189">
        <f t="shared" si="1"/>
        <v>4254.2718750000004</v>
      </c>
    </row>
    <row r="65" spans="1:10" ht="37.5">
      <c r="A65" s="105" t="s">
        <v>188</v>
      </c>
      <c r="B65" s="98">
        <f>'ІІІ. Рух грош. коштів'!B70</f>
        <v>3610</v>
      </c>
      <c r="C65" s="192">
        <f>'ІІІ. Рух грош. коштів'!C70</f>
        <v>0</v>
      </c>
      <c r="D65" s="192">
        <f>'ІІІ. Рух грош. коштів'!D70</f>
        <v>0</v>
      </c>
      <c r="E65" s="192">
        <f>'ІІІ. Рух грош. коштів'!I70</f>
        <v>0</v>
      </c>
      <c r="F65" s="192">
        <f>'ІІІ. Рух грош. коштів'!E70</f>
        <v>0</v>
      </c>
      <c r="G65" s="189"/>
      <c r="H65" s="189"/>
      <c r="I65" s="189"/>
      <c r="J65" s="189"/>
    </row>
    <row r="66" spans="1:10" ht="20.100000000000001" customHeight="1">
      <c r="A66" s="107" t="s">
        <v>165</v>
      </c>
      <c r="B66" s="98">
        <f>'ІІІ. Рух грош. коштів'!B71</f>
        <v>3620</v>
      </c>
      <c r="C66" s="192">
        <f>'ІІІ. Рух грош. коштів'!C71</f>
        <v>0</v>
      </c>
      <c r="D66" s="192">
        <f>'ІІІ. Рух грош. коштів'!D71</f>
        <v>0</v>
      </c>
      <c r="E66" s="192">
        <f>'ІІІ. Рух грош. коштів'!I71</f>
        <v>242</v>
      </c>
      <c r="F66" s="192">
        <f>'ІІІ. Рух грош. коштів'!E71</f>
        <v>100</v>
      </c>
      <c r="G66" s="192">
        <f>SUM(G61:G65)</f>
        <v>391.09999999999991</v>
      </c>
      <c r="H66" s="192">
        <f>SUM(H61:H65)</f>
        <v>547.65499999999929</v>
      </c>
      <c r="I66" s="192">
        <f>SUM(I61:I65)</f>
        <v>712.0377499999986</v>
      </c>
      <c r="J66" s="192">
        <f>SUM(J61:J65)</f>
        <v>884.63963749999857</v>
      </c>
    </row>
    <row r="67" spans="1:10" ht="24.95" customHeight="1">
      <c r="A67" s="337" t="s">
        <v>232</v>
      </c>
      <c r="B67" s="338"/>
      <c r="C67" s="338"/>
      <c r="D67" s="338"/>
      <c r="E67" s="338"/>
      <c r="F67" s="338"/>
      <c r="G67" s="338"/>
      <c r="H67" s="338"/>
      <c r="I67" s="338"/>
      <c r="J67" s="339"/>
    </row>
    <row r="68" spans="1:10" ht="20.100000000000001" customHeight="1">
      <c r="A68" s="105" t="s">
        <v>231</v>
      </c>
      <c r="B68" s="98">
        <f>'IV. Кап. інвестиції'!B6</f>
        <v>4000</v>
      </c>
      <c r="C68" s="192">
        <f>'IV. Кап. інвестиції'!C6</f>
        <v>0</v>
      </c>
      <c r="D68" s="192">
        <f>'IV. Кап. інвестиції'!D6</f>
        <v>0</v>
      </c>
      <c r="E68" s="192">
        <f>'IV. Кап. інвестиції'!I6</f>
        <v>767</v>
      </c>
      <c r="F68" s="192">
        <f>'IV. Кап. інвестиції'!E6</f>
        <v>0</v>
      </c>
      <c r="G68" s="189">
        <f>E68*1.05</f>
        <v>805.35</v>
      </c>
      <c r="H68" s="189">
        <f>G68*1.05</f>
        <v>845.61750000000006</v>
      </c>
      <c r="I68" s="189">
        <f>H68*1.05</f>
        <v>887.8983750000001</v>
      </c>
      <c r="J68" s="189">
        <f>I68*1.05</f>
        <v>932.29329375000009</v>
      </c>
    </row>
    <row r="69" spans="1:10" ht="24.95" customHeight="1">
      <c r="A69" s="327" t="s">
        <v>235</v>
      </c>
      <c r="B69" s="328"/>
      <c r="C69" s="328"/>
      <c r="D69" s="328"/>
      <c r="E69" s="328"/>
      <c r="F69" s="328"/>
      <c r="G69" s="328"/>
      <c r="H69" s="328"/>
      <c r="I69" s="328"/>
      <c r="J69" s="329"/>
    </row>
    <row r="70" spans="1:10" ht="20.100000000000001" customHeight="1">
      <c r="A70" s="105" t="s">
        <v>191</v>
      </c>
      <c r="B70" s="98">
        <f>' V. Коефіцієнти'!B9</f>
        <v>5020</v>
      </c>
      <c r="C70" s="297" t="e">
        <f>' V. Коефіцієнти'!D9</f>
        <v>#DIV/0!</v>
      </c>
      <c r="D70" s="297" t="e">
        <f>D51/D77</f>
        <v>#DIV/0!</v>
      </c>
      <c r="E70" s="193">
        <f>' V. Коефіцієнти'!G9</f>
        <v>-2.2351046698872787</v>
      </c>
      <c r="F70" s="193">
        <f>' V. Коефіцієнти'!F9</f>
        <v>-5.128205128205128E-2</v>
      </c>
      <c r="G70" s="101" t="s">
        <v>244</v>
      </c>
      <c r="H70" s="101" t="s">
        <v>244</v>
      </c>
      <c r="I70" s="101" t="s">
        <v>244</v>
      </c>
      <c r="J70" s="101" t="s">
        <v>244</v>
      </c>
    </row>
    <row r="71" spans="1:10" ht="37.5">
      <c r="A71" s="105" t="s">
        <v>187</v>
      </c>
      <c r="B71" s="98">
        <f>' V. Коефіцієнти'!B10</f>
        <v>5030</v>
      </c>
      <c r="C71" s="297" t="e">
        <f>' V. Коефіцієнти'!D10</f>
        <v>#DIV/0!</v>
      </c>
      <c r="D71" s="297" t="e">
        <f>D51/D83</f>
        <v>#DIV/0!</v>
      </c>
      <c r="E71" s="193">
        <f>' V. Коефіцієнти'!G10</f>
        <v>-2.2351046698872787</v>
      </c>
      <c r="F71" s="193">
        <f>' V. Коефіцієнти'!F10</f>
        <v>-5.4054054054054057E-2</v>
      </c>
      <c r="G71" s="101" t="s">
        <v>244</v>
      </c>
      <c r="H71" s="101" t="s">
        <v>244</v>
      </c>
      <c r="I71" s="101" t="s">
        <v>244</v>
      </c>
      <c r="J71" s="101" t="s">
        <v>244</v>
      </c>
    </row>
    <row r="72" spans="1:10" ht="20.100000000000001" customHeight="1">
      <c r="A72" s="105" t="s">
        <v>251</v>
      </c>
      <c r="B72" s="98">
        <f>' V. Коефіцієнти'!B14</f>
        <v>5110</v>
      </c>
      <c r="C72" s="297" t="e">
        <f>' V. Коефіцієнти'!D14</f>
        <v>#DIV/0!</v>
      </c>
      <c r="D72" s="297" t="e">
        <f>D83/(D78+D79)</f>
        <v>#DIV/0!</v>
      </c>
      <c r="E72" s="297" t="e">
        <f>' V. Коефіцієнти'!G14</f>
        <v>#DIV/0!</v>
      </c>
      <c r="F72" s="193">
        <f>' V. Коефіцієнти'!F14</f>
        <v>18.5</v>
      </c>
      <c r="G72" s="101" t="s">
        <v>244</v>
      </c>
      <c r="H72" s="101" t="s">
        <v>244</v>
      </c>
      <c r="I72" s="101" t="s">
        <v>244</v>
      </c>
      <c r="J72" s="101" t="s">
        <v>244</v>
      </c>
    </row>
    <row r="73" spans="1:10" ht="24.95" customHeight="1">
      <c r="A73" s="340" t="s">
        <v>234</v>
      </c>
      <c r="B73" s="341"/>
      <c r="C73" s="341"/>
      <c r="D73" s="341"/>
      <c r="E73" s="341"/>
      <c r="F73" s="341"/>
      <c r="G73" s="341"/>
      <c r="H73" s="341"/>
      <c r="I73" s="341"/>
      <c r="J73" s="342"/>
    </row>
    <row r="74" spans="1:10" ht="20.100000000000001" customHeight="1">
      <c r="A74" s="105" t="s">
        <v>166</v>
      </c>
      <c r="B74" s="98">
        <v>6000</v>
      </c>
      <c r="C74" s="204"/>
      <c r="D74" s="204"/>
      <c r="E74" s="204">
        <f>F74+E68-'I. Фін результат'!I98</f>
        <v>847</v>
      </c>
      <c r="F74" s="204">
        <v>446</v>
      </c>
      <c r="G74" s="108" t="s">
        <v>244</v>
      </c>
      <c r="H74" s="108" t="s">
        <v>244</v>
      </c>
      <c r="I74" s="108" t="s">
        <v>244</v>
      </c>
      <c r="J74" s="108" t="s">
        <v>244</v>
      </c>
    </row>
    <row r="75" spans="1:10" ht="20.100000000000001" customHeight="1">
      <c r="A75" s="105" t="s">
        <v>167</v>
      </c>
      <c r="B75" s="98">
        <v>6010</v>
      </c>
      <c r="C75" s="204"/>
      <c r="D75" s="204"/>
      <c r="E75" s="204">
        <f>E83-E74</f>
        <v>395</v>
      </c>
      <c r="F75" s="204">
        <v>100</v>
      </c>
      <c r="G75" s="108" t="s">
        <v>244</v>
      </c>
      <c r="H75" s="108" t="s">
        <v>244</v>
      </c>
      <c r="I75" s="108" t="s">
        <v>244</v>
      </c>
      <c r="J75" s="108" t="s">
        <v>244</v>
      </c>
    </row>
    <row r="76" spans="1:10" ht="37.5">
      <c r="A76" s="105" t="s">
        <v>281</v>
      </c>
      <c r="B76" s="98">
        <v>6020</v>
      </c>
      <c r="C76" s="204">
        <f>'ІІІ. Рух грош. коштів'!C71</f>
        <v>0</v>
      </c>
      <c r="D76" s="204">
        <f>'ІІІ. Рух грош. коштів'!D71</f>
        <v>0</v>
      </c>
      <c r="E76" s="204">
        <f>'ІІІ. Рух грош. коштів'!I71</f>
        <v>242</v>
      </c>
      <c r="F76" s="204">
        <f>'ІІІ. Рух грош. коштів'!E71</f>
        <v>100</v>
      </c>
      <c r="G76" s="108" t="s">
        <v>244</v>
      </c>
      <c r="H76" s="108" t="s">
        <v>244</v>
      </c>
      <c r="I76" s="108" t="s">
        <v>244</v>
      </c>
      <c r="J76" s="108" t="s">
        <v>244</v>
      </c>
    </row>
    <row r="77" spans="1:10" s="5" customFormat="1" ht="20.100000000000001" customHeight="1">
      <c r="A77" s="107" t="s">
        <v>285</v>
      </c>
      <c r="B77" s="98">
        <v>6030</v>
      </c>
      <c r="C77" s="204">
        <f>C74+C75</f>
        <v>0</v>
      </c>
      <c r="D77" s="204">
        <f>D74+D75</f>
        <v>0</v>
      </c>
      <c r="E77" s="204">
        <f>E74+E75</f>
        <v>1242</v>
      </c>
      <c r="F77" s="204">
        <f>F74+F75</f>
        <v>546</v>
      </c>
      <c r="G77" s="108" t="s">
        <v>244</v>
      </c>
      <c r="H77" s="108" t="s">
        <v>244</v>
      </c>
      <c r="I77" s="108" t="s">
        <v>244</v>
      </c>
      <c r="J77" s="108" t="s">
        <v>244</v>
      </c>
    </row>
    <row r="78" spans="1:10" ht="20.100000000000001" customHeight="1">
      <c r="A78" s="105" t="s">
        <v>189</v>
      </c>
      <c r="B78" s="98">
        <v>6040</v>
      </c>
      <c r="C78" s="204"/>
      <c r="D78" s="204"/>
      <c r="E78" s="204"/>
      <c r="F78" s="204"/>
      <c r="G78" s="108" t="s">
        <v>244</v>
      </c>
      <c r="H78" s="108" t="s">
        <v>244</v>
      </c>
      <c r="I78" s="108" t="s">
        <v>244</v>
      </c>
      <c r="J78" s="108" t="s">
        <v>244</v>
      </c>
    </row>
    <row r="79" spans="1:10" ht="20.100000000000001" customHeight="1">
      <c r="A79" s="105" t="s">
        <v>190</v>
      </c>
      <c r="B79" s="98">
        <v>6050</v>
      </c>
      <c r="C79" s="204"/>
      <c r="D79" s="204"/>
      <c r="E79" s="204"/>
      <c r="F79" s="204">
        <v>28</v>
      </c>
      <c r="G79" s="108" t="s">
        <v>244</v>
      </c>
      <c r="H79" s="108" t="s">
        <v>244</v>
      </c>
      <c r="I79" s="108" t="s">
        <v>244</v>
      </c>
      <c r="J79" s="108" t="s">
        <v>244</v>
      </c>
    </row>
    <row r="80" spans="1:10" s="5" customFormat="1" ht="20.100000000000001" customHeight="1">
      <c r="A80" s="107" t="s">
        <v>284</v>
      </c>
      <c r="B80" s="98">
        <v>6060</v>
      </c>
      <c r="C80" s="204">
        <f>SUM(C78:C79)</f>
        <v>0</v>
      </c>
      <c r="D80" s="204">
        <f>SUM(D78:D79)</f>
        <v>0</v>
      </c>
      <c r="E80" s="204">
        <f>SUM(E78:E79)</f>
        <v>0</v>
      </c>
      <c r="F80" s="204">
        <f>SUM(F78:F79)</f>
        <v>28</v>
      </c>
      <c r="G80" s="108" t="s">
        <v>244</v>
      </c>
      <c r="H80" s="108" t="s">
        <v>244</v>
      </c>
      <c r="I80" s="108" t="s">
        <v>244</v>
      </c>
      <c r="J80" s="108" t="s">
        <v>244</v>
      </c>
    </row>
    <row r="81" spans="1:10" ht="20.100000000000001" customHeight="1">
      <c r="A81" s="105" t="s">
        <v>282</v>
      </c>
      <c r="B81" s="98">
        <v>6070</v>
      </c>
      <c r="C81" s="204"/>
      <c r="D81" s="204"/>
      <c r="E81" s="204"/>
      <c r="F81" s="204"/>
      <c r="G81" s="108" t="s">
        <v>244</v>
      </c>
      <c r="H81" s="108" t="s">
        <v>244</v>
      </c>
      <c r="I81" s="108" t="s">
        <v>244</v>
      </c>
      <c r="J81" s="108" t="s">
        <v>244</v>
      </c>
    </row>
    <row r="82" spans="1:10" ht="20.100000000000001" customHeight="1">
      <c r="A82" s="105" t="s">
        <v>283</v>
      </c>
      <c r="B82" s="98">
        <v>6080</v>
      </c>
      <c r="C82" s="204"/>
      <c r="D82" s="204"/>
      <c r="E82" s="204"/>
      <c r="F82" s="204"/>
      <c r="G82" s="108" t="s">
        <v>244</v>
      </c>
      <c r="H82" s="108" t="s">
        <v>244</v>
      </c>
      <c r="I82" s="108" t="s">
        <v>244</v>
      </c>
      <c r="J82" s="108" t="s">
        <v>244</v>
      </c>
    </row>
    <row r="83" spans="1:10" s="5" customFormat="1" ht="20.100000000000001" customHeight="1">
      <c r="A83" s="107" t="s">
        <v>168</v>
      </c>
      <c r="B83" s="98">
        <v>6090</v>
      </c>
      <c r="C83" s="204"/>
      <c r="D83" s="204"/>
      <c r="E83" s="204">
        <f>F83+E51-E54+'ІІІ. Рух грош. коштів'!I53</f>
        <v>1242</v>
      </c>
      <c r="F83" s="204">
        <v>518</v>
      </c>
      <c r="G83" s="108" t="s">
        <v>244</v>
      </c>
      <c r="H83" s="108" t="s">
        <v>244</v>
      </c>
      <c r="I83" s="108" t="s">
        <v>244</v>
      </c>
      <c r="J83" s="108" t="s">
        <v>244</v>
      </c>
    </row>
    <row r="84" spans="1:10" s="5" customFormat="1" ht="24.95" customHeight="1">
      <c r="A84" s="64"/>
      <c r="B84" s="111"/>
      <c r="C84" s="135"/>
      <c r="D84" s="136"/>
      <c r="E84" s="136"/>
      <c r="F84" s="136"/>
      <c r="G84" s="137"/>
      <c r="H84" s="137"/>
      <c r="I84" s="137"/>
      <c r="J84" s="137"/>
    </row>
    <row r="85" spans="1:10" ht="24.95" customHeight="1">
      <c r="A85" s="115"/>
      <c r="B85" s="111"/>
      <c r="C85" s="137"/>
      <c r="D85" s="138"/>
      <c r="E85" s="138"/>
      <c r="F85" s="138"/>
      <c r="G85" s="138"/>
      <c r="H85" s="138"/>
      <c r="I85" s="138"/>
      <c r="J85" s="138"/>
    </row>
    <row r="86" spans="1:10" ht="56.25">
      <c r="A86" s="139" t="s">
        <v>545</v>
      </c>
      <c r="B86" s="140"/>
      <c r="C86" s="332" t="s">
        <v>120</v>
      </c>
      <c r="D86" s="333"/>
      <c r="E86" s="333"/>
      <c r="F86" s="333"/>
      <c r="G86" s="141"/>
      <c r="H86" s="336" t="s">
        <v>546</v>
      </c>
      <c r="I86" s="336"/>
      <c r="J86" s="336"/>
    </row>
    <row r="87" spans="1:10" s="1" customFormat="1" ht="21" customHeight="1">
      <c r="A87" s="111" t="s">
        <v>84</v>
      </c>
      <c r="B87" s="110"/>
      <c r="C87" s="317" t="s">
        <v>85</v>
      </c>
      <c r="D87" s="317"/>
      <c r="E87" s="317"/>
      <c r="F87" s="317"/>
      <c r="G87" s="142"/>
      <c r="H87" s="318" t="s">
        <v>116</v>
      </c>
      <c r="I87" s="318"/>
      <c r="J87" s="318"/>
    </row>
    <row r="89" spans="1:10">
      <c r="A89" s="48"/>
    </row>
    <row r="90" spans="1:10">
      <c r="A90" s="48"/>
    </row>
    <row r="91" spans="1:10">
      <c r="A91" s="48"/>
    </row>
    <row r="92" spans="1:10" s="22" customFormat="1">
      <c r="A92" s="48"/>
      <c r="G92" s="2"/>
      <c r="H92" s="2"/>
      <c r="I92" s="2"/>
      <c r="J92" s="2"/>
    </row>
    <row r="93" spans="1:10" s="22" customFormat="1">
      <c r="A93" s="48"/>
      <c r="G93" s="2"/>
      <c r="H93" s="2"/>
      <c r="I93" s="2"/>
      <c r="J93" s="2"/>
    </row>
    <row r="94" spans="1:10" s="22" customFormat="1">
      <c r="A94" s="48"/>
      <c r="G94" s="2"/>
      <c r="H94" s="2"/>
      <c r="I94" s="2"/>
      <c r="J94" s="2"/>
    </row>
    <row r="95" spans="1:10" s="22" customFormat="1">
      <c r="A95" s="48"/>
      <c r="G95" s="2"/>
      <c r="H95" s="2"/>
      <c r="I95" s="2"/>
      <c r="J95" s="2"/>
    </row>
    <row r="96" spans="1:10" s="22" customFormat="1">
      <c r="A96" s="48"/>
      <c r="G96" s="2"/>
      <c r="H96" s="2"/>
      <c r="I96" s="2"/>
      <c r="J96" s="2"/>
    </row>
    <row r="97" spans="1:10" s="22" customFormat="1">
      <c r="A97" s="48"/>
      <c r="G97" s="2"/>
      <c r="H97" s="2"/>
      <c r="I97" s="2"/>
      <c r="J97" s="2"/>
    </row>
    <row r="98" spans="1:10" s="22" customFormat="1">
      <c r="A98" s="48"/>
      <c r="G98" s="2"/>
      <c r="H98" s="2"/>
      <c r="I98" s="2"/>
      <c r="J98" s="2"/>
    </row>
    <row r="99" spans="1:10" s="22" customFormat="1">
      <c r="A99" s="48"/>
      <c r="G99" s="2"/>
      <c r="H99" s="2"/>
      <c r="I99" s="2"/>
      <c r="J99" s="2"/>
    </row>
    <row r="100" spans="1:10" s="22" customFormat="1">
      <c r="A100" s="48"/>
      <c r="G100" s="2"/>
      <c r="H100" s="2"/>
      <c r="I100" s="2"/>
      <c r="J100" s="2"/>
    </row>
    <row r="101" spans="1:10" s="22" customFormat="1">
      <c r="A101" s="48"/>
      <c r="G101" s="2"/>
      <c r="H101" s="2"/>
      <c r="I101" s="2"/>
      <c r="J101" s="2"/>
    </row>
    <row r="102" spans="1:10" s="22" customFormat="1">
      <c r="A102" s="48"/>
      <c r="G102" s="2"/>
      <c r="H102" s="2"/>
      <c r="I102" s="2"/>
      <c r="J102" s="2"/>
    </row>
    <row r="103" spans="1:10" s="22" customFormat="1">
      <c r="A103" s="48"/>
      <c r="G103" s="2"/>
      <c r="H103" s="2"/>
      <c r="I103" s="2"/>
      <c r="J103" s="2"/>
    </row>
    <row r="104" spans="1:10" s="22" customFormat="1">
      <c r="A104" s="48"/>
      <c r="G104" s="2"/>
      <c r="H104" s="2"/>
      <c r="I104" s="2"/>
      <c r="J104" s="2"/>
    </row>
    <row r="105" spans="1:10" s="22" customFormat="1">
      <c r="A105" s="48"/>
      <c r="G105" s="2"/>
      <c r="H105" s="2"/>
      <c r="I105" s="2"/>
      <c r="J105" s="2"/>
    </row>
    <row r="106" spans="1:10" s="22" customFormat="1">
      <c r="A106" s="48"/>
      <c r="G106" s="2"/>
      <c r="H106" s="2"/>
      <c r="I106" s="2"/>
      <c r="J106" s="2"/>
    </row>
    <row r="107" spans="1:10" s="22" customFormat="1">
      <c r="A107" s="48"/>
      <c r="G107" s="2"/>
      <c r="H107" s="2"/>
      <c r="I107" s="2"/>
      <c r="J107" s="2"/>
    </row>
    <row r="108" spans="1:10" s="22" customFormat="1">
      <c r="A108" s="48"/>
      <c r="G108" s="2"/>
      <c r="H108" s="2"/>
      <c r="I108" s="2"/>
      <c r="J108" s="2"/>
    </row>
    <row r="109" spans="1:10" s="22" customFormat="1">
      <c r="A109" s="48"/>
      <c r="G109" s="2"/>
      <c r="H109" s="2"/>
      <c r="I109" s="2"/>
      <c r="J109" s="2"/>
    </row>
    <row r="110" spans="1:10" s="22" customFormat="1">
      <c r="A110" s="48"/>
      <c r="G110" s="2"/>
      <c r="H110" s="2"/>
      <c r="I110" s="2"/>
      <c r="J110" s="2"/>
    </row>
    <row r="111" spans="1:10" s="22" customFormat="1">
      <c r="A111" s="48"/>
      <c r="G111" s="2"/>
      <c r="H111" s="2"/>
      <c r="I111" s="2"/>
      <c r="J111" s="2"/>
    </row>
    <row r="112" spans="1:10" s="22" customFormat="1">
      <c r="A112" s="48"/>
      <c r="G112" s="2"/>
      <c r="H112" s="2"/>
      <c r="I112" s="2"/>
      <c r="J112" s="2"/>
    </row>
    <row r="113" spans="1:10" s="22" customFormat="1">
      <c r="A113" s="48"/>
      <c r="G113" s="2"/>
      <c r="H113" s="2"/>
      <c r="I113" s="2"/>
      <c r="J113" s="2"/>
    </row>
    <row r="114" spans="1:10" s="22" customFormat="1">
      <c r="A114" s="48"/>
      <c r="G114" s="2"/>
      <c r="H114" s="2"/>
      <c r="I114" s="2"/>
      <c r="J114" s="2"/>
    </row>
    <row r="115" spans="1:10" s="22" customFormat="1">
      <c r="A115" s="48"/>
      <c r="G115" s="2"/>
      <c r="H115" s="2"/>
      <c r="I115" s="2"/>
      <c r="J115" s="2"/>
    </row>
    <row r="116" spans="1:10" s="22" customFormat="1">
      <c r="A116" s="48"/>
      <c r="G116" s="2"/>
      <c r="H116" s="2"/>
      <c r="I116" s="2"/>
      <c r="J116" s="2"/>
    </row>
    <row r="117" spans="1:10" s="22" customFormat="1">
      <c r="A117" s="48"/>
      <c r="G117" s="2"/>
      <c r="H117" s="2"/>
      <c r="I117" s="2"/>
      <c r="J117" s="2"/>
    </row>
    <row r="118" spans="1:10" s="22" customFormat="1">
      <c r="A118" s="48"/>
      <c r="G118" s="2"/>
      <c r="H118" s="2"/>
      <c r="I118" s="2"/>
      <c r="J118" s="2"/>
    </row>
    <row r="119" spans="1:10" s="22" customFormat="1">
      <c r="A119" s="48"/>
      <c r="G119" s="2"/>
      <c r="H119" s="2"/>
      <c r="I119" s="2"/>
      <c r="J119" s="2"/>
    </row>
    <row r="120" spans="1:10" s="22" customFormat="1">
      <c r="A120" s="48"/>
      <c r="G120" s="2"/>
      <c r="H120" s="2"/>
      <c r="I120" s="2"/>
      <c r="J120" s="2"/>
    </row>
    <row r="121" spans="1:10" s="22" customFormat="1">
      <c r="A121" s="48"/>
      <c r="G121" s="2"/>
      <c r="H121" s="2"/>
      <c r="I121" s="2"/>
      <c r="J121" s="2"/>
    </row>
    <row r="122" spans="1:10" s="22" customFormat="1">
      <c r="A122" s="48"/>
      <c r="G122" s="2"/>
      <c r="H122" s="2"/>
      <c r="I122" s="2"/>
      <c r="J122" s="2"/>
    </row>
    <row r="123" spans="1:10" s="22" customFormat="1">
      <c r="A123" s="48"/>
      <c r="G123" s="2"/>
      <c r="H123" s="2"/>
      <c r="I123" s="2"/>
      <c r="J123" s="2"/>
    </row>
    <row r="124" spans="1:10" s="22" customFormat="1">
      <c r="A124" s="48"/>
      <c r="G124" s="2"/>
      <c r="H124" s="2"/>
      <c r="I124" s="2"/>
      <c r="J124" s="2"/>
    </row>
    <row r="125" spans="1:10" s="22" customFormat="1">
      <c r="A125" s="48"/>
      <c r="G125" s="2"/>
      <c r="H125" s="2"/>
      <c r="I125" s="2"/>
      <c r="J125" s="2"/>
    </row>
    <row r="126" spans="1:10" s="22" customFormat="1">
      <c r="A126" s="48"/>
      <c r="G126" s="2"/>
      <c r="H126" s="2"/>
      <c r="I126" s="2"/>
      <c r="J126" s="2"/>
    </row>
    <row r="127" spans="1:10" s="22" customFormat="1">
      <c r="A127" s="48"/>
      <c r="G127" s="2"/>
      <c r="H127" s="2"/>
      <c r="I127" s="2"/>
      <c r="J127" s="2"/>
    </row>
    <row r="128" spans="1:10" s="22" customFormat="1">
      <c r="A128" s="48"/>
      <c r="G128" s="2"/>
      <c r="H128" s="2"/>
      <c r="I128" s="2"/>
      <c r="J128" s="2"/>
    </row>
    <row r="129" spans="1:10" s="22" customFormat="1">
      <c r="A129" s="48"/>
      <c r="G129" s="2"/>
      <c r="H129" s="2"/>
      <c r="I129" s="2"/>
      <c r="J129" s="2"/>
    </row>
    <row r="130" spans="1:10" s="22" customFormat="1">
      <c r="A130" s="48"/>
      <c r="G130" s="2"/>
      <c r="H130" s="2"/>
      <c r="I130" s="2"/>
      <c r="J130" s="2"/>
    </row>
    <row r="131" spans="1:10" s="22" customFormat="1">
      <c r="A131" s="48"/>
      <c r="G131" s="2"/>
      <c r="H131" s="2"/>
      <c r="I131" s="2"/>
      <c r="J131" s="2"/>
    </row>
    <row r="132" spans="1:10" s="22" customFormat="1">
      <c r="A132" s="48"/>
      <c r="G132" s="2"/>
      <c r="H132" s="2"/>
      <c r="I132" s="2"/>
      <c r="J132" s="2"/>
    </row>
    <row r="133" spans="1:10" s="22" customFormat="1">
      <c r="A133" s="48"/>
      <c r="G133" s="2"/>
      <c r="H133" s="2"/>
      <c r="I133" s="2"/>
      <c r="J133" s="2"/>
    </row>
    <row r="134" spans="1:10" s="22" customFormat="1">
      <c r="A134" s="48"/>
      <c r="G134" s="2"/>
      <c r="H134" s="2"/>
      <c r="I134" s="2"/>
      <c r="J134" s="2"/>
    </row>
    <row r="135" spans="1:10" s="22" customFormat="1">
      <c r="A135" s="48"/>
      <c r="G135" s="2"/>
      <c r="H135" s="2"/>
      <c r="I135" s="2"/>
      <c r="J135" s="2"/>
    </row>
    <row r="136" spans="1:10" s="22" customFormat="1">
      <c r="A136" s="48"/>
      <c r="G136" s="2"/>
      <c r="H136" s="2"/>
      <c r="I136" s="2"/>
      <c r="J136" s="2"/>
    </row>
    <row r="137" spans="1:10" s="22" customFormat="1">
      <c r="A137" s="48"/>
      <c r="G137" s="2"/>
      <c r="H137" s="2"/>
      <c r="I137" s="2"/>
      <c r="J137" s="2"/>
    </row>
    <row r="138" spans="1:10" s="22" customFormat="1">
      <c r="A138" s="48"/>
      <c r="G138" s="2"/>
      <c r="H138" s="2"/>
      <c r="I138" s="2"/>
      <c r="J138" s="2"/>
    </row>
    <row r="139" spans="1:10" s="22" customFormat="1">
      <c r="A139" s="48"/>
      <c r="G139" s="2"/>
      <c r="H139" s="2"/>
      <c r="I139" s="2"/>
      <c r="J139" s="2"/>
    </row>
    <row r="140" spans="1:10" s="22" customFormat="1">
      <c r="A140" s="48"/>
      <c r="G140" s="2"/>
      <c r="H140" s="2"/>
      <c r="I140" s="2"/>
      <c r="J140" s="2"/>
    </row>
    <row r="141" spans="1:10" s="22" customFormat="1">
      <c r="A141" s="48"/>
      <c r="G141" s="2"/>
      <c r="H141" s="2"/>
      <c r="I141" s="2"/>
      <c r="J141" s="2"/>
    </row>
    <row r="142" spans="1:10" s="22" customFormat="1">
      <c r="A142" s="48"/>
      <c r="G142" s="2"/>
      <c r="H142" s="2"/>
      <c r="I142" s="2"/>
      <c r="J142" s="2"/>
    </row>
    <row r="143" spans="1:10" s="22" customFormat="1">
      <c r="A143" s="48"/>
      <c r="G143" s="2"/>
      <c r="H143" s="2"/>
      <c r="I143" s="2"/>
      <c r="J143" s="2"/>
    </row>
    <row r="144" spans="1:10" s="22" customFormat="1">
      <c r="A144" s="48"/>
      <c r="G144" s="2"/>
      <c r="H144" s="2"/>
      <c r="I144" s="2"/>
      <c r="J144" s="2"/>
    </row>
    <row r="145" spans="1:10" s="22" customFormat="1">
      <c r="A145" s="48"/>
      <c r="G145" s="2"/>
      <c r="H145" s="2"/>
      <c r="I145" s="2"/>
      <c r="J145" s="2"/>
    </row>
    <row r="146" spans="1:10" s="22" customFormat="1">
      <c r="A146" s="48"/>
      <c r="G146" s="2"/>
      <c r="H146" s="2"/>
      <c r="I146" s="2"/>
      <c r="J146" s="2"/>
    </row>
    <row r="147" spans="1:10" s="22" customFormat="1">
      <c r="A147" s="48"/>
      <c r="G147" s="2"/>
      <c r="H147" s="2"/>
      <c r="I147" s="2"/>
      <c r="J147" s="2"/>
    </row>
    <row r="148" spans="1:10" s="22" customFormat="1">
      <c r="A148" s="48"/>
      <c r="G148" s="2"/>
      <c r="H148" s="2"/>
      <c r="I148" s="2"/>
      <c r="J148" s="2"/>
    </row>
    <row r="149" spans="1:10" s="22" customFormat="1">
      <c r="A149" s="48"/>
      <c r="G149" s="2"/>
      <c r="H149" s="2"/>
      <c r="I149" s="2"/>
      <c r="J149" s="2"/>
    </row>
    <row r="150" spans="1:10" s="22" customFormat="1">
      <c r="A150" s="48"/>
      <c r="G150" s="2"/>
      <c r="H150" s="2"/>
      <c r="I150" s="2"/>
      <c r="J150" s="2"/>
    </row>
    <row r="151" spans="1:10" s="22" customFormat="1">
      <c r="A151" s="48"/>
      <c r="G151" s="2"/>
      <c r="H151" s="2"/>
      <c r="I151" s="2"/>
      <c r="J151" s="2"/>
    </row>
    <row r="152" spans="1:10" s="22" customFormat="1">
      <c r="A152" s="48"/>
      <c r="G152" s="2"/>
      <c r="H152" s="2"/>
      <c r="I152" s="2"/>
      <c r="J152" s="2"/>
    </row>
    <row r="153" spans="1:10" s="22" customFormat="1">
      <c r="A153" s="48"/>
      <c r="G153" s="2"/>
      <c r="H153" s="2"/>
      <c r="I153" s="2"/>
      <c r="J153" s="2"/>
    </row>
    <row r="154" spans="1:10" s="22" customFormat="1">
      <c r="A154" s="48"/>
      <c r="G154" s="2"/>
      <c r="H154" s="2"/>
      <c r="I154" s="2"/>
      <c r="J154" s="2"/>
    </row>
    <row r="155" spans="1:10" s="22" customFormat="1">
      <c r="A155" s="48"/>
      <c r="G155" s="2"/>
      <c r="H155" s="2"/>
      <c r="I155" s="2"/>
      <c r="J155" s="2"/>
    </row>
    <row r="156" spans="1:10" s="22" customFormat="1">
      <c r="A156" s="48"/>
      <c r="G156" s="2"/>
      <c r="H156" s="2"/>
      <c r="I156" s="2"/>
      <c r="J156" s="2"/>
    </row>
    <row r="157" spans="1:10" s="22" customFormat="1">
      <c r="A157" s="48"/>
      <c r="G157" s="2"/>
      <c r="H157" s="2"/>
      <c r="I157" s="2"/>
      <c r="J157" s="2"/>
    </row>
    <row r="158" spans="1:10" s="22" customFormat="1">
      <c r="A158" s="48"/>
      <c r="G158" s="2"/>
      <c r="H158" s="2"/>
      <c r="I158" s="2"/>
      <c r="J158" s="2"/>
    </row>
    <row r="159" spans="1:10" s="22" customFormat="1">
      <c r="A159" s="48"/>
      <c r="G159" s="2"/>
      <c r="H159" s="2"/>
      <c r="I159" s="2"/>
      <c r="J159" s="2"/>
    </row>
    <row r="160" spans="1:10" s="22" customFormat="1">
      <c r="A160" s="48"/>
      <c r="G160" s="2"/>
      <c r="H160" s="2"/>
      <c r="I160" s="2"/>
      <c r="J160" s="2"/>
    </row>
    <row r="161" spans="1:10" s="22" customFormat="1">
      <c r="A161" s="48"/>
      <c r="G161" s="2"/>
      <c r="H161" s="2"/>
      <c r="I161" s="2"/>
      <c r="J161" s="2"/>
    </row>
    <row r="162" spans="1:10" s="22" customFormat="1">
      <c r="A162" s="48"/>
      <c r="G162" s="2"/>
      <c r="H162" s="2"/>
      <c r="I162" s="2"/>
      <c r="J162" s="2"/>
    </row>
    <row r="163" spans="1:10" s="22" customFormat="1">
      <c r="A163" s="48"/>
      <c r="G163" s="2"/>
      <c r="H163" s="2"/>
      <c r="I163" s="2"/>
      <c r="J163" s="2"/>
    </row>
    <row r="164" spans="1:10" s="22" customFormat="1">
      <c r="A164" s="48"/>
      <c r="G164" s="2"/>
      <c r="H164" s="2"/>
      <c r="I164" s="2"/>
      <c r="J164" s="2"/>
    </row>
    <row r="165" spans="1:10" s="22" customFormat="1">
      <c r="A165" s="48"/>
      <c r="G165" s="2"/>
      <c r="H165" s="2"/>
      <c r="I165" s="2"/>
      <c r="J165" s="2"/>
    </row>
    <row r="166" spans="1:10" s="22" customFormat="1">
      <c r="A166" s="48"/>
      <c r="G166" s="2"/>
      <c r="H166" s="2"/>
      <c r="I166" s="2"/>
      <c r="J166" s="2"/>
    </row>
    <row r="167" spans="1:10" s="22" customFormat="1">
      <c r="A167" s="48"/>
      <c r="G167" s="2"/>
      <c r="H167" s="2"/>
      <c r="I167" s="2"/>
      <c r="J167" s="2"/>
    </row>
    <row r="168" spans="1:10" s="22" customFormat="1">
      <c r="A168" s="48"/>
      <c r="G168" s="2"/>
      <c r="H168" s="2"/>
      <c r="I168" s="2"/>
      <c r="J168" s="2"/>
    </row>
    <row r="169" spans="1:10" s="22" customFormat="1">
      <c r="A169" s="48"/>
      <c r="G169" s="2"/>
      <c r="H169" s="2"/>
      <c r="I169" s="2"/>
      <c r="J169" s="2"/>
    </row>
    <row r="170" spans="1:10" s="22" customFormat="1">
      <c r="A170" s="48"/>
      <c r="G170" s="2"/>
      <c r="H170" s="2"/>
      <c r="I170" s="2"/>
      <c r="J170" s="2"/>
    </row>
    <row r="171" spans="1:10" s="22" customFormat="1">
      <c r="A171" s="48"/>
      <c r="G171" s="2"/>
      <c r="H171" s="2"/>
      <c r="I171" s="2"/>
      <c r="J171" s="2"/>
    </row>
    <row r="172" spans="1:10" s="22" customFormat="1">
      <c r="A172" s="48"/>
      <c r="G172" s="2"/>
      <c r="H172" s="2"/>
      <c r="I172" s="2"/>
      <c r="J172" s="2"/>
    </row>
    <row r="173" spans="1:10" s="22" customFormat="1">
      <c r="A173" s="48"/>
      <c r="G173" s="2"/>
      <c r="H173" s="2"/>
      <c r="I173" s="2"/>
      <c r="J173" s="2"/>
    </row>
    <row r="174" spans="1:10" s="22" customFormat="1">
      <c r="A174" s="48"/>
      <c r="G174" s="2"/>
      <c r="H174" s="2"/>
      <c r="I174" s="2"/>
      <c r="J174" s="2"/>
    </row>
    <row r="175" spans="1:10" s="22" customFormat="1">
      <c r="A175" s="48"/>
      <c r="G175" s="2"/>
      <c r="H175" s="2"/>
      <c r="I175" s="2"/>
      <c r="J175" s="2"/>
    </row>
    <row r="176" spans="1:10" s="22" customFormat="1">
      <c r="A176" s="48"/>
      <c r="G176" s="2"/>
      <c r="H176" s="2"/>
      <c r="I176" s="2"/>
      <c r="J176" s="2"/>
    </row>
    <row r="177" spans="1:10" s="22" customFormat="1">
      <c r="A177" s="48"/>
      <c r="G177" s="2"/>
      <c r="H177" s="2"/>
      <c r="I177" s="2"/>
      <c r="J177" s="2"/>
    </row>
    <row r="178" spans="1:10" s="22" customFormat="1">
      <c r="A178" s="48"/>
      <c r="G178" s="2"/>
      <c r="H178" s="2"/>
      <c r="I178" s="2"/>
      <c r="J178" s="2"/>
    </row>
    <row r="179" spans="1:10" s="22" customFormat="1">
      <c r="A179" s="48"/>
      <c r="G179" s="2"/>
      <c r="H179" s="2"/>
      <c r="I179" s="2"/>
      <c r="J179" s="2"/>
    </row>
    <row r="180" spans="1:10" s="22" customFormat="1">
      <c r="A180" s="48"/>
      <c r="G180" s="2"/>
      <c r="H180" s="2"/>
      <c r="I180" s="2"/>
      <c r="J180" s="2"/>
    </row>
    <row r="181" spans="1:10" s="22" customFormat="1">
      <c r="A181" s="48"/>
      <c r="G181" s="2"/>
      <c r="H181" s="2"/>
      <c r="I181" s="2"/>
      <c r="J181" s="2"/>
    </row>
    <row r="182" spans="1:10" s="22" customFormat="1">
      <c r="A182" s="48"/>
      <c r="G182" s="2"/>
      <c r="H182" s="2"/>
      <c r="I182" s="2"/>
      <c r="J182" s="2"/>
    </row>
    <row r="183" spans="1:10" s="22" customFormat="1">
      <c r="A183" s="48"/>
      <c r="G183" s="2"/>
      <c r="H183" s="2"/>
      <c r="I183" s="2"/>
      <c r="J183" s="2"/>
    </row>
    <row r="184" spans="1:10" s="22" customFormat="1">
      <c r="A184" s="48"/>
      <c r="G184" s="2"/>
      <c r="H184" s="2"/>
      <c r="I184" s="2"/>
      <c r="J184" s="2"/>
    </row>
    <row r="185" spans="1:10" s="22" customFormat="1">
      <c r="A185" s="48"/>
      <c r="G185" s="2"/>
      <c r="H185" s="2"/>
      <c r="I185" s="2"/>
      <c r="J185" s="2"/>
    </row>
    <row r="186" spans="1:10" s="22" customFormat="1">
      <c r="A186" s="48"/>
      <c r="G186" s="2"/>
      <c r="H186" s="2"/>
      <c r="I186" s="2"/>
      <c r="J186" s="2"/>
    </row>
    <row r="187" spans="1:10" s="22" customFormat="1">
      <c r="A187" s="48"/>
      <c r="G187" s="2"/>
      <c r="H187" s="2"/>
      <c r="I187" s="2"/>
      <c r="J187" s="2"/>
    </row>
    <row r="188" spans="1:10" s="22" customFormat="1">
      <c r="A188" s="48"/>
      <c r="G188" s="2"/>
      <c r="H188" s="2"/>
      <c r="I188" s="2"/>
      <c r="J188" s="2"/>
    </row>
    <row r="189" spans="1:10" s="22" customFormat="1">
      <c r="A189" s="48"/>
      <c r="G189" s="2"/>
      <c r="H189" s="2"/>
      <c r="I189" s="2"/>
      <c r="J189" s="2"/>
    </row>
    <row r="190" spans="1:10" s="22" customFormat="1">
      <c r="A190" s="48"/>
      <c r="G190" s="2"/>
      <c r="H190" s="2"/>
      <c r="I190" s="2"/>
      <c r="J190" s="2"/>
    </row>
    <row r="191" spans="1:10" s="22" customFormat="1">
      <c r="A191" s="48"/>
      <c r="G191" s="2"/>
      <c r="H191" s="2"/>
      <c r="I191" s="2"/>
      <c r="J191" s="2"/>
    </row>
    <row r="192" spans="1:10" s="22" customFormat="1">
      <c r="A192" s="48"/>
      <c r="G192" s="2"/>
      <c r="H192" s="2"/>
      <c r="I192" s="2"/>
      <c r="J192" s="2"/>
    </row>
    <row r="193" spans="1:10" s="22" customFormat="1">
      <c r="A193" s="48"/>
      <c r="G193" s="2"/>
      <c r="H193" s="2"/>
      <c r="I193" s="2"/>
      <c r="J193" s="2"/>
    </row>
    <row r="194" spans="1:10" s="22" customFormat="1">
      <c r="A194" s="48"/>
      <c r="G194" s="2"/>
      <c r="H194" s="2"/>
      <c r="I194" s="2"/>
      <c r="J194" s="2"/>
    </row>
    <row r="195" spans="1:10" s="22" customFormat="1">
      <c r="A195" s="48"/>
      <c r="G195" s="2"/>
      <c r="H195" s="2"/>
      <c r="I195" s="2"/>
      <c r="J195" s="2"/>
    </row>
    <row r="196" spans="1:10" s="22" customFormat="1">
      <c r="A196" s="48"/>
      <c r="G196" s="2"/>
      <c r="H196" s="2"/>
      <c r="I196" s="2"/>
      <c r="J196" s="2"/>
    </row>
    <row r="197" spans="1:10" s="22" customFormat="1">
      <c r="A197" s="48"/>
      <c r="G197" s="2"/>
      <c r="H197" s="2"/>
      <c r="I197" s="2"/>
      <c r="J197" s="2"/>
    </row>
    <row r="198" spans="1:10" s="22" customFormat="1">
      <c r="A198" s="48"/>
      <c r="G198" s="2"/>
      <c r="H198" s="2"/>
      <c r="I198" s="2"/>
      <c r="J198" s="2"/>
    </row>
    <row r="199" spans="1:10" s="22" customFormat="1">
      <c r="A199" s="48"/>
      <c r="G199" s="2"/>
      <c r="H199" s="2"/>
      <c r="I199" s="2"/>
      <c r="J199" s="2"/>
    </row>
    <row r="200" spans="1:10" s="22" customFormat="1">
      <c r="A200" s="48"/>
      <c r="G200" s="2"/>
      <c r="H200" s="2"/>
      <c r="I200" s="2"/>
      <c r="J200" s="2"/>
    </row>
    <row r="201" spans="1:10" s="22" customFormat="1">
      <c r="A201" s="48"/>
      <c r="G201" s="2"/>
      <c r="H201" s="2"/>
      <c r="I201" s="2"/>
      <c r="J201" s="2"/>
    </row>
    <row r="202" spans="1:10" s="22" customFormat="1">
      <c r="A202" s="48"/>
      <c r="G202" s="2"/>
      <c r="H202" s="2"/>
      <c r="I202" s="2"/>
      <c r="J202" s="2"/>
    </row>
    <row r="203" spans="1:10" s="22" customFormat="1">
      <c r="A203" s="48"/>
      <c r="G203" s="2"/>
      <c r="H203" s="2"/>
      <c r="I203" s="2"/>
      <c r="J203" s="2"/>
    </row>
    <row r="204" spans="1:10" s="22" customFormat="1">
      <c r="A204" s="48"/>
      <c r="G204" s="2"/>
      <c r="H204" s="2"/>
      <c r="I204" s="2"/>
      <c r="J204" s="2"/>
    </row>
    <row r="205" spans="1:10" s="22" customFormat="1">
      <c r="A205" s="48"/>
      <c r="G205" s="2"/>
      <c r="H205" s="2"/>
      <c r="I205" s="2"/>
      <c r="J205" s="2"/>
    </row>
    <row r="206" spans="1:10" s="22" customFormat="1">
      <c r="A206" s="48"/>
      <c r="G206" s="2"/>
      <c r="H206" s="2"/>
      <c r="I206" s="2"/>
      <c r="J206" s="2"/>
    </row>
    <row r="207" spans="1:10" s="22" customFormat="1">
      <c r="A207" s="48"/>
      <c r="G207" s="2"/>
      <c r="H207" s="2"/>
      <c r="I207" s="2"/>
      <c r="J207" s="2"/>
    </row>
    <row r="208" spans="1:10" s="22" customFormat="1">
      <c r="A208" s="48"/>
      <c r="G208" s="2"/>
      <c r="H208" s="2"/>
      <c r="I208" s="2"/>
      <c r="J208" s="2"/>
    </row>
    <row r="209" spans="1:10" s="22" customFormat="1">
      <c r="A209" s="48"/>
      <c r="G209" s="2"/>
      <c r="H209" s="2"/>
      <c r="I209" s="2"/>
      <c r="J209" s="2"/>
    </row>
    <row r="210" spans="1:10" s="22" customFormat="1">
      <c r="A210" s="48"/>
      <c r="G210" s="2"/>
      <c r="H210" s="2"/>
      <c r="I210" s="2"/>
      <c r="J210" s="2"/>
    </row>
    <row r="211" spans="1:10" s="22" customFormat="1">
      <c r="A211" s="48"/>
      <c r="G211" s="2"/>
      <c r="H211" s="2"/>
      <c r="I211" s="2"/>
      <c r="J211" s="2"/>
    </row>
    <row r="212" spans="1:10" s="22" customFormat="1">
      <c r="A212" s="48"/>
      <c r="G212" s="2"/>
      <c r="H212" s="2"/>
      <c r="I212" s="2"/>
      <c r="J212" s="2"/>
    </row>
    <row r="213" spans="1:10" s="22" customFormat="1">
      <c r="A213" s="48"/>
      <c r="G213" s="2"/>
      <c r="H213" s="2"/>
      <c r="I213" s="2"/>
      <c r="J213" s="2"/>
    </row>
    <row r="214" spans="1:10" s="22" customFormat="1">
      <c r="A214" s="48"/>
      <c r="G214" s="2"/>
      <c r="H214" s="2"/>
      <c r="I214" s="2"/>
      <c r="J214" s="2"/>
    </row>
    <row r="215" spans="1:10" s="22" customFormat="1">
      <c r="A215" s="48"/>
      <c r="G215" s="2"/>
      <c r="H215" s="2"/>
      <c r="I215" s="2"/>
      <c r="J215" s="2"/>
    </row>
    <row r="216" spans="1:10" s="22" customFormat="1">
      <c r="A216" s="48"/>
      <c r="G216" s="2"/>
      <c r="H216" s="2"/>
      <c r="I216" s="2"/>
      <c r="J216" s="2"/>
    </row>
    <row r="217" spans="1:10" s="22" customFormat="1">
      <c r="A217" s="48"/>
      <c r="G217" s="2"/>
      <c r="H217" s="2"/>
      <c r="I217" s="2"/>
      <c r="J217" s="2"/>
    </row>
    <row r="218" spans="1:10" s="22" customFormat="1">
      <c r="A218" s="48"/>
      <c r="G218" s="2"/>
      <c r="H218" s="2"/>
      <c r="I218" s="2"/>
      <c r="J218" s="2"/>
    </row>
    <row r="219" spans="1:10" s="22" customFormat="1">
      <c r="A219" s="48"/>
      <c r="G219" s="2"/>
      <c r="H219" s="2"/>
      <c r="I219" s="2"/>
      <c r="J219" s="2"/>
    </row>
    <row r="220" spans="1:10" s="22" customFormat="1">
      <c r="A220" s="48"/>
      <c r="G220" s="2"/>
      <c r="H220" s="2"/>
      <c r="I220" s="2"/>
      <c r="J220" s="2"/>
    </row>
    <row r="221" spans="1:10" s="22" customFormat="1">
      <c r="A221" s="48"/>
      <c r="G221" s="2"/>
      <c r="H221" s="2"/>
      <c r="I221" s="2"/>
      <c r="J221" s="2"/>
    </row>
    <row r="222" spans="1:10" s="22" customFormat="1">
      <c r="A222" s="48"/>
      <c r="G222" s="2"/>
      <c r="H222" s="2"/>
      <c r="I222" s="2"/>
      <c r="J222" s="2"/>
    </row>
    <row r="223" spans="1:10" s="22" customFormat="1">
      <c r="A223" s="48"/>
      <c r="G223" s="2"/>
      <c r="H223" s="2"/>
      <c r="I223" s="2"/>
      <c r="J223" s="2"/>
    </row>
    <row r="224" spans="1:10" s="22" customFormat="1">
      <c r="A224" s="48"/>
      <c r="G224" s="2"/>
      <c r="H224" s="2"/>
      <c r="I224" s="2"/>
      <c r="J224" s="2"/>
    </row>
    <row r="225" spans="1:10" s="22" customFormat="1">
      <c r="A225" s="48"/>
      <c r="G225" s="2"/>
      <c r="H225" s="2"/>
      <c r="I225" s="2"/>
      <c r="J225" s="2"/>
    </row>
    <row r="226" spans="1:10" s="22" customFormat="1">
      <c r="A226" s="48"/>
      <c r="G226" s="2"/>
      <c r="H226" s="2"/>
      <c r="I226" s="2"/>
      <c r="J226" s="2"/>
    </row>
    <row r="227" spans="1:10" s="22" customFormat="1">
      <c r="A227" s="48"/>
      <c r="G227" s="2"/>
      <c r="H227" s="2"/>
      <c r="I227" s="2"/>
      <c r="J227" s="2"/>
    </row>
    <row r="228" spans="1:10" s="22" customFormat="1">
      <c r="A228" s="48"/>
      <c r="G228" s="2"/>
      <c r="H228" s="2"/>
      <c r="I228" s="2"/>
      <c r="J228" s="2"/>
    </row>
    <row r="229" spans="1:10" s="22" customFormat="1">
      <c r="A229" s="48"/>
      <c r="G229" s="2"/>
      <c r="H229" s="2"/>
      <c r="I229" s="2"/>
      <c r="J229" s="2"/>
    </row>
    <row r="230" spans="1:10" s="22" customFormat="1">
      <c r="A230" s="48"/>
      <c r="G230" s="2"/>
      <c r="H230" s="2"/>
      <c r="I230" s="2"/>
      <c r="J230" s="2"/>
    </row>
    <row r="231" spans="1:10" s="22" customFormat="1">
      <c r="A231" s="48"/>
      <c r="G231" s="2"/>
      <c r="H231" s="2"/>
      <c r="I231" s="2"/>
      <c r="J231" s="2"/>
    </row>
    <row r="232" spans="1:10" s="22" customFormat="1">
      <c r="A232" s="48"/>
      <c r="G232" s="2"/>
      <c r="H232" s="2"/>
      <c r="I232" s="2"/>
      <c r="J232" s="2"/>
    </row>
    <row r="233" spans="1:10" s="22" customFormat="1">
      <c r="A233" s="48"/>
      <c r="G233" s="2"/>
      <c r="H233" s="2"/>
      <c r="I233" s="2"/>
      <c r="J233" s="2"/>
    </row>
    <row r="234" spans="1:10" s="22" customFormat="1">
      <c r="A234" s="48"/>
      <c r="G234" s="2"/>
      <c r="H234" s="2"/>
      <c r="I234" s="2"/>
      <c r="J234" s="2"/>
    </row>
    <row r="235" spans="1:10" s="22" customFormat="1">
      <c r="A235" s="48"/>
      <c r="G235" s="2"/>
      <c r="H235" s="2"/>
      <c r="I235" s="2"/>
      <c r="J235" s="2"/>
    </row>
    <row r="236" spans="1:10" s="22" customFormat="1">
      <c r="A236" s="48"/>
      <c r="G236" s="2"/>
      <c r="H236" s="2"/>
      <c r="I236" s="2"/>
      <c r="J236" s="2"/>
    </row>
    <row r="237" spans="1:10" s="22" customFormat="1">
      <c r="A237" s="48"/>
      <c r="G237" s="2"/>
      <c r="H237" s="2"/>
      <c r="I237" s="2"/>
      <c r="J237" s="2"/>
    </row>
    <row r="238" spans="1:10" s="22" customFormat="1">
      <c r="A238" s="48"/>
      <c r="G238" s="2"/>
      <c r="H238" s="2"/>
      <c r="I238" s="2"/>
      <c r="J238" s="2"/>
    </row>
    <row r="239" spans="1:10" s="22" customFormat="1">
      <c r="A239" s="48"/>
      <c r="G239" s="2"/>
      <c r="H239" s="2"/>
      <c r="I239" s="2"/>
      <c r="J239" s="2"/>
    </row>
    <row r="240" spans="1:10" s="22" customFormat="1">
      <c r="A240" s="48"/>
      <c r="G240" s="2"/>
      <c r="H240" s="2"/>
      <c r="I240" s="2"/>
      <c r="J240" s="2"/>
    </row>
    <row r="241" spans="1:10" s="22" customFormat="1">
      <c r="A241" s="48"/>
      <c r="G241" s="2"/>
      <c r="H241" s="2"/>
      <c r="I241" s="2"/>
      <c r="J241" s="2"/>
    </row>
    <row r="242" spans="1:10" s="22" customFormat="1">
      <c r="A242" s="48"/>
      <c r="G242" s="2"/>
      <c r="H242" s="2"/>
      <c r="I242" s="2"/>
      <c r="J242" s="2"/>
    </row>
    <row r="243" spans="1:10" s="22" customFormat="1">
      <c r="A243" s="48"/>
      <c r="G243" s="2"/>
      <c r="H243" s="2"/>
      <c r="I243" s="2"/>
      <c r="J243" s="2"/>
    </row>
    <row r="244" spans="1:10" s="22" customFormat="1">
      <c r="A244" s="48"/>
      <c r="G244" s="2"/>
      <c r="H244" s="2"/>
      <c r="I244" s="2"/>
      <c r="J244" s="2"/>
    </row>
    <row r="245" spans="1:10" s="22" customFormat="1">
      <c r="A245" s="48"/>
      <c r="G245" s="2"/>
      <c r="H245" s="2"/>
      <c r="I245" s="2"/>
      <c r="J245" s="2"/>
    </row>
    <row r="246" spans="1:10" s="22" customFormat="1">
      <c r="A246" s="48"/>
      <c r="G246" s="2"/>
      <c r="H246" s="2"/>
      <c r="I246" s="2"/>
      <c r="J246" s="2"/>
    </row>
    <row r="247" spans="1:10" s="22" customFormat="1">
      <c r="A247" s="48"/>
      <c r="G247" s="2"/>
      <c r="H247" s="2"/>
      <c r="I247" s="2"/>
      <c r="J247" s="2"/>
    </row>
    <row r="248" spans="1:10" s="22" customFormat="1">
      <c r="A248" s="48"/>
      <c r="G248" s="2"/>
      <c r="H248" s="2"/>
      <c r="I248" s="2"/>
      <c r="J248" s="2"/>
    </row>
    <row r="249" spans="1:10" s="22" customFormat="1">
      <c r="A249" s="48"/>
      <c r="G249" s="2"/>
      <c r="H249" s="2"/>
      <c r="I249" s="2"/>
      <c r="J249" s="2"/>
    </row>
    <row r="250" spans="1:10" s="22" customFormat="1">
      <c r="A250" s="48"/>
      <c r="G250" s="2"/>
      <c r="H250" s="2"/>
      <c r="I250" s="2"/>
      <c r="J250" s="2"/>
    </row>
    <row r="251" spans="1:10" s="22" customFormat="1">
      <c r="A251" s="48"/>
      <c r="G251" s="2"/>
      <c r="H251" s="2"/>
      <c r="I251" s="2"/>
      <c r="J251" s="2"/>
    </row>
    <row r="252" spans="1:10" s="22" customFormat="1">
      <c r="A252" s="48"/>
      <c r="G252" s="2"/>
      <c r="H252" s="2"/>
      <c r="I252" s="2"/>
      <c r="J252" s="2"/>
    </row>
    <row r="253" spans="1:10" s="22" customFormat="1">
      <c r="A253" s="48"/>
      <c r="G253" s="2"/>
      <c r="H253" s="2"/>
      <c r="I253" s="2"/>
      <c r="J253" s="2"/>
    </row>
    <row r="254" spans="1:10" s="22" customFormat="1">
      <c r="A254" s="48"/>
      <c r="G254" s="2"/>
      <c r="H254" s="2"/>
      <c r="I254" s="2"/>
      <c r="J254" s="2"/>
    </row>
    <row r="255" spans="1:10" s="22" customFormat="1">
      <c r="A255" s="48"/>
      <c r="G255" s="2"/>
      <c r="H255" s="2"/>
      <c r="I255" s="2"/>
      <c r="J255" s="2"/>
    </row>
    <row r="256" spans="1:10" s="22" customFormat="1">
      <c r="A256" s="48"/>
      <c r="G256" s="2"/>
      <c r="H256" s="2"/>
      <c r="I256" s="2"/>
      <c r="J256" s="2"/>
    </row>
  </sheetData>
  <sheetProtection password="C6FB" sheet="1" formatCells="0" formatColumns="0" formatRows="0"/>
  <mergeCells count="46">
    <mergeCell ref="B16:F16"/>
    <mergeCell ref="B17:F17"/>
    <mergeCell ref="A2:B2"/>
    <mergeCell ref="F2:J4"/>
    <mergeCell ref="A3:B3"/>
    <mergeCell ref="A5:B5"/>
    <mergeCell ref="G5:H5"/>
    <mergeCell ref="F6:J6"/>
    <mergeCell ref="F8:J8"/>
    <mergeCell ref="F9:J9"/>
    <mergeCell ref="A4:B4"/>
    <mergeCell ref="A6:B7"/>
    <mergeCell ref="F7:J7"/>
    <mergeCell ref="F11:J11"/>
    <mergeCell ref="B15:F15"/>
    <mergeCell ref="B23:F23"/>
    <mergeCell ref="G23:I23"/>
    <mergeCell ref="B18:F18"/>
    <mergeCell ref="B19:F19"/>
    <mergeCell ref="B20:F20"/>
    <mergeCell ref="B21:F21"/>
    <mergeCell ref="A22:F22"/>
    <mergeCell ref="G22:I22"/>
    <mergeCell ref="A53:J53"/>
    <mergeCell ref="A24:F24"/>
    <mergeCell ref="B25:F25"/>
    <mergeCell ref="B26:F26"/>
    <mergeCell ref="B27:F27"/>
    <mergeCell ref="A32:J32"/>
    <mergeCell ref="A30:J30"/>
    <mergeCell ref="C87:F87"/>
    <mergeCell ref="H87:J87"/>
    <mergeCell ref="A34:A35"/>
    <mergeCell ref="B34:B35"/>
    <mergeCell ref="E34:E35"/>
    <mergeCell ref="G34:J34"/>
    <mergeCell ref="A37:J37"/>
    <mergeCell ref="A69:J69"/>
    <mergeCell ref="C34:C35"/>
    <mergeCell ref="C86:F86"/>
    <mergeCell ref="F34:F35"/>
    <mergeCell ref="H86:J86"/>
    <mergeCell ref="D34:D35"/>
    <mergeCell ref="A67:J67"/>
    <mergeCell ref="A60:J60"/>
    <mergeCell ref="A73:J73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49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P330"/>
  <sheetViews>
    <sheetView view="pageBreakPreview" topLeftCell="A88" zoomScale="75" zoomScaleNormal="65" zoomScaleSheetLayoutView="75" workbookViewId="0">
      <selection activeCell="A68" sqref="A68"/>
    </sheetView>
  </sheetViews>
  <sheetFormatPr defaultColWidth="9.140625" defaultRowHeight="18.75"/>
  <cols>
    <col min="1" max="1" width="48.42578125" style="2" customWidth="1"/>
    <col min="2" max="2" width="14.85546875" style="22" customWidth="1"/>
    <col min="3" max="3" width="13.42578125" style="22" customWidth="1"/>
    <col min="4" max="4" width="13.7109375" style="22" customWidth="1"/>
    <col min="5" max="5" width="13.42578125" style="22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6384" width="9.140625" style="2"/>
  </cols>
  <sheetData>
    <row r="1" spans="1:14">
      <c r="A1" s="354" t="s">
        <v>380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4">
      <c r="A2" s="210"/>
      <c r="B2" s="211"/>
      <c r="C2" s="210"/>
      <c r="D2" s="210"/>
      <c r="E2" s="211"/>
      <c r="F2" s="210"/>
      <c r="G2" s="210"/>
      <c r="H2" s="210"/>
      <c r="I2" s="210"/>
      <c r="J2" s="212"/>
    </row>
    <row r="3" spans="1:14" ht="36" customHeight="1">
      <c r="A3" s="319" t="s">
        <v>279</v>
      </c>
      <c r="B3" s="320" t="s">
        <v>18</v>
      </c>
      <c r="C3" s="320" t="s">
        <v>32</v>
      </c>
      <c r="D3" s="361" t="s">
        <v>40</v>
      </c>
      <c r="E3" s="360" t="s">
        <v>185</v>
      </c>
      <c r="F3" s="320" t="s">
        <v>375</v>
      </c>
      <c r="G3" s="320"/>
      <c r="H3" s="320"/>
      <c r="I3" s="320"/>
      <c r="J3" s="320" t="s">
        <v>254</v>
      </c>
    </row>
    <row r="4" spans="1:14" ht="37.9" customHeight="1">
      <c r="A4" s="319"/>
      <c r="B4" s="320"/>
      <c r="C4" s="320"/>
      <c r="D4" s="361"/>
      <c r="E4" s="360"/>
      <c r="F4" s="213" t="s">
        <v>376</v>
      </c>
      <c r="G4" s="213" t="s">
        <v>377</v>
      </c>
      <c r="H4" s="213" t="s">
        <v>378</v>
      </c>
      <c r="I4" s="213" t="s">
        <v>87</v>
      </c>
      <c r="J4" s="320"/>
    </row>
    <row r="5" spans="1:14" ht="18" customHeight="1">
      <c r="A5" s="98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</row>
    <row r="6" spans="1:14" s="5" customFormat="1" ht="20.100000000000001" customHeight="1">
      <c r="A6" s="324" t="s">
        <v>286</v>
      </c>
      <c r="B6" s="325"/>
      <c r="C6" s="325"/>
      <c r="D6" s="325"/>
      <c r="E6" s="325"/>
      <c r="F6" s="325"/>
      <c r="G6" s="325"/>
      <c r="H6" s="325"/>
      <c r="I6" s="325"/>
      <c r="J6" s="326"/>
    </row>
    <row r="7" spans="1:14" s="5" customFormat="1" ht="42" customHeight="1">
      <c r="A7" s="72" t="s">
        <v>122</v>
      </c>
      <c r="B7" s="168">
        <v>1000</v>
      </c>
      <c r="C7" s="192">
        <f>C8</f>
        <v>0</v>
      </c>
      <c r="D7" s="192">
        <f t="shared" ref="D7:I7" si="0">D8</f>
        <v>0</v>
      </c>
      <c r="E7" s="192">
        <f t="shared" si="0"/>
        <v>0</v>
      </c>
      <c r="F7" s="192">
        <f t="shared" si="0"/>
        <v>0</v>
      </c>
      <c r="G7" s="192">
        <f t="shared" si="0"/>
        <v>0</v>
      </c>
      <c r="H7" s="192">
        <f t="shared" si="0"/>
        <v>0</v>
      </c>
      <c r="I7" s="192">
        <f t="shared" si="0"/>
        <v>250</v>
      </c>
      <c r="J7" s="215"/>
    </row>
    <row r="8" spans="1:14" s="5" customFormat="1" ht="42" customHeight="1">
      <c r="A8" s="72" t="s">
        <v>413</v>
      </c>
      <c r="B8" s="187" t="s">
        <v>407</v>
      </c>
      <c r="C8" s="204"/>
      <c r="D8" s="204"/>
      <c r="E8" s="204"/>
      <c r="F8" s="204"/>
      <c r="G8" s="204"/>
      <c r="H8" s="204"/>
      <c r="I8" s="189">
        <v>250</v>
      </c>
      <c r="J8" s="215"/>
    </row>
    <row r="9" spans="1:14" ht="35.25" customHeight="1">
      <c r="A9" s="72" t="s">
        <v>141</v>
      </c>
      <c r="B9" s="168">
        <v>1010</v>
      </c>
      <c r="C9" s="192">
        <f>SUM(C10:C17)</f>
        <v>0</v>
      </c>
      <c r="D9" s="192">
        <f t="shared" ref="D9:I9" si="1">SUM(D10:D17)</f>
        <v>0</v>
      </c>
      <c r="E9" s="192">
        <f t="shared" si="1"/>
        <v>0</v>
      </c>
      <c r="F9" s="192">
        <f t="shared" si="1"/>
        <v>235</v>
      </c>
      <c r="G9" s="192">
        <f t="shared" si="1"/>
        <v>854</v>
      </c>
      <c r="H9" s="192">
        <f>SUM(H10:H17)</f>
        <v>1456</v>
      </c>
      <c r="I9" s="192">
        <f t="shared" si="1"/>
        <v>1924</v>
      </c>
      <c r="J9" s="148"/>
    </row>
    <row r="10" spans="1:14" s="1" customFormat="1" ht="34.15" customHeight="1">
      <c r="A10" s="72" t="s">
        <v>314</v>
      </c>
      <c r="B10" s="169">
        <v>1011</v>
      </c>
      <c r="C10" s="189"/>
      <c r="D10" s="189"/>
      <c r="E10" s="189"/>
      <c r="F10" s="189"/>
      <c r="G10" s="189">
        <v>200</v>
      </c>
      <c r="H10" s="189">
        <v>337</v>
      </c>
      <c r="I10" s="189">
        <v>337</v>
      </c>
      <c r="J10" s="148"/>
    </row>
    <row r="11" spans="1:14" s="1" customFormat="1" ht="20.100000000000001" customHeight="1">
      <c r="A11" s="72" t="s">
        <v>69</v>
      </c>
      <c r="B11" s="169">
        <v>1012</v>
      </c>
      <c r="C11" s="189"/>
      <c r="D11" s="189"/>
      <c r="E11" s="189"/>
      <c r="F11" s="189"/>
      <c r="G11" s="189"/>
      <c r="H11" s="189"/>
      <c r="I11" s="189"/>
      <c r="J11" s="148"/>
    </row>
    <row r="12" spans="1:14" s="1" customFormat="1" ht="20.100000000000001" customHeight="1">
      <c r="A12" s="72" t="s">
        <v>68</v>
      </c>
      <c r="B12" s="169">
        <v>1013</v>
      </c>
      <c r="C12" s="189"/>
      <c r="D12" s="189"/>
      <c r="E12" s="189"/>
      <c r="F12" s="189"/>
      <c r="G12" s="189"/>
      <c r="H12" s="189"/>
      <c r="I12" s="189"/>
      <c r="J12" s="148"/>
    </row>
    <row r="13" spans="1:14" s="1" customFormat="1" ht="20.100000000000001" customHeight="1">
      <c r="A13" s="72" t="s">
        <v>43</v>
      </c>
      <c r="B13" s="169">
        <v>1014</v>
      </c>
      <c r="C13" s="189"/>
      <c r="D13" s="189"/>
      <c r="E13" s="189"/>
      <c r="F13" s="189">
        <v>193</v>
      </c>
      <c r="G13" s="189">
        <v>482</v>
      </c>
      <c r="H13" s="189">
        <v>770</v>
      </c>
      <c r="I13" s="189">
        <v>1060</v>
      </c>
      <c r="J13" s="148"/>
      <c r="K13" s="255">
        <f>штатка!M24/1000</f>
        <v>192.61799999999999</v>
      </c>
      <c r="L13" s="255">
        <f>штатка!N24/1000</f>
        <v>481.54500000000002</v>
      </c>
      <c r="M13" s="255">
        <f>штатка!O24/1000</f>
        <v>770.47199999999998</v>
      </c>
      <c r="N13" s="255">
        <f>штатка!P24/1000</f>
        <v>1059.3989999999999</v>
      </c>
    </row>
    <row r="14" spans="1:14" s="1" customFormat="1" ht="20.100000000000001" customHeight="1">
      <c r="A14" s="72" t="s">
        <v>44</v>
      </c>
      <c r="B14" s="169">
        <v>1015</v>
      </c>
      <c r="C14" s="189"/>
      <c r="D14" s="189"/>
      <c r="E14" s="189"/>
      <c r="F14" s="189">
        <v>42</v>
      </c>
      <c r="G14" s="189">
        <v>106</v>
      </c>
      <c r="H14" s="189">
        <v>169</v>
      </c>
      <c r="I14" s="189">
        <v>233</v>
      </c>
      <c r="J14" s="148"/>
      <c r="K14" s="255">
        <f>штатка!M25/1000</f>
        <v>42.375959999999999</v>
      </c>
      <c r="L14" s="255">
        <f>штатка!N25/1000</f>
        <v>105.93989999999999</v>
      </c>
      <c r="M14" s="255">
        <f>штатка!O25/1000</f>
        <v>169.50384</v>
      </c>
      <c r="N14" s="255">
        <f>штатка!P25/1000</f>
        <v>233.06778</v>
      </c>
    </row>
    <row r="15" spans="1:14" s="1" customFormat="1" ht="75">
      <c r="A15" s="72" t="s">
        <v>268</v>
      </c>
      <c r="B15" s="169">
        <v>1016</v>
      </c>
      <c r="C15" s="189"/>
      <c r="D15" s="189"/>
      <c r="E15" s="189"/>
      <c r="F15" s="189"/>
      <c r="G15" s="189"/>
      <c r="H15" s="189"/>
      <c r="I15" s="189"/>
      <c r="J15" s="148"/>
    </row>
    <row r="16" spans="1:14" s="1" customFormat="1" ht="37.5">
      <c r="A16" s="72" t="s">
        <v>67</v>
      </c>
      <c r="B16" s="169">
        <v>1017</v>
      </c>
      <c r="C16" s="189"/>
      <c r="D16" s="189"/>
      <c r="E16" s="189"/>
      <c r="F16" s="189"/>
      <c r="G16" s="189">
        <v>66</v>
      </c>
      <c r="H16" s="189">
        <v>180</v>
      </c>
      <c r="I16" s="189">
        <v>294</v>
      </c>
      <c r="J16" s="148"/>
    </row>
    <row r="17" spans="1:14" s="1" customFormat="1" ht="20.100000000000001" customHeight="1">
      <c r="A17" s="72" t="s">
        <v>139</v>
      </c>
      <c r="B17" s="169">
        <v>1018</v>
      </c>
      <c r="C17" s="189"/>
      <c r="D17" s="189"/>
      <c r="E17" s="189"/>
      <c r="F17" s="189"/>
      <c r="G17" s="189"/>
      <c r="H17" s="189"/>
      <c r="I17" s="189"/>
      <c r="J17" s="148"/>
    </row>
    <row r="18" spans="1:14" s="5" customFormat="1" ht="20.100000000000001" customHeight="1">
      <c r="A18" s="167" t="s">
        <v>24</v>
      </c>
      <c r="B18" s="222">
        <v>1020</v>
      </c>
      <c r="C18" s="202">
        <f t="shared" ref="C18:I18" si="2">C7-C9</f>
        <v>0</v>
      </c>
      <c r="D18" s="202">
        <f t="shared" si="2"/>
        <v>0</v>
      </c>
      <c r="E18" s="202">
        <f t="shared" si="2"/>
        <v>0</v>
      </c>
      <c r="F18" s="202">
        <f t="shared" si="2"/>
        <v>-235</v>
      </c>
      <c r="G18" s="202">
        <f t="shared" si="2"/>
        <v>-854</v>
      </c>
      <c r="H18" s="202">
        <f t="shared" si="2"/>
        <v>-1456</v>
      </c>
      <c r="I18" s="202">
        <f t="shared" si="2"/>
        <v>-1674</v>
      </c>
      <c r="J18" s="149"/>
    </row>
    <row r="19" spans="1:14" ht="37.5">
      <c r="A19" s="72" t="s">
        <v>237</v>
      </c>
      <c r="B19" s="168">
        <v>1030</v>
      </c>
      <c r="C19" s="189"/>
      <c r="D19" s="189"/>
      <c r="E19" s="189"/>
      <c r="F19" s="189"/>
      <c r="G19" s="189"/>
      <c r="H19" s="189"/>
      <c r="I19" s="189"/>
      <c r="J19" s="148"/>
    </row>
    <row r="20" spans="1:14" ht="20.100000000000001" customHeight="1">
      <c r="A20" s="72" t="s">
        <v>238</v>
      </c>
      <c r="B20" s="168">
        <v>1031</v>
      </c>
      <c r="C20" s="189"/>
      <c r="D20" s="189"/>
      <c r="E20" s="189"/>
      <c r="F20" s="189"/>
      <c r="G20" s="189"/>
      <c r="H20" s="189"/>
      <c r="I20" s="189"/>
      <c r="J20" s="148"/>
    </row>
    <row r="21" spans="1:14" ht="20.100000000000001" customHeight="1">
      <c r="A21" s="72" t="s">
        <v>245</v>
      </c>
      <c r="B21" s="168">
        <v>1040</v>
      </c>
      <c r="C21" s="192">
        <f>SUM(C22:C41)+C43</f>
        <v>0</v>
      </c>
      <c r="D21" s="192">
        <f t="shared" ref="D21:I21" si="3">SUM(D22:D41)+D43</f>
        <v>0</v>
      </c>
      <c r="E21" s="192">
        <f t="shared" si="3"/>
        <v>28</v>
      </c>
      <c r="F21" s="192">
        <f t="shared" si="3"/>
        <v>247</v>
      </c>
      <c r="G21" s="192">
        <f t="shared" si="3"/>
        <v>574</v>
      </c>
      <c r="H21" s="192">
        <f t="shared" si="3"/>
        <v>819</v>
      </c>
      <c r="I21" s="192">
        <f t="shared" si="3"/>
        <v>1130</v>
      </c>
      <c r="J21" s="148"/>
    </row>
    <row r="22" spans="1:14" ht="37.5">
      <c r="A22" s="72" t="s">
        <v>121</v>
      </c>
      <c r="B22" s="168">
        <v>1041</v>
      </c>
      <c r="C22" s="189"/>
      <c r="D22" s="189"/>
      <c r="E22" s="189"/>
      <c r="F22" s="189"/>
      <c r="G22" s="189"/>
      <c r="H22" s="189"/>
      <c r="I22" s="189"/>
      <c r="J22" s="148"/>
    </row>
    <row r="23" spans="1:14" ht="32.450000000000003" customHeight="1">
      <c r="A23" s="72" t="s">
        <v>227</v>
      </c>
      <c r="B23" s="168">
        <v>1042</v>
      </c>
      <c r="C23" s="189"/>
      <c r="D23" s="189"/>
      <c r="E23" s="189"/>
      <c r="F23" s="189"/>
      <c r="G23" s="189"/>
      <c r="H23" s="189"/>
      <c r="I23" s="189"/>
      <c r="J23" s="148"/>
    </row>
    <row r="24" spans="1:14" ht="20.100000000000001" customHeight="1">
      <c r="A24" s="72" t="s">
        <v>66</v>
      </c>
      <c r="B24" s="168">
        <v>1043</v>
      </c>
      <c r="C24" s="189"/>
      <c r="D24" s="189"/>
      <c r="E24" s="189"/>
      <c r="F24" s="189"/>
      <c r="G24" s="189"/>
      <c r="H24" s="189"/>
      <c r="I24" s="189"/>
      <c r="J24" s="148"/>
    </row>
    <row r="25" spans="1:14" ht="20.100000000000001" customHeight="1">
      <c r="A25" s="72" t="s">
        <v>22</v>
      </c>
      <c r="B25" s="168">
        <v>1044</v>
      </c>
      <c r="C25" s="189"/>
      <c r="D25" s="189"/>
      <c r="E25" s="189"/>
      <c r="F25" s="189"/>
      <c r="G25" s="189"/>
      <c r="H25" s="189"/>
      <c r="I25" s="189"/>
      <c r="J25" s="148"/>
    </row>
    <row r="26" spans="1:14" ht="20.100000000000001" customHeight="1">
      <c r="A26" s="72" t="s">
        <v>23</v>
      </c>
      <c r="B26" s="168">
        <v>1045</v>
      </c>
      <c r="C26" s="189"/>
      <c r="D26" s="189"/>
      <c r="E26" s="189"/>
      <c r="F26" s="189"/>
      <c r="G26" s="189"/>
      <c r="H26" s="189"/>
      <c r="I26" s="189"/>
      <c r="J26" s="148"/>
    </row>
    <row r="27" spans="1:14" s="1" customFormat="1" ht="20.100000000000001" customHeight="1">
      <c r="A27" s="72" t="s">
        <v>41</v>
      </c>
      <c r="B27" s="168">
        <v>1046</v>
      </c>
      <c r="C27" s="189"/>
      <c r="D27" s="189"/>
      <c r="E27" s="189"/>
      <c r="F27" s="189"/>
      <c r="G27" s="189"/>
      <c r="H27" s="189"/>
      <c r="I27" s="189"/>
      <c r="J27" s="148"/>
    </row>
    <row r="28" spans="1:14" s="1" customFormat="1" ht="20.100000000000001" customHeight="1">
      <c r="A28" s="72" t="s">
        <v>42</v>
      </c>
      <c r="B28" s="168">
        <v>1047</v>
      </c>
      <c r="C28" s="189"/>
      <c r="D28" s="189"/>
      <c r="E28" s="189"/>
      <c r="F28" s="189">
        <v>2</v>
      </c>
      <c r="G28" s="189">
        <v>4</v>
      </c>
      <c r="H28" s="189">
        <v>7</v>
      </c>
      <c r="I28" s="189">
        <v>9</v>
      </c>
      <c r="J28" s="148"/>
    </row>
    <row r="29" spans="1:14" s="1" customFormat="1" ht="20.100000000000001" customHeight="1">
      <c r="A29" s="72" t="s">
        <v>43</v>
      </c>
      <c r="B29" s="168">
        <v>1048</v>
      </c>
      <c r="C29" s="189"/>
      <c r="D29" s="189"/>
      <c r="E29" s="189">
        <v>25</v>
      </c>
      <c r="F29" s="189">
        <v>141</v>
      </c>
      <c r="G29" s="189">
        <v>313</v>
      </c>
      <c r="H29" s="189">
        <v>486</v>
      </c>
      <c r="I29" s="189">
        <v>658</v>
      </c>
      <c r="J29" s="148"/>
      <c r="K29" s="255">
        <f>штатка!M27/1000</f>
        <v>141.06800000000001</v>
      </c>
      <c r="L29" s="255">
        <f>штатка!N27/1000</f>
        <v>313.43900000000002</v>
      </c>
      <c r="M29" s="255">
        <f>штатка!O27/1000</f>
        <v>485.81</v>
      </c>
      <c r="N29" s="255">
        <f>штатка!P27/1000</f>
        <v>658.18100000000004</v>
      </c>
    </row>
    <row r="30" spans="1:14" s="1" customFormat="1" ht="20.100000000000001" customHeight="1">
      <c r="A30" s="72" t="s">
        <v>44</v>
      </c>
      <c r="B30" s="168">
        <v>1049</v>
      </c>
      <c r="C30" s="189"/>
      <c r="D30" s="189"/>
      <c r="E30" s="189">
        <v>3</v>
      </c>
      <c r="F30" s="189">
        <v>26</v>
      </c>
      <c r="G30" s="189">
        <v>59</v>
      </c>
      <c r="H30" s="189">
        <v>92</v>
      </c>
      <c r="I30" s="189">
        <v>125</v>
      </c>
      <c r="J30" s="148"/>
      <c r="K30" s="255">
        <f>штатка!M28/1000</f>
        <v>26.066320100000002</v>
      </c>
      <c r="L30" s="255">
        <f>штатка!N28/1000</f>
        <v>59.019300199999996</v>
      </c>
      <c r="M30" s="255">
        <f>штатка!O28/1000</f>
        <v>91.972280299999994</v>
      </c>
      <c r="N30" s="255">
        <f>штатка!P28/1000</f>
        <v>124.9252604</v>
      </c>
    </row>
    <row r="31" spans="1:14" s="1" customFormat="1" ht="56.25">
      <c r="A31" s="72" t="s">
        <v>45</v>
      </c>
      <c r="B31" s="168">
        <v>1050</v>
      </c>
      <c r="C31" s="189"/>
      <c r="D31" s="189"/>
      <c r="E31" s="189"/>
      <c r="F31" s="189">
        <v>7</v>
      </c>
      <c r="G31" s="189">
        <v>49</v>
      </c>
      <c r="H31" s="189">
        <v>61</v>
      </c>
      <c r="I31" s="189">
        <v>72</v>
      </c>
      <c r="J31" s="148"/>
    </row>
    <row r="32" spans="1:14" s="1" customFormat="1" ht="56.25">
      <c r="A32" s="72" t="s">
        <v>46</v>
      </c>
      <c r="B32" s="168">
        <v>1051</v>
      </c>
      <c r="C32" s="189"/>
      <c r="D32" s="189"/>
      <c r="E32" s="189"/>
      <c r="F32" s="189"/>
      <c r="G32" s="189"/>
      <c r="H32" s="189"/>
      <c r="I32" s="189"/>
      <c r="J32" s="148"/>
    </row>
    <row r="33" spans="1:10" s="1" customFormat="1" ht="37.5">
      <c r="A33" s="72" t="s">
        <v>47</v>
      </c>
      <c r="B33" s="168">
        <v>1052</v>
      </c>
      <c r="C33" s="189"/>
      <c r="D33" s="189"/>
      <c r="E33" s="189"/>
      <c r="F33" s="189"/>
      <c r="G33" s="189"/>
      <c r="H33" s="189"/>
      <c r="I33" s="189"/>
      <c r="J33" s="148"/>
    </row>
    <row r="34" spans="1:10" s="1" customFormat="1" ht="37.5">
      <c r="A34" s="72" t="s">
        <v>48</v>
      </c>
      <c r="B34" s="168">
        <v>1053</v>
      </c>
      <c r="C34" s="189"/>
      <c r="D34" s="189"/>
      <c r="E34" s="189"/>
      <c r="F34" s="189"/>
      <c r="G34" s="189"/>
      <c r="H34" s="189"/>
      <c r="I34" s="189"/>
      <c r="J34" s="148"/>
    </row>
    <row r="35" spans="1:10" s="1" customFormat="1" ht="20.100000000000001" customHeight="1">
      <c r="A35" s="72" t="s">
        <v>49</v>
      </c>
      <c r="B35" s="168">
        <v>1054</v>
      </c>
      <c r="C35" s="189"/>
      <c r="D35" s="189"/>
      <c r="E35" s="189"/>
      <c r="F35" s="189"/>
      <c r="G35" s="189"/>
      <c r="H35" s="189"/>
      <c r="I35" s="189"/>
      <c r="J35" s="148"/>
    </row>
    <row r="36" spans="1:10" s="1" customFormat="1" ht="20.100000000000001" customHeight="1">
      <c r="A36" s="72" t="s">
        <v>70</v>
      </c>
      <c r="B36" s="168">
        <v>1055</v>
      </c>
      <c r="C36" s="189"/>
      <c r="D36" s="189"/>
      <c r="E36" s="189"/>
      <c r="F36" s="189"/>
      <c r="G36" s="189"/>
      <c r="H36" s="189">
        <v>3</v>
      </c>
      <c r="I36" s="189">
        <v>3</v>
      </c>
      <c r="J36" s="148"/>
    </row>
    <row r="37" spans="1:10" s="1" customFormat="1" ht="20.100000000000001" customHeight="1">
      <c r="A37" s="72" t="s">
        <v>50</v>
      </c>
      <c r="B37" s="168">
        <v>1056</v>
      </c>
      <c r="C37" s="189"/>
      <c r="D37" s="189"/>
      <c r="E37" s="189"/>
      <c r="F37" s="189"/>
      <c r="G37" s="189"/>
      <c r="H37" s="189"/>
      <c r="I37" s="189"/>
      <c r="J37" s="148"/>
    </row>
    <row r="38" spans="1:10" s="1" customFormat="1" ht="20.100000000000001" customHeight="1">
      <c r="A38" s="72" t="s">
        <v>51</v>
      </c>
      <c r="B38" s="168">
        <v>1057</v>
      </c>
      <c r="C38" s="189"/>
      <c r="D38" s="189"/>
      <c r="E38" s="189"/>
      <c r="F38" s="189"/>
      <c r="G38" s="189"/>
      <c r="H38" s="189"/>
      <c r="I38" s="189"/>
      <c r="J38" s="148"/>
    </row>
    <row r="39" spans="1:10" s="1" customFormat="1" ht="37.5">
      <c r="A39" s="72" t="s">
        <v>52</v>
      </c>
      <c r="B39" s="168">
        <v>1058</v>
      </c>
      <c r="C39" s="189"/>
      <c r="D39" s="189"/>
      <c r="E39" s="189"/>
      <c r="F39" s="189"/>
      <c r="G39" s="189"/>
      <c r="H39" s="189"/>
      <c r="I39" s="189"/>
      <c r="J39" s="148"/>
    </row>
    <row r="40" spans="1:10" s="1" customFormat="1" ht="37.5">
      <c r="A40" s="72" t="s">
        <v>53</v>
      </c>
      <c r="B40" s="168">
        <v>1059</v>
      </c>
      <c r="C40" s="189"/>
      <c r="D40" s="189"/>
      <c r="E40" s="189"/>
      <c r="F40" s="189"/>
      <c r="G40" s="189"/>
      <c r="H40" s="189"/>
      <c r="I40" s="189"/>
      <c r="J40" s="148"/>
    </row>
    <row r="41" spans="1:10" s="1" customFormat="1" ht="75">
      <c r="A41" s="72" t="s">
        <v>83</v>
      </c>
      <c r="B41" s="168">
        <v>1060</v>
      </c>
      <c r="C41" s="189"/>
      <c r="D41" s="189"/>
      <c r="E41" s="189"/>
      <c r="F41" s="189">
        <v>3</v>
      </c>
      <c r="G41" s="189">
        <v>40</v>
      </c>
      <c r="H41" s="189">
        <v>46</v>
      </c>
      <c r="I41" s="189">
        <v>82</v>
      </c>
      <c r="J41" s="148"/>
    </row>
    <row r="42" spans="1:10" s="1" customFormat="1" ht="20.100000000000001" customHeight="1">
      <c r="A42" s="72" t="s">
        <v>54</v>
      </c>
      <c r="B42" s="168">
        <v>1061</v>
      </c>
      <c r="C42" s="189"/>
      <c r="D42" s="189"/>
      <c r="E42" s="189"/>
      <c r="F42" s="189"/>
      <c r="G42" s="189">
        <v>35</v>
      </c>
      <c r="H42" s="189">
        <v>35</v>
      </c>
      <c r="I42" s="189">
        <v>35</v>
      </c>
      <c r="J42" s="148"/>
    </row>
    <row r="43" spans="1:10" s="1" customFormat="1" ht="37.5">
      <c r="A43" s="72" t="s">
        <v>125</v>
      </c>
      <c r="B43" s="168">
        <v>1062</v>
      </c>
      <c r="C43" s="189"/>
      <c r="D43" s="189"/>
      <c r="E43" s="189"/>
      <c r="F43" s="189">
        <f>SUM(F44:F47)</f>
        <v>68</v>
      </c>
      <c r="G43" s="189">
        <f>SUM(G44:G47)</f>
        <v>109</v>
      </c>
      <c r="H43" s="189">
        <f>SUM(H44:H47)</f>
        <v>124</v>
      </c>
      <c r="I43" s="189">
        <f>SUM(I44:I47)</f>
        <v>181</v>
      </c>
      <c r="J43" s="148"/>
    </row>
    <row r="44" spans="1:10" s="1" customFormat="1" ht="37.5">
      <c r="A44" s="72" t="s">
        <v>414</v>
      </c>
      <c r="B44" s="168" t="s">
        <v>415</v>
      </c>
      <c r="C44" s="189"/>
      <c r="D44" s="189"/>
      <c r="E44" s="189"/>
      <c r="F44" s="189"/>
      <c r="G44" s="189"/>
      <c r="H44" s="189">
        <v>4</v>
      </c>
      <c r="I44" s="189">
        <v>7</v>
      </c>
      <c r="J44" s="148"/>
    </row>
    <row r="45" spans="1:10" s="1" customFormat="1">
      <c r="A45" s="72" t="s">
        <v>416</v>
      </c>
      <c r="B45" s="168" t="s">
        <v>417</v>
      </c>
      <c r="C45" s="189"/>
      <c r="D45" s="189"/>
      <c r="E45" s="189"/>
      <c r="F45" s="189">
        <v>63</v>
      </c>
      <c r="G45" s="189">
        <v>74</v>
      </c>
      <c r="H45" s="189">
        <v>82</v>
      </c>
      <c r="I45" s="189">
        <v>132</v>
      </c>
      <c r="J45" s="148"/>
    </row>
    <row r="46" spans="1:10" s="1" customFormat="1" ht="37.5">
      <c r="A46" s="72" t="s">
        <v>418</v>
      </c>
      <c r="B46" s="168" t="s">
        <v>419</v>
      </c>
      <c r="C46" s="189"/>
      <c r="D46" s="189"/>
      <c r="E46" s="189"/>
      <c r="F46" s="189">
        <v>3</v>
      </c>
      <c r="G46" s="189">
        <v>30</v>
      </c>
      <c r="H46" s="189">
        <v>30</v>
      </c>
      <c r="I46" s="189">
        <v>30</v>
      </c>
      <c r="J46" s="148"/>
    </row>
    <row r="47" spans="1:10" s="1" customFormat="1" ht="37.5">
      <c r="A47" s="72" t="s">
        <v>420</v>
      </c>
      <c r="B47" s="168" t="s">
        <v>421</v>
      </c>
      <c r="C47" s="189"/>
      <c r="D47" s="189"/>
      <c r="E47" s="189"/>
      <c r="F47" s="189">
        <v>2</v>
      </c>
      <c r="G47" s="189">
        <v>5</v>
      </c>
      <c r="H47" s="189">
        <v>8</v>
      </c>
      <c r="I47" s="189">
        <v>12</v>
      </c>
      <c r="J47" s="148"/>
    </row>
    <row r="48" spans="1:10" ht="20.100000000000001" customHeight="1">
      <c r="A48" s="72" t="s">
        <v>246</v>
      </c>
      <c r="B48" s="168">
        <v>1070</v>
      </c>
      <c r="C48" s="192">
        <f>SUM(C49:C54)</f>
        <v>0</v>
      </c>
      <c r="D48" s="192">
        <f t="shared" ref="D48:I48" si="4">SUM(D49:D54)</f>
        <v>0</v>
      </c>
      <c r="E48" s="192">
        <f t="shared" si="4"/>
        <v>0</v>
      </c>
      <c r="F48" s="192">
        <f t="shared" si="4"/>
        <v>0</v>
      </c>
      <c r="G48" s="192">
        <f t="shared" si="4"/>
        <v>0</v>
      </c>
      <c r="H48" s="192">
        <f t="shared" si="4"/>
        <v>0</v>
      </c>
      <c r="I48" s="192">
        <f t="shared" si="4"/>
        <v>0</v>
      </c>
      <c r="J48" s="148"/>
    </row>
    <row r="49" spans="1:10" s="1" customFormat="1" ht="20.100000000000001" customHeight="1">
      <c r="A49" s="72" t="s">
        <v>205</v>
      </c>
      <c r="B49" s="168">
        <v>1071</v>
      </c>
      <c r="C49" s="189"/>
      <c r="D49" s="189"/>
      <c r="E49" s="189"/>
      <c r="F49" s="189"/>
      <c r="G49" s="189"/>
      <c r="H49" s="189"/>
      <c r="I49" s="189"/>
      <c r="J49" s="148"/>
    </row>
    <row r="50" spans="1:10" s="1" customFormat="1" ht="20.100000000000001" customHeight="1">
      <c r="A50" s="72" t="s">
        <v>206</v>
      </c>
      <c r="B50" s="168">
        <v>1072</v>
      </c>
      <c r="C50" s="189"/>
      <c r="D50" s="189"/>
      <c r="E50" s="189"/>
      <c r="F50" s="189"/>
      <c r="G50" s="189"/>
      <c r="H50" s="189"/>
      <c r="I50" s="189"/>
      <c r="J50" s="148"/>
    </row>
    <row r="51" spans="1:10" s="1" customFormat="1" ht="20.100000000000001" customHeight="1">
      <c r="A51" s="72" t="s">
        <v>43</v>
      </c>
      <c r="B51" s="168">
        <v>1073</v>
      </c>
      <c r="C51" s="189"/>
      <c r="D51" s="189"/>
      <c r="E51" s="189"/>
      <c r="F51" s="189"/>
      <c r="G51" s="189"/>
      <c r="H51" s="189"/>
      <c r="I51" s="189"/>
      <c r="J51" s="148"/>
    </row>
    <row r="52" spans="1:10" s="1" customFormat="1" ht="37.5">
      <c r="A52" s="72" t="s">
        <v>67</v>
      </c>
      <c r="B52" s="168">
        <v>1074</v>
      </c>
      <c r="C52" s="189"/>
      <c r="D52" s="189"/>
      <c r="E52" s="189"/>
      <c r="F52" s="189"/>
      <c r="G52" s="189"/>
      <c r="H52" s="189"/>
      <c r="I52" s="189"/>
      <c r="J52" s="148"/>
    </row>
    <row r="53" spans="1:10" s="1" customFormat="1" ht="20.100000000000001" customHeight="1">
      <c r="A53" s="72" t="s">
        <v>86</v>
      </c>
      <c r="B53" s="168">
        <v>1075</v>
      </c>
      <c r="C53" s="189"/>
      <c r="D53" s="189"/>
      <c r="E53" s="189"/>
      <c r="F53" s="189"/>
      <c r="G53" s="189"/>
      <c r="H53" s="189"/>
      <c r="I53" s="189"/>
      <c r="J53" s="148"/>
    </row>
    <row r="54" spans="1:10" s="1" customFormat="1" ht="20.100000000000001" customHeight="1">
      <c r="A54" s="72" t="s">
        <v>140</v>
      </c>
      <c r="B54" s="168">
        <v>1076</v>
      </c>
      <c r="C54" s="189"/>
      <c r="D54" s="189"/>
      <c r="E54" s="189"/>
      <c r="F54" s="189"/>
      <c r="G54" s="189"/>
      <c r="H54" s="189"/>
      <c r="I54" s="189"/>
      <c r="J54" s="148"/>
    </row>
    <row r="55" spans="1:10" s="1" customFormat="1" ht="20.100000000000001" customHeight="1">
      <c r="A55" s="72" t="s">
        <v>44</v>
      </c>
      <c r="B55" s="187" t="s">
        <v>408</v>
      </c>
      <c r="C55" s="189"/>
      <c r="D55" s="189"/>
      <c r="E55" s="189"/>
      <c r="F55" s="189"/>
      <c r="G55" s="189"/>
      <c r="H55" s="189"/>
      <c r="I55" s="189"/>
      <c r="J55" s="148"/>
    </row>
    <row r="56" spans="1:10" s="1" customFormat="1" ht="37.5">
      <c r="A56" s="223" t="s">
        <v>88</v>
      </c>
      <c r="B56" s="168">
        <v>1080</v>
      </c>
      <c r="C56" s="192">
        <f>SUM(C57:C61)</f>
        <v>0</v>
      </c>
      <c r="D56" s="192">
        <f t="shared" ref="D56:I56" si="5">SUM(D57:D61)</f>
        <v>0</v>
      </c>
      <c r="E56" s="192">
        <f t="shared" si="5"/>
        <v>0</v>
      </c>
      <c r="F56" s="192">
        <f t="shared" si="5"/>
        <v>0</v>
      </c>
      <c r="G56" s="192">
        <f t="shared" si="5"/>
        <v>0</v>
      </c>
      <c r="H56" s="192">
        <f t="shared" si="5"/>
        <v>0</v>
      </c>
      <c r="I56" s="192">
        <f t="shared" si="5"/>
        <v>0</v>
      </c>
      <c r="J56" s="148"/>
    </row>
    <row r="57" spans="1:10" s="1" customFormat="1" ht="20.100000000000001" customHeight="1">
      <c r="A57" s="72" t="s">
        <v>77</v>
      </c>
      <c r="B57" s="168">
        <v>1081</v>
      </c>
      <c r="C57" s="189"/>
      <c r="D57" s="189"/>
      <c r="E57" s="189"/>
      <c r="F57" s="189"/>
      <c r="G57" s="189"/>
      <c r="H57" s="189"/>
      <c r="I57" s="189"/>
      <c r="J57" s="148"/>
    </row>
    <row r="58" spans="1:10" s="1" customFormat="1" ht="37.5">
      <c r="A58" s="72" t="s">
        <v>55</v>
      </c>
      <c r="B58" s="168">
        <v>1082</v>
      </c>
      <c r="C58" s="189"/>
      <c r="D58" s="189"/>
      <c r="E58" s="189"/>
      <c r="F58" s="189"/>
      <c r="G58" s="189"/>
      <c r="H58" s="189"/>
      <c r="I58" s="189"/>
      <c r="J58" s="148"/>
    </row>
    <row r="59" spans="1:10" s="1" customFormat="1" ht="37.5">
      <c r="A59" s="72" t="s">
        <v>65</v>
      </c>
      <c r="B59" s="168">
        <v>1083</v>
      </c>
      <c r="C59" s="189"/>
      <c r="D59" s="189"/>
      <c r="E59" s="189"/>
      <c r="F59" s="189"/>
      <c r="G59" s="189"/>
      <c r="H59" s="189"/>
      <c r="I59" s="189"/>
      <c r="J59" s="148"/>
    </row>
    <row r="60" spans="1:10" s="1" customFormat="1" ht="20.100000000000001" customHeight="1">
      <c r="A60" s="72" t="s">
        <v>238</v>
      </c>
      <c r="B60" s="168">
        <v>1084</v>
      </c>
      <c r="C60" s="189"/>
      <c r="D60" s="189"/>
      <c r="E60" s="189"/>
      <c r="F60" s="189"/>
      <c r="G60" s="189"/>
      <c r="H60" s="189"/>
      <c r="I60" s="189"/>
      <c r="J60" s="148"/>
    </row>
    <row r="61" spans="1:10" s="1" customFormat="1" ht="20.100000000000001" customHeight="1">
      <c r="A61" s="72" t="s">
        <v>269</v>
      </c>
      <c r="B61" s="168">
        <v>1085</v>
      </c>
      <c r="C61" s="189"/>
      <c r="D61" s="189"/>
      <c r="E61" s="189"/>
      <c r="F61" s="189"/>
      <c r="G61" s="189"/>
      <c r="H61" s="189"/>
      <c r="I61" s="189"/>
      <c r="J61" s="148"/>
    </row>
    <row r="62" spans="1:10" s="5" customFormat="1" ht="37.5">
      <c r="A62" s="167" t="s">
        <v>4</v>
      </c>
      <c r="B62" s="222">
        <v>1100</v>
      </c>
      <c r="C62" s="192">
        <f t="shared" ref="C62:I62" si="6">C18+C19-C21-C48-C56</f>
        <v>0</v>
      </c>
      <c r="D62" s="192">
        <f t="shared" si="6"/>
        <v>0</v>
      </c>
      <c r="E62" s="192">
        <f t="shared" si="6"/>
        <v>-28</v>
      </c>
      <c r="F62" s="192">
        <f t="shared" si="6"/>
        <v>-482</v>
      </c>
      <c r="G62" s="192">
        <f t="shared" si="6"/>
        <v>-1428</v>
      </c>
      <c r="H62" s="192">
        <f t="shared" si="6"/>
        <v>-2275</v>
      </c>
      <c r="I62" s="192">
        <f t="shared" si="6"/>
        <v>-2804</v>
      </c>
      <c r="J62" s="149"/>
    </row>
    <row r="63" spans="1:10" ht="37.5">
      <c r="A63" s="72" t="s">
        <v>123</v>
      </c>
      <c r="B63" s="168">
        <v>1110</v>
      </c>
      <c r="C63" s="189"/>
      <c r="D63" s="189"/>
      <c r="E63" s="189"/>
      <c r="F63" s="189"/>
      <c r="G63" s="189"/>
      <c r="H63" s="189"/>
      <c r="I63" s="189"/>
      <c r="J63" s="148"/>
    </row>
    <row r="64" spans="1:10" ht="20.100000000000001" customHeight="1">
      <c r="A64" s="72" t="s">
        <v>124</v>
      </c>
      <c r="B64" s="168">
        <v>1120</v>
      </c>
      <c r="C64" s="189"/>
      <c r="D64" s="189"/>
      <c r="E64" s="189"/>
      <c r="F64" s="189"/>
      <c r="G64" s="189"/>
      <c r="H64" s="189"/>
      <c r="I64" s="189"/>
      <c r="J64" s="148"/>
    </row>
    <row r="65" spans="1:10" ht="37.5">
      <c r="A65" s="72" t="s">
        <v>127</v>
      </c>
      <c r="B65" s="168">
        <v>1130</v>
      </c>
      <c r="C65" s="189"/>
      <c r="D65" s="189"/>
      <c r="E65" s="189"/>
      <c r="F65" s="189"/>
      <c r="G65" s="189"/>
      <c r="H65" s="189"/>
      <c r="I65" s="189"/>
      <c r="J65" s="148"/>
    </row>
    <row r="66" spans="1:10" ht="20.100000000000001" customHeight="1">
      <c r="A66" s="72" t="s">
        <v>126</v>
      </c>
      <c r="B66" s="168">
        <v>1140</v>
      </c>
      <c r="C66" s="189"/>
      <c r="D66" s="189"/>
      <c r="E66" s="189"/>
      <c r="F66" s="189"/>
      <c r="G66" s="189"/>
      <c r="H66" s="189"/>
      <c r="I66" s="189"/>
      <c r="J66" s="148"/>
    </row>
    <row r="67" spans="1:10" ht="37.5">
      <c r="A67" s="72" t="s">
        <v>239</v>
      </c>
      <c r="B67" s="168">
        <v>1150</v>
      </c>
      <c r="C67" s="189"/>
      <c r="D67" s="189"/>
      <c r="E67" s="189"/>
      <c r="F67" s="189">
        <f>F68</f>
        <v>7</v>
      </c>
      <c r="G67" s="189">
        <f>G68</f>
        <v>14</v>
      </c>
      <c r="H67" s="189">
        <f>H68</f>
        <v>21</v>
      </c>
      <c r="I67" s="189">
        <f>I68</f>
        <v>28</v>
      </c>
      <c r="J67" s="148"/>
    </row>
    <row r="68" spans="1:10">
      <c r="A68" s="72" t="s">
        <v>422</v>
      </c>
      <c r="B68" s="187" t="s">
        <v>423</v>
      </c>
      <c r="C68" s="189"/>
      <c r="D68" s="189"/>
      <c r="E68" s="189"/>
      <c r="F68" s="189">
        <v>7</v>
      </c>
      <c r="G68" s="189">
        <v>14</v>
      </c>
      <c r="H68" s="189">
        <v>21</v>
      </c>
      <c r="I68" s="189">
        <v>28</v>
      </c>
      <c r="J68" s="148"/>
    </row>
    <row r="69" spans="1:10" ht="20.100000000000001" customHeight="1">
      <c r="A69" s="72" t="s">
        <v>238</v>
      </c>
      <c r="B69" s="168">
        <v>1151</v>
      </c>
      <c r="C69" s="189"/>
      <c r="D69" s="189"/>
      <c r="E69" s="189"/>
      <c r="F69" s="189"/>
      <c r="G69" s="189"/>
      <c r="H69" s="189"/>
      <c r="I69" s="189"/>
      <c r="J69" s="148"/>
    </row>
    <row r="70" spans="1:10" ht="37.5">
      <c r="A70" s="72" t="s">
        <v>240</v>
      </c>
      <c r="B70" s="168">
        <v>1160</v>
      </c>
      <c r="C70" s="189"/>
      <c r="D70" s="189"/>
      <c r="E70" s="189"/>
      <c r="F70" s="189"/>
      <c r="G70" s="189"/>
      <c r="H70" s="189"/>
      <c r="I70" s="189"/>
      <c r="J70" s="148"/>
    </row>
    <row r="71" spans="1:10" ht="20.100000000000001" customHeight="1">
      <c r="A71" s="72" t="s">
        <v>238</v>
      </c>
      <c r="B71" s="168">
        <v>1161</v>
      </c>
      <c r="C71" s="189"/>
      <c r="D71" s="189"/>
      <c r="E71" s="189"/>
      <c r="F71" s="189"/>
      <c r="G71" s="189"/>
      <c r="H71" s="189"/>
      <c r="I71" s="189"/>
      <c r="J71" s="148"/>
    </row>
    <row r="72" spans="1:10" s="5" customFormat="1" ht="37.5">
      <c r="A72" s="167" t="s">
        <v>107</v>
      </c>
      <c r="B72" s="222">
        <v>1170</v>
      </c>
      <c r="C72" s="188">
        <f>C62+C63+C64+C67-C66-C65-C70</f>
        <v>0</v>
      </c>
      <c r="D72" s="188">
        <f t="shared" ref="D72:I72" si="7">D62+D63+D64+D67-D66-D65-D70</f>
        <v>0</v>
      </c>
      <c r="E72" s="188">
        <f t="shared" si="7"/>
        <v>-28</v>
      </c>
      <c r="F72" s="188">
        <f t="shared" si="7"/>
        <v>-475</v>
      </c>
      <c r="G72" s="188">
        <f t="shared" si="7"/>
        <v>-1414</v>
      </c>
      <c r="H72" s="188">
        <f t="shared" si="7"/>
        <v>-2254</v>
      </c>
      <c r="I72" s="188">
        <f t="shared" si="7"/>
        <v>-2776</v>
      </c>
      <c r="J72" s="149"/>
    </row>
    <row r="73" spans="1:10" ht="20.100000000000001" customHeight="1">
      <c r="A73" s="72" t="s">
        <v>156</v>
      </c>
      <c r="B73" s="168">
        <v>1180</v>
      </c>
      <c r="C73" s="189"/>
      <c r="D73" s="189"/>
      <c r="E73" s="189"/>
      <c r="F73" s="189"/>
      <c r="G73" s="189"/>
      <c r="H73" s="189"/>
      <c r="I73" s="192"/>
      <c r="J73" s="148"/>
    </row>
    <row r="74" spans="1:10" ht="37.5">
      <c r="A74" s="72" t="s">
        <v>157</v>
      </c>
      <c r="B74" s="168">
        <v>1190</v>
      </c>
      <c r="C74" s="189"/>
      <c r="D74" s="189"/>
      <c r="E74" s="189"/>
      <c r="F74" s="189"/>
      <c r="G74" s="189"/>
      <c r="H74" s="189"/>
      <c r="I74" s="189"/>
      <c r="J74" s="148"/>
    </row>
    <row r="75" spans="1:10" s="5" customFormat="1" ht="37.5">
      <c r="A75" s="167" t="s">
        <v>108</v>
      </c>
      <c r="B75" s="222">
        <v>1200</v>
      </c>
      <c r="C75" s="188">
        <f t="shared" ref="C75:I75" si="8">C72-C73-C74</f>
        <v>0</v>
      </c>
      <c r="D75" s="188">
        <f t="shared" si="8"/>
        <v>0</v>
      </c>
      <c r="E75" s="188">
        <f t="shared" si="8"/>
        <v>-28</v>
      </c>
      <c r="F75" s="188">
        <f t="shared" si="8"/>
        <v>-475</v>
      </c>
      <c r="G75" s="188">
        <f t="shared" si="8"/>
        <v>-1414</v>
      </c>
      <c r="H75" s="188">
        <f t="shared" si="8"/>
        <v>-2254</v>
      </c>
      <c r="I75" s="188">
        <f t="shared" si="8"/>
        <v>-2776</v>
      </c>
      <c r="J75" s="149"/>
    </row>
    <row r="76" spans="1:10" ht="20.100000000000001" customHeight="1">
      <c r="A76" s="72" t="s">
        <v>25</v>
      </c>
      <c r="B76" s="187">
        <v>1201</v>
      </c>
      <c r="C76" s="188">
        <f>SUMIF(C75,"&gt;0")</f>
        <v>0</v>
      </c>
      <c r="D76" s="188">
        <f t="shared" ref="D76:I76" si="9">SUMIF(D75,"&gt;0")</f>
        <v>0</v>
      </c>
      <c r="E76" s="188">
        <f t="shared" si="9"/>
        <v>0</v>
      </c>
      <c r="F76" s="188">
        <f t="shared" si="9"/>
        <v>0</v>
      </c>
      <c r="G76" s="188">
        <f t="shared" si="9"/>
        <v>0</v>
      </c>
      <c r="H76" s="188">
        <f t="shared" si="9"/>
        <v>0</v>
      </c>
      <c r="I76" s="188">
        <f t="shared" si="9"/>
        <v>0</v>
      </c>
      <c r="J76" s="148"/>
    </row>
    <row r="77" spans="1:10" ht="20.100000000000001" customHeight="1">
      <c r="A77" s="72" t="s">
        <v>26</v>
      </c>
      <c r="B77" s="187">
        <v>1202</v>
      </c>
      <c r="C77" s="188">
        <f>SUMIF(C75,"&lt;0")</f>
        <v>0</v>
      </c>
      <c r="D77" s="188">
        <f t="shared" ref="D77:I77" si="10">SUMIF(D75,"&lt;0")</f>
        <v>0</v>
      </c>
      <c r="E77" s="188">
        <f t="shared" si="10"/>
        <v>-28</v>
      </c>
      <c r="F77" s="188">
        <f t="shared" si="10"/>
        <v>-475</v>
      </c>
      <c r="G77" s="188">
        <f t="shared" si="10"/>
        <v>-1414</v>
      </c>
      <c r="H77" s="188">
        <f t="shared" si="10"/>
        <v>-2254</v>
      </c>
      <c r="I77" s="188">
        <f t="shared" si="10"/>
        <v>-2776</v>
      </c>
      <c r="J77" s="148"/>
    </row>
    <row r="78" spans="1:10" ht="19.5" customHeight="1">
      <c r="A78" s="72" t="s">
        <v>270</v>
      </c>
      <c r="B78" s="168">
        <v>1210</v>
      </c>
      <c r="C78" s="189"/>
      <c r="D78" s="189"/>
      <c r="E78" s="189"/>
      <c r="F78" s="189"/>
      <c r="G78" s="189"/>
      <c r="H78" s="189"/>
      <c r="I78" s="189"/>
      <c r="J78" s="148"/>
    </row>
    <row r="79" spans="1:10" s="5" customFormat="1" ht="20.100000000000001" customHeight="1">
      <c r="A79" s="356" t="s">
        <v>315</v>
      </c>
      <c r="B79" s="357"/>
      <c r="C79" s="357"/>
      <c r="D79" s="357"/>
      <c r="E79" s="357"/>
      <c r="F79" s="357"/>
      <c r="G79" s="357"/>
      <c r="H79" s="357"/>
      <c r="I79" s="357"/>
      <c r="J79" s="358"/>
    </row>
    <row r="80" spans="1:10" ht="42.75" customHeight="1">
      <c r="A80" s="216" t="s">
        <v>293</v>
      </c>
      <c r="B80" s="98">
        <v>1300</v>
      </c>
      <c r="C80" s="192">
        <f t="shared" ref="C80:I80" si="11">C19-C56</f>
        <v>0</v>
      </c>
      <c r="D80" s="192">
        <f t="shared" si="11"/>
        <v>0</v>
      </c>
      <c r="E80" s="192">
        <f t="shared" si="11"/>
        <v>0</v>
      </c>
      <c r="F80" s="192">
        <f t="shared" si="11"/>
        <v>0</v>
      </c>
      <c r="G80" s="192">
        <f t="shared" si="11"/>
        <v>0</v>
      </c>
      <c r="H80" s="192">
        <f t="shared" si="11"/>
        <v>0</v>
      </c>
      <c r="I80" s="192">
        <f t="shared" si="11"/>
        <v>0</v>
      </c>
      <c r="J80" s="148"/>
    </row>
    <row r="81" spans="1:14" ht="75">
      <c r="A81" s="105" t="s">
        <v>287</v>
      </c>
      <c r="B81" s="98">
        <v>1310</v>
      </c>
      <c r="C81" s="192">
        <f t="shared" ref="C81:I81" si="12">C63+C64-C65-C66</f>
        <v>0</v>
      </c>
      <c r="D81" s="192">
        <f t="shared" si="12"/>
        <v>0</v>
      </c>
      <c r="E81" s="192">
        <f t="shared" si="12"/>
        <v>0</v>
      </c>
      <c r="F81" s="192">
        <f t="shared" si="12"/>
        <v>0</v>
      </c>
      <c r="G81" s="192">
        <f t="shared" si="12"/>
        <v>0</v>
      </c>
      <c r="H81" s="192">
        <f t="shared" si="12"/>
        <v>0</v>
      </c>
      <c r="I81" s="192">
        <f t="shared" si="12"/>
        <v>0</v>
      </c>
      <c r="J81" s="148"/>
    </row>
    <row r="82" spans="1:14" ht="42.75" customHeight="1">
      <c r="A82" s="216" t="s">
        <v>288</v>
      </c>
      <c r="B82" s="98">
        <v>1320</v>
      </c>
      <c r="C82" s="192">
        <f>C67-C70</f>
        <v>0</v>
      </c>
      <c r="D82" s="192">
        <f t="shared" ref="D82:I82" si="13">D67-D70</f>
        <v>0</v>
      </c>
      <c r="E82" s="192">
        <f t="shared" si="13"/>
        <v>0</v>
      </c>
      <c r="F82" s="192">
        <f t="shared" si="13"/>
        <v>7</v>
      </c>
      <c r="G82" s="192">
        <f t="shared" si="13"/>
        <v>14</v>
      </c>
      <c r="H82" s="192">
        <f t="shared" si="13"/>
        <v>21</v>
      </c>
      <c r="I82" s="192">
        <f t="shared" si="13"/>
        <v>28</v>
      </c>
      <c r="J82" s="148"/>
    </row>
    <row r="83" spans="1:14" ht="56.25">
      <c r="A83" s="105" t="s">
        <v>373</v>
      </c>
      <c r="B83" s="214">
        <v>1330</v>
      </c>
      <c r="C83" s="192">
        <f t="shared" ref="C83:I83" si="14">C7+C19+C63+C64+C67</f>
        <v>0</v>
      </c>
      <c r="D83" s="192">
        <f t="shared" si="14"/>
        <v>0</v>
      </c>
      <c r="E83" s="192">
        <f t="shared" si="14"/>
        <v>0</v>
      </c>
      <c r="F83" s="192">
        <f t="shared" si="14"/>
        <v>7</v>
      </c>
      <c r="G83" s="192">
        <f t="shared" si="14"/>
        <v>14</v>
      </c>
      <c r="H83" s="192">
        <f t="shared" si="14"/>
        <v>21</v>
      </c>
      <c r="I83" s="192">
        <f t="shared" si="14"/>
        <v>278</v>
      </c>
      <c r="J83" s="148"/>
    </row>
    <row r="84" spans="1:14" ht="75">
      <c r="A84" s="105" t="s">
        <v>374</v>
      </c>
      <c r="B84" s="214">
        <v>1340</v>
      </c>
      <c r="C84" s="192">
        <f t="shared" ref="C84:I84" si="15">C9+C21+C48+C56+C65+C66+C70+C73+C74</f>
        <v>0</v>
      </c>
      <c r="D84" s="192">
        <f t="shared" si="15"/>
        <v>0</v>
      </c>
      <c r="E84" s="192">
        <f t="shared" si="15"/>
        <v>28</v>
      </c>
      <c r="F84" s="192">
        <f t="shared" si="15"/>
        <v>482</v>
      </c>
      <c r="G84" s="192">
        <f t="shared" si="15"/>
        <v>1428</v>
      </c>
      <c r="H84" s="192">
        <f t="shared" si="15"/>
        <v>2275</v>
      </c>
      <c r="I84" s="192">
        <f t="shared" si="15"/>
        <v>3054</v>
      </c>
      <c r="J84" s="148"/>
    </row>
    <row r="85" spans="1:14" ht="20.100000000000001" customHeight="1">
      <c r="A85" s="356" t="s">
        <v>186</v>
      </c>
      <c r="B85" s="357"/>
      <c r="C85" s="357"/>
      <c r="D85" s="357"/>
      <c r="E85" s="357"/>
      <c r="F85" s="357"/>
      <c r="G85" s="357"/>
      <c r="H85" s="357"/>
      <c r="I85" s="357"/>
      <c r="J85" s="358"/>
    </row>
    <row r="86" spans="1:14" ht="37.5">
      <c r="A86" s="105" t="s">
        <v>289</v>
      </c>
      <c r="B86" s="214">
        <v>1400</v>
      </c>
      <c r="C86" s="192">
        <f>C62</f>
        <v>0</v>
      </c>
      <c r="D86" s="192">
        <f t="shared" ref="D86:I86" si="16">D62</f>
        <v>0</v>
      </c>
      <c r="E86" s="192">
        <f t="shared" si="16"/>
        <v>-28</v>
      </c>
      <c r="F86" s="192">
        <f t="shared" si="16"/>
        <v>-482</v>
      </c>
      <c r="G86" s="192">
        <f t="shared" si="16"/>
        <v>-1428</v>
      </c>
      <c r="H86" s="192">
        <f t="shared" si="16"/>
        <v>-2275</v>
      </c>
      <c r="I86" s="192">
        <f t="shared" si="16"/>
        <v>-2804</v>
      </c>
      <c r="J86" s="148"/>
    </row>
    <row r="87" spans="1:14">
      <c r="A87" s="105" t="s">
        <v>290</v>
      </c>
      <c r="B87" s="214">
        <v>1401</v>
      </c>
      <c r="C87" s="192">
        <f>C98</f>
        <v>0</v>
      </c>
      <c r="D87" s="192">
        <f t="shared" ref="D87:I87" si="17">D98</f>
        <v>0</v>
      </c>
      <c r="E87" s="192">
        <f t="shared" si="17"/>
        <v>0</v>
      </c>
      <c r="F87" s="192">
        <f t="shared" si="17"/>
        <v>7</v>
      </c>
      <c r="G87" s="192">
        <f t="shared" si="17"/>
        <v>115</v>
      </c>
      <c r="H87" s="192">
        <f t="shared" si="17"/>
        <v>241</v>
      </c>
      <c r="I87" s="192">
        <f t="shared" si="17"/>
        <v>366</v>
      </c>
      <c r="J87" s="148"/>
    </row>
    <row r="88" spans="1:14" ht="37.5">
      <c r="A88" s="105" t="s">
        <v>291</v>
      </c>
      <c r="B88" s="214">
        <v>1402</v>
      </c>
      <c r="C88" s="192">
        <f>C20</f>
        <v>0</v>
      </c>
      <c r="D88" s="192">
        <f t="shared" ref="D88:I88" si="18">D20</f>
        <v>0</v>
      </c>
      <c r="E88" s="192">
        <f t="shared" si="18"/>
        <v>0</v>
      </c>
      <c r="F88" s="192">
        <f t="shared" si="18"/>
        <v>0</v>
      </c>
      <c r="G88" s="192">
        <f t="shared" si="18"/>
        <v>0</v>
      </c>
      <c r="H88" s="192">
        <f t="shared" si="18"/>
        <v>0</v>
      </c>
      <c r="I88" s="192">
        <f t="shared" si="18"/>
        <v>0</v>
      </c>
      <c r="J88" s="148"/>
    </row>
    <row r="89" spans="1:14" ht="37.5">
      <c r="A89" s="105" t="s">
        <v>292</v>
      </c>
      <c r="B89" s="214">
        <v>1403</v>
      </c>
      <c r="C89" s="192">
        <f>C60</f>
        <v>0</v>
      </c>
      <c r="D89" s="192">
        <f t="shared" ref="D89:I89" si="19">D60</f>
        <v>0</v>
      </c>
      <c r="E89" s="192">
        <f t="shared" si="19"/>
        <v>0</v>
      </c>
      <c r="F89" s="192">
        <f t="shared" si="19"/>
        <v>0</v>
      </c>
      <c r="G89" s="192">
        <f t="shared" si="19"/>
        <v>0</v>
      </c>
      <c r="H89" s="192">
        <f t="shared" si="19"/>
        <v>0</v>
      </c>
      <c r="I89" s="192">
        <f t="shared" si="19"/>
        <v>0</v>
      </c>
      <c r="J89" s="148"/>
    </row>
    <row r="90" spans="1:14" ht="37.5">
      <c r="A90" s="105" t="s">
        <v>359</v>
      </c>
      <c r="B90" s="214">
        <v>1404</v>
      </c>
      <c r="C90" s="217"/>
      <c r="D90" s="217"/>
      <c r="E90" s="217"/>
      <c r="F90" s="217"/>
      <c r="G90" s="217"/>
      <c r="H90" s="217"/>
      <c r="I90" s="217"/>
      <c r="J90" s="148"/>
    </row>
    <row r="91" spans="1:14" s="5" customFormat="1" ht="20.100000000000001" customHeight="1">
      <c r="A91" s="107" t="s">
        <v>160</v>
      </c>
      <c r="B91" s="218">
        <v>1410</v>
      </c>
      <c r="C91" s="202">
        <f>C86+C87-C88+C89</f>
        <v>0</v>
      </c>
      <c r="D91" s="202">
        <f t="shared" ref="D91:I91" si="20">D86+D87-D88+D89</f>
        <v>0</v>
      </c>
      <c r="E91" s="202">
        <f t="shared" si="20"/>
        <v>-28</v>
      </c>
      <c r="F91" s="202">
        <f t="shared" si="20"/>
        <v>-475</v>
      </c>
      <c r="G91" s="202">
        <f t="shared" si="20"/>
        <v>-1313</v>
      </c>
      <c r="H91" s="202">
        <f t="shared" si="20"/>
        <v>-2034</v>
      </c>
      <c r="I91" s="202">
        <f t="shared" si="20"/>
        <v>-2438</v>
      </c>
      <c r="J91" s="149"/>
    </row>
    <row r="92" spans="1:14" ht="20.100000000000001" customHeight="1">
      <c r="A92" s="356" t="s">
        <v>255</v>
      </c>
      <c r="B92" s="357"/>
      <c r="C92" s="357"/>
      <c r="D92" s="357"/>
      <c r="E92" s="357"/>
      <c r="F92" s="357"/>
      <c r="G92" s="357"/>
      <c r="H92" s="357"/>
      <c r="I92" s="357"/>
      <c r="J92" s="358"/>
    </row>
    <row r="93" spans="1:14" ht="24.6" customHeight="1">
      <c r="A93" s="8" t="s">
        <v>316</v>
      </c>
      <c r="B93" s="74">
        <v>1500</v>
      </c>
      <c r="C93" s="189"/>
      <c r="D93" s="189"/>
      <c r="E93" s="189">
        <f>E94+E95</f>
        <v>0</v>
      </c>
      <c r="F93" s="189">
        <f>F94+F95</f>
        <v>0</v>
      </c>
      <c r="G93" s="189">
        <f>G94+G95</f>
        <v>200</v>
      </c>
      <c r="H93" s="189">
        <f>H94+H95</f>
        <v>337</v>
      </c>
      <c r="I93" s="189">
        <f>I94+I95</f>
        <v>337</v>
      </c>
      <c r="J93" s="148"/>
    </row>
    <row r="94" spans="1:14" ht="34.9" customHeight="1">
      <c r="A94" s="8" t="s">
        <v>314</v>
      </c>
      <c r="B94" s="7">
        <v>1501</v>
      </c>
      <c r="C94" s="189"/>
      <c r="D94" s="189"/>
      <c r="E94" s="189">
        <f>E10</f>
        <v>0</v>
      </c>
      <c r="F94" s="189">
        <f>F10</f>
        <v>0</v>
      </c>
      <c r="G94" s="189">
        <f>G10</f>
        <v>200</v>
      </c>
      <c r="H94" s="189">
        <f>H10</f>
        <v>337</v>
      </c>
      <c r="I94" s="189">
        <f>I10</f>
        <v>337</v>
      </c>
      <c r="J94" s="148"/>
    </row>
    <row r="95" spans="1:14" ht="20.100000000000001" customHeight="1">
      <c r="A95" s="8" t="s">
        <v>29</v>
      </c>
      <c r="B95" s="7">
        <v>1502</v>
      </c>
      <c r="C95" s="189"/>
      <c r="D95" s="189"/>
      <c r="E95" s="189">
        <f>E11+E12</f>
        <v>0</v>
      </c>
      <c r="F95" s="189">
        <f>F11+F12</f>
        <v>0</v>
      </c>
      <c r="G95" s="189">
        <f>G11+G12</f>
        <v>0</v>
      </c>
      <c r="H95" s="189">
        <f>H11+H12</f>
        <v>0</v>
      </c>
      <c r="I95" s="189">
        <f>I11+I12</f>
        <v>0</v>
      </c>
      <c r="J95" s="148"/>
      <c r="K95" s="256">
        <f>штатка!M32/1000</f>
        <v>333.68599999999998</v>
      </c>
      <c r="L95" s="256">
        <f>штатка!N32/1000</f>
        <v>794.98400000000004</v>
      </c>
      <c r="M95" s="256">
        <f>штатка!O32/1000</f>
        <v>1256.2819999999999</v>
      </c>
      <c r="N95" s="256">
        <f>штатка!P32/1000</f>
        <v>1717.58</v>
      </c>
    </row>
    <row r="96" spans="1:14" ht="20.100000000000001" customHeight="1">
      <c r="A96" s="8" t="s">
        <v>5</v>
      </c>
      <c r="B96" s="74">
        <v>1510</v>
      </c>
      <c r="C96" s="189"/>
      <c r="D96" s="189"/>
      <c r="E96" s="189">
        <f t="shared" ref="E96:I97" si="21">E13+E29</f>
        <v>25</v>
      </c>
      <c r="F96" s="189">
        <f t="shared" si="21"/>
        <v>334</v>
      </c>
      <c r="G96" s="189">
        <f t="shared" si="21"/>
        <v>795</v>
      </c>
      <c r="H96" s="189">
        <f t="shared" si="21"/>
        <v>1256</v>
      </c>
      <c r="I96" s="189">
        <f t="shared" si="21"/>
        <v>1718</v>
      </c>
      <c r="J96" s="148"/>
      <c r="K96" s="256">
        <f>штатка!M33/1000</f>
        <v>68.442280100000005</v>
      </c>
      <c r="L96" s="256">
        <f>штатка!N33/1000</f>
        <v>164.9592002</v>
      </c>
      <c r="M96" s="256">
        <f>штатка!O33/1000</f>
        <v>261.47612029999999</v>
      </c>
      <c r="N96" s="256">
        <f>штатка!P33/1000</f>
        <v>357.99304039999998</v>
      </c>
    </row>
    <row r="97" spans="1:16" ht="20.100000000000001" customHeight="1">
      <c r="A97" s="8" t="s">
        <v>6</v>
      </c>
      <c r="B97" s="74">
        <v>1520</v>
      </c>
      <c r="C97" s="189"/>
      <c r="D97" s="189"/>
      <c r="E97" s="189">
        <f t="shared" si="21"/>
        <v>3</v>
      </c>
      <c r="F97" s="189">
        <f t="shared" si="21"/>
        <v>68</v>
      </c>
      <c r="G97" s="189">
        <f t="shared" si="21"/>
        <v>165</v>
      </c>
      <c r="H97" s="189">
        <f t="shared" si="21"/>
        <v>261</v>
      </c>
      <c r="I97" s="189">
        <f t="shared" si="21"/>
        <v>358</v>
      </c>
      <c r="J97" s="148"/>
      <c r="K97" s="203">
        <f>ROUND(Лист1!C17,0)</f>
        <v>68</v>
      </c>
      <c r="L97" s="203">
        <f>ROUND(Лист1!D17,0)</f>
        <v>165</v>
      </c>
      <c r="M97" s="203">
        <f>ROUND(Лист1!E17,0)</f>
        <v>261</v>
      </c>
      <c r="N97" s="203">
        <f>ROUND(Лист1!F17,0)</f>
        <v>358</v>
      </c>
      <c r="O97" s="203"/>
      <c r="P97" s="203"/>
    </row>
    <row r="98" spans="1:16" ht="20.100000000000001" customHeight="1">
      <c r="A98" s="8" t="s">
        <v>7</v>
      </c>
      <c r="B98" s="74">
        <v>1530</v>
      </c>
      <c r="C98" s="189"/>
      <c r="D98" s="189"/>
      <c r="E98" s="189">
        <f>E16+E31</f>
        <v>0</v>
      </c>
      <c r="F98" s="189">
        <f>F16+F31</f>
        <v>7</v>
      </c>
      <c r="G98" s="189">
        <f>G16+G31</f>
        <v>115</v>
      </c>
      <c r="H98" s="189">
        <f>H16+H31</f>
        <v>241</v>
      </c>
      <c r="I98" s="189">
        <f>I16+I31</f>
        <v>366</v>
      </c>
      <c r="J98" s="148"/>
      <c r="K98" s="203">
        <f>K97-F97</f>
        <v>0</v>
      </c>
      <c r="L98" s="203">
        <f>L97-G97</f>
        <v>0</v>
      </c>
      <c r="M98" s="203">
        <f>M97-H97</f>
        <v>0</v>
      </c>
      <c r="N98" s="203">
        <f>N97-I97</f>
        <v>0</v>
      </c>
    </row>
    <row r="99" spans="1:16" ht="20.100000000000001" customHeight="1">
      <c r="A99" s="8" t="s">
        <v>30</v>
      </c>
      <c r="B99" s="74">
        <v>1540</v>
      </c>
      <c r="C99" s="189"/>
      <c r="D99" s="189"/>
      <c r="E99" s="189">
        <f>E84-E73-E93-E96-E97-E98</f>
        <v>0</v>
      </c>
      <c r="F99" s="189">
        <f>F84-F73-F93-F96-F97-F98</f>
        <v>73</v>
      </c>
      <c r="G99" s="189">
        <f>G84-G73-G93-G96-G97-G98</f>
        <v>153</v>
      </c>
      <c r="H99" s="189">
        <f>H84-H73-H93-H96-H97-H98</f>
        <v>180</v>
      </c>
      <c r="I99" s="189">
        <f>I84-I73-I93-I96-I97-I98</f>
        <v>275</v>
      </c>
      <c r="J99" s="148"/>
    </row>
    <row r="100" spans="1:16" s="5" customFormat="1" ht="20.100000000000001" customHeight="1">
      <c r="A100" s="9" t="s">
        <v>61</v>
      </c>
      <c r="B100" s="73">
        <v>1550</v>
      </c>
      <c r="C100" s="190">
        <f>SUM(C93,C96:C99)</f>
        <v>0</v>
      </c>
      <c r="D100" s="190">
        <f t="shared" ref="D100:I100" si="22">SUM(D93,D96:D99)</f>
        <v>0</v>
      </c>
      <c r="E100" s="190">
        <f t="shared" si="22"/>
        <v>28</v>
      </c>
      <c r="F100" s="190">
        <f t="shared" si="22"/>
        <v>482</v>
      </c>
      <c r="G100" s="190">
        <f t="shared" si="22"/>
        <v>1428</v>
      </c>
      <c r="H100" s="190">
        <f t="shared" si="22"/>
        <v>2275</v>
      </c>
      <c r="I100" s="190">
        <f t="shared" si="22"/>
        <v>3054</v>
      </c>
      <c r="J100" s="149"/>
    </row>
    <row r="101" spans="1:16" s="5" customFormat="1" ht="20.100000000000001" customHeight="1">
      <c r="A101" s="139"/>
      <c r="B101" s="143"/>
      <c r="C101" s="144"/>
      <c r="D101" s="144"/>
      <c r="E101" s="144"/>
      <c r="F101" s="145"/>
      <c r="G101" s="145"/>
      <c r="H101" s="145"/>
      <c r="I101" s="145"/>
      <c r="J101" s="146"/>
    </row>
    <row r="102" spans="1:16" s="5" customFormat="1" ht="15.75" customHeight="1">
      <c r="A102" s="139"/>
      <c r="B102" s="143"/>
      <c r="C102" s="144"/>
      <c r="D102" s="144"/>
      <c r="E102" s="144"/>
      <c r="F102" s="145"/>
      <c r="G102" s="145"/>
      <c r="H102" s="145"/>
      <c r="I102" s="145"/>
      <c r="J102" s="146"/>
    </row>
    <row r="103" spans="1:16" ht="16.5" customHeight="1">
      <c r="A103" s="115"/>
      <c r="B103" s="111"/>
      <c r="C103" s="137"/>
      <c r="D103" s="138"/>
      <c r="E103" s="138"/>
      <c r="F103" s="138"/>
      <c r="G103" s="138"/>
      <c r="H103" s="138"/>
      <c r="I103" s="138"/>
      <c r="J103" s="110"/>
    </row>
    <row r="104" spans="1:16" ht="37.5">
      <c r="A104" s="314" t="s">
        <v>553</v>
      </c>
      <c r="B104" s="140"/>
      <c r="C104" s="359" t="s">
        <v>265</v>
      </c>
      <c r="D104" s="359"/>
      <c r="E104" s="359"/>
      <c r="F104" s="141"/>
      <c r="G104" s="336" t="s">
        <v>547</v>
      </c>
      <c r="H104" s="336"/>
      <c r="I104" s="336"/>
      <c r="J104" s="110"/>
    </row>
    <row r="105" spans="1:16" s="1" customFormat="1" ht="20.100000000000001" customHeight="1">
      <c r="A105" s="97" t="s">
        <v>264</v>
      </c>
      <c r="B105" s="110"/>
      <c r="C105" s="355" t="s">
        <v>344</v>
      </c>
      <c r="D105" s="355"/>
      <c r="E105" s="355"/>
      <c r="F105" s="142"/>
      <c r="G105" s="318" t="s">
        <v>116</v>
      </c>
      <c r="H105" s="318"/>
      <c r="I105" s="318"/>
      <c r="J105" s="147"/>
    </row>
    <row r="106" spans="1:16" ht="20.100000000000001" customHeight="1">
      <c r="A106" s="25"/>
      <c r="C106" s="30"/>
      <c r="D106" s="26"/>
      <c r="E106" s="26"/>
      <c r="F106" s="26"/>
      <c r="G106" s="26"/>
      <c r="H106" s="26"/>
      <c r="I106" s="26"/>
    </row>
    <row r="107" spans="1:16">
      <c r="A107" s="25"/>
      <c r="C107" s="30"/>
      <c r="D107" s="26"/>
      <c r="E107" s="26"/>
      <c r="F107" s="26"/>
      <c r="G107" s="26"/>
      <c r="H107" s="26"/>
      <c r="I107" s="26"/>
    </row>
    <row r="108" spans="1:16">
      <c r="A108" s="25"/>
      <c r="C108" s="30"/>
      <c r="D108" s="26"/>
      <c r="E108" s="26"/>
      <c r="F108" s="26"/>
      <c r="G108" s="26"/>
      <c r="H108" s="26"/>
      <c r="I108" s="26"/>
    </row>
    <row r="109" spans="1:16">
      <c r="A109" s="25"/>
      <c r="C109" s="30"/>
      <c r="D109" s="26"/>
      <c r="E109" s="26"/>
      <c r="F109" s="26"/>
      <c r="G109" s="26"/>
      <c r="H109" s="26"/>
      <c r="I109" s="26"/>
    </row>
    <row r="110" spans="1:16">
      <c r="A110" s="25"/>
      <c r="C110" s="30"/>
      <c r="D110" s="26"/>
      <c r="E110" s="26"/>
      <c r="F110" s="26"/>
      <c r="G110" s="26"/>
      <c r="H110" s="26"/>
      <c r="I110" s="26"/>
    </row>
    <row r="111" spans="1:16">
      <c r="A111" s="25"/>
      <c r="C111" s="30"/>
      <c r="D111" s="26"/>
      <c r="E111" s="26"/>
      <c r="F111" s="26"/>
      <c r="G111" s="26"/>
      <c r="H111" s="26"/>
      <c r="I111" s="26"/>
    </row>
    <row r="112" spans="1:16">
      <c r="A112" s="25"/>
      <c r="C112" s="30"/>
      <c r="D112" s="26"/>
      <c r="E112" s="26"/>
      <c r="F112" s="26"/>
      <c r="G112" s="26"/>
      <c r="H112" s="26"/>
      <c r="I112" s="26"/>
    </row>
    <row r="113" spans="1:9">
      <c r="A113" s="25"/>
      <c r="C113" s="30"/>
      <c r="D113" s="26"/>
      <c r="E113" s="26"/>
      <c r="F113" s="26"/>
      <c r="G113" s="26"/>
      <c r="H113" s="26"/>
      <c r="I113" s="26"/>
    </row>
    <row r="114" spans="1:9">
      <c r="A114" s="25"/>
      <c r="C114" s="30"/>
      <c r="D114" s="26"/>
      <c r="E114" s="26"/>
      <c r="F114" s="26"/>
      <c r="G114" s="26"/>
      <c r="H114" s="26"/>
      <c r="I114" s="26"/>
    </row>
    <row r="115" spans="1:9">
      <c r="A115" s="25"/>
      <c r="C115" s="30"/>
      <c r="D115" s="26"/>
      <c r="E115" s="26"/>
      <c r="F115" s="26"/>
      <c r="G115" s="26"/>
      <c r="H115" s="26"/>
      <c r="I115" s="26"/>
    </row>
    <row r="116" spans="1:9">
      <c r="A116" s="25"/>
      <c r="C116" s="30"/>
      <c r="D116" s="26"/>
      <c r="E116" s="26"/>
      <c r="F116" s="26"/>
      <c r="G116" s="26"/>
      <c r="H116" s="26"/>
      <c r="I116" s="26"/>
    </row>
    <row r="117" spans="1:9">
      <c r="A117" s="25"/>
      <c r="C117" s="30"/>
      <c r="D117" s="26"/>
      <c r="E117" s="26"/>
      <c r="F117" s="26"/>
      <c r="G117" s="26"/>
      <c r="H117" s="26"/>
      <c r="I117" s="26"/>
    </row>
    <row r="118" spans="1:9">
      <c r="A118" s="25"/>
      <c r="C118" s="30"/>
      <c r="D118" s="26"/>
      <c r="E118" s="26"/>
      <c r="F118" s="26"/>
      <c r="G118" s="26"/>
      <c r="H118" s="26"/>
      <c r="I118" s="26"/>
    </row>
    <row r="119" spans="1:9">
      <c r="A119" s="25"/>
      <c r="C119" s="30"/>
      <c r="D119" s="26"/>
      <c r="E119" s="26"/>
      <c r="F119" s="26"/>
      <c r="G119" s="26"/>
      <c r="H119" s="26"/>
      <c r="I119" s="26"/>
    </row>
    <row r="120" spans="1:9">
      <c r="A120" s="25"/>
      <c r="C120" s="30"/>
      <c r="D120" s="26"/>
      <c r="E120" s="26"/>
      <c r="F120" s="26"/>
      <c r="G120" s="26"/>
      <c r="H120" s="26"/>
      <c r="I120" s="26"/>
    </row>
    <row r="121" spans="1:9">
      <c r="A121" s="25"/>
      <c r="C121" s="30"/>
      <c r="D121" s="26"/>
      <c r="E121" s="26"/>
      <c r="F121" s="26"/>
      <c r="G121" s="26"/>
      <c r="H121" s="26"/>
      <c r="I121" s="26"/>
    </row>
    <row r="122" spans="1:9">
      <c r="A122" s="25"/>
      <c r="C122" s="30"/>
      <c r="D122" s="26"/>
      <c r="E122" s="26"/>
      <c r="F122" s="26"/>
      <c r="G122" s="26"/>
      <c r="H122" s="26"/>
      <c r="I122" s="26"/>
    </row>
    <row r="123" spans="1:9">
      <c r="A123" s="25"/>
      <c r="C123" s="30"/>
      <c r="D123" s="26"/>
      <c r="E123" s="26"/>
      <c r="F123" s="26"/>
      <c r="G123" s="26"/>
      <c r="H123" s="26"/>
      <c r="I123" s="26"/>
    </row>
    <row r="124" spans="1:9">
      <c r="A124" s="25"/>
      <c r="C124" s="30"/>
      <c r="D124" s="26"/>
      <c r="E124" s="26"/>
      <c r="F124" s="26"/>
      <c r="G124" s="26"/>
      <c r="H124" s="26"/>
      <c r="I124" s="26"/>
    </row>
    <row r="125" spans="1:9">
      <c r="A125" s="25"/>
      <c r="C125" s="30"/>
      <c r="D125" s="26"/>
      <c r="E125" s="26"/>
      <c r="F125" s="26"/>
      <c r="G125" s="26"/>
      <c r="H125" s="26"/>
      <c r="I125" s="26"/>
    </row>
    <row r="126" spans="1:9">
      <c r="A126" s="25"/>
      <c r="C126" s="30"/>
      <c r="D126" s="26"/>
      <c r="E126" s="26"/>
      <c r="F126" s="26"/>
      <c r="G126" s="26"/>
      <c r="H126" s="26"/>
      <c r="I126" s="26"/>
    </row>
    <row r="127" spans="1:9">
      <c r="A127" s="25"/>
      <c r="C127" s="30"/>
      <c r="D127" s="26"/>
      <c r="E127" s="26"/>
      <c r="F127" s="26"/>
      <c r="G127" s="26"/>
      <c r="H127" s="26"/>
      <c r="I127" s="26"/>
    </row>
    <row r="128" spans="1:9">
      <c r="A128" s="25"/>
      <c r="C128" s="30"/>
      <c r="D128" s="26"/>
      <c r="E128" s="26"/>
      <c r="F128" s="26"/>
      <c r="G128" s="26"/>
      <c r="H128" s="26"/>
      <c r="I128" s="26"/>
    </row>
    <row r="129" spans="1:9">
      <c r="A129" s="25"/>
      <c r="C129" s="30"/>
      <c r="D129" s="26"/>
      <c r="E129" s="26"/>
      <c r="F129" s="26"/>
      <c r="G129" s="26"/>
      <c r="H129" s="26"/>
      <c r="I129" s="26"/>
    </row>
    <row r="130" spans="1:9">
      <c r="A130" s="25"/>
      <c r="C130" s="30"/>
      <c r="D130" s="26"/>
      <c r="E130" s="26"/>
      <c r="F130" s="26"/>
      <c r="G130" s="26"/>
      <c r="H130" s="26"/>
      <c r="I130" s="26"/>
    </row>
    <row r="131" spans="1:9">
      <c r="A131" s="25"/>
      <c r="C131" s="30"/>
      <c r="D131" s="26"/>
      <c r="E131" s="26"/>
      <c r="F131" s="26"/>
      <c r="G131" s="26"/>
      <c r="H131" s="26"/>
      <c r="I131" s="26"/>
    </row>
    <row r="132" spans="1:9">
      <c r="A132" s="25"/>
      <c r="C132" s="30"/>
      <c r="D132" s="26"/>
      <c r="E132" s="26"/>
      <c r="F132" s="26"/>
      <c r="G132" s="26"/>
      <c r="H132" s="26"/>
      <c r="I132" s="26"/>
    </row>
    <row r="133" spans="1:9">
      <c r="A133" s="25"/>
      <c r="C133" s="30"/>
      <c r="D133" s="26"/>
      <c r="E133" s="26"/>
      <c r="F133" s="26"/>
      <c r="G133" s="26"/>
      <c r="H133" s="26"/>
      <c r="I133" s="26"/>
    </row>
    <row r="134" spans="1:9">
      <c r="A134" s="25"/>
      <c r="C134" s="30"/>
      <c r="D134" s="26"/>
      <c r="E134" s="26"/>
      <c r="F134" s="26"/>
      <c r="G134" s="26"/>
      <c r="H134" s="26"/>
      <c r="I134" s="26"/>
    </row>
    <row r="135" spans="1:9">
      <c r="A135" s="25"/>
      <c r="C135" s="30"/>
      <c r="D135" s="26"/>
      <c r="E135" s="26"/>
      <c r="F135" s="26"/>
      <c r="G135" s="26"/>
      <c r="H135" s="26"/>
      <c r="I135" s="26"/>
    </row>
    <row r="136" spans="1:9">
      <c r="A136" s="25"/>
      <c r="C136" s="30"/>
      <c r="D136" s="26"/>
      <c r="E136" s="26"/>
      <c r="F136" s="26"/>
      <c r="G136" s="26"/>
      <c r="H136" s="26"/>
      <c r="I136" s="26"/>
    </row>
    <row r="137" spans="1:9">
      <c r="A137" s="25"/>
      <c r="C137" s="30"/>
      <c r="D137" s="26"/>
      <c r="E137" s="26"/>
      <c r="F137" s="26"/>
      <c r="G137" s="26"/>
      <c r="H137" s="26"/>
      <c r="I137" s="26"/>
    </row>
    <row r="138" spans="1:9">
      <c r="A138" s="25"/>
      <c r="C138" s="30"/>
      <c r="D138" s="26"/>
      <c r="E138" s="26"/>
      <c r="F138" s="26"/>
      <c r="G138" s="26"/>
      <c r="H138" s="26"/>
      <c r="I138" s="26"/>
    </row>
    <row r="139" spans="1:9">
      <c r="A139" s="25"/>
      <c r="C139" s="30"/>
      <c r="D139" s="26"/>
      <c r="E139" s="26"/>
      <c r="F139" s="26"/>
      <c r="G139" s="26"/>
      <c r="H139" s="26"/>
      <c r="I139" s="26"/>
    </row>
    <row r="140" spans="1:9">
      <c r="A140" s="25"/>
      <c r="C140" s="30"/>
      <c r="D140" s="26"/>
      <c r="E140" s="26"/>
      <c r="F140" s="26"/>
      <c r="G140" s="26"/>
      <c r="H140" s="26"/>
      <c r="I140" s="26"/>
    </row>
    <row r="141" spans="1:9">
      <c r="A141" s="25"/>
      <c r="C141" s="30"/>
      <c r="D141" s="26"/>
      <c r="E141" s="26"/>
      <c r="F141" s="26"/>
      <c r="G141" s="26"/>
      <c r="H141" s="26"/>
      <c r="I141" s="26"/>
    </row>
    <row r="142" spans="1:9">
      <c r="A142" s="25"/>
      <c r="C142" s="30"/>
      <c r="D142" s="26"/>
      <c r="E142" s="26"/>
      <c r="F142" s="26"/>
      <c r="G142" s="26"/>
      <c r="H142" s="26"/>
      <c r="I142" s="26"/>
    </row>
    <row r="143" spans="1:9">
      <c r="A143" s="25"/>
      <c r="C143" s="30"/>
      <c r="D143" s="26"/>
      <c r="E143" s="26"/>
      <c r="F143" s="26"/>
      <c r="G143" s="26"/>
      <c r="H143" s="26"/>
      <c r="I143" s="26"/>
    </row>
    <row r="144" spans="1:9">
      <c r="A144" s="25"/>
      <c r="C144" s="30"/>
      <c r="D144" s="26"/>
      <c r="E144" s="26"/>
      <c r="F144" s="26"/>
      <c r="G144" s="26"/>
      <c r="H144" s="26"/>
      <c r="I144" s="26"/>
    </row>
    <row r="145" spans="1:9">
      <c r="A145" s="25"/>
      <c r="C145" s="30"/>
      <c r="D145" s="26"/>
      <c r="E145" s="26"/>
      <c r="F145" s="26"/>
      <c r="G145" s="26"/>
      <c r="H145" s="26"/>
      <c r="I145" s="26"/>
    </row>
    <row r="146" spans="1:9">
      <c r="A146" s="25"/>
      <c r="C146" s="30"/>
      <c r="D146" s="26"/>
      <c r="E146" s="26"/>
      <c r="F146" s="26"/>
      <c r="G146" s="26"/>
      <c r="H146" s="26"/>
      <c r="I146" s="26"/>
    </row>
    <row r="147" spans="1:9">
      <c r="A147" s="25"/>
      <c r="C147" s="30"/>
      <c r="D147" s="26"/>
      <c r="E147" s="26"/>
      <c r="F147" s="26"/>
      <c r="G147" s="26"/>
      <c r="H147" s="26"/>
      <c r="I147" s="26"/>
    </row>
    <row r="148" spans="1:9">
      <c r="A148" s="25"/>
      <c r="C148" s="30"/>
      <c r="D148" s="26"/>
      <c r="E148" s="26"/>
      <c r="F148" s="26"/>
      <c r="G148" s="26"/>
      <c r="H148" s="26"/>
      <c r="I148" s="26"/>
    </row>
    <row r="149" spans="1:9">
      <c r="A149" s="25"/>
      <c r="C149" s="30"/>
      <c r="D149" s="26"/>
      <c r="E149" s="26"/>
      <c r="F149" s="26"/>
      <c r="G149" s="26"/>
      <c r="H149" s="26"/>
      <c r="I149" s="26"/>
    </row>
    <row r="150" spans="1:9">
      <c r="A150" s="25"/>
      <c r="C150" s="30"/>
      <c r="D150" s="26"/>
      <c r="E150" s="26"/>
      <c r="F150" s="26"/>
      <c r="G150" s="26"/>
      <c r="H150" s="26"/>
      <c r="I150" s="26"/>
    </row>
    <row r="151" spans="1:9">
      <c r="A151" s="25"/>
      <c r="C151" s="30"/>
      <c r="D151" s="26"/>
      <c r="E151" s="26"/>
      <c r="F151" s="26"/>
      <c r="G151" s="26"/>
      <c r="H151" s="26"/>
      <c r="I151" s="26"/>
    </row>
    <row r="152" spans="1:9">
      <c r="A152" s="25"/>
      <c r="C152" s="30"/>
      <c r="D152" s="26"/>
      <c r="E152" s="26"/>
      <c r="F152" s="26"/>
      <c r="G152" s="26"/>
      <c r="H152" s="26"/>
      <c r="I152" s="26"/>
    </row>
    <row r="153" spans="1:9">
      <c r="A153" s="25"/>
      <c r="C153" s="30"/>
      <c r="D153" s="26"/>
      <c r="E153" s="26"/>
      <c r="F153" s="26"/>
      <c r="G153" s="26"/>
      <c r="H153" s="26"/>
      <c r="I153" s="26"/>
    </row>
    <row r="154" spans="1:9">
      <c r="A154" s="25"/>
      <c r="C154" s="30"/>
      <c r="D154" s="26"/>
      <c r="E154" s="26"/>
      <c r="F154" s="26"/>
      <c r="G154" s="26"/>
      <c r="H154" s="26"/>
      <c r="I154" s="26"/>
    </row>
    <row r="155" spans="1:9">
      <c r="A155" s="25"/>
      <c r="C155" s="30"/>
      <c r="D155" s="26"/>
      <c r="E155" s="26"/>
      <c r="F155" s="26"/>
      <c r="G155" s="26"/>
      <c r="H155" s="26"/>
      <c r="I155" s="26"/>
    </row>
    <row r="156" spans="1:9">
      <c r="A156" s="25"/>
      <c r="C156" s="30"/>
      <c r="D156" s="26"/>
      <c r="E156" s="26"/>
      <c r="F156" s="26"/>
      <c r="G156" s="26"/>
      <c r="H156" s="26"/>
      <c r="I156" s="26"/>
    </row>
    <row r="157" spans="1:9">
      <c r="A157" s="25"/>
      <c r="C157" s="30"/>
      <c r="D157" s="26"/>
      <c r="E157" s="26"/>
      <c r="F157" s="26"/>
      <c r="G157" s="26"/>
      <c r="H157" s="26"/>
      <c r="I157" s="26"/>
    </row>
    <row r="158" spans="1:9">
      <c r="A158" s="25"/>
      <c r="C158" s="30"/>
      <c r="D158" s="26"/>
      <c r="E158" s="26"/>
      <c r="F158" s="26"/>
      <c r="G158" s="26"/>
      <c r="H158" s="26"/>
      <c r="I158" s="26"/>
    </row>
    <row r="159" spans="1:9">
      <c r="A159" s="25"/>
      <c r="C159" s="30"/>
      <c r="D159" s="26"/>
      <c r="E159" s="26"/>
      <c r="F159" s="26"/>
      <c r="G159" s="26"/>
      <c r="H159" s="26"/>
      <c r="I159" s="26"/>
    </row>
    <row r="160" spans="1:9">
      <c r="A160" s="25"/>
      <c r="C160" s="30"/>
      <c r="D160" s="26"/>
      <c r="E160" s="26"/>
      <c r="F160" s="26"/>
      <c r="G160" s="26"/>
      <c r="H160" s="26"/>
      <c r="I160" s="26"/>
    </row>
    <row r="161" spans="1:9">
      <c r="A161" s="25"/>
      <c r="C161" s="30"/>
      <c r="D161" s="26"/>
      <c r="E161" s="26"/>
      <c r="F161" s="26"/>
      <c r="G161" s="26"/>
      <c r="H161" s="26"/>
      <c r="I161" s="26"/>
    </row>
    <row r="162" spans="1:9">
      <c r="A162" s="25"/>
      <c r="C162" s="30"/>
      <c r="D162" s="26"/>
      <c r="E162" s="26"/>
      <c r="F162" s="26"/>
      <c r="G162" s="26"/>
      <c r="H162" s="26"/>
      <c r="I162" s="26"/>
    </row>
    <row r="163" spans="1:9">
      <c r="A163" s="25"/>
      <c r="C163" s="30"/>
      <c r="D163" s="26"/>
      <c r="E163" s="26"/>
      <c r="F163" s="26"/>
      <c r="G163" s="26"/>
      <c r="H163" s="26"/>
      <c r="I163" s="26"/>
    </row>
    <row r="164" spans="1:9">
      <c r="A164" s="48"/>
    </row>
    <row r="165" spans="1:9">
      <c r="A165" s="48"/>
    </row>
    <row r="166" spans="1:9">
      <c r="A166" s="48"/>
    </row>
    <row r="167" spans="1:9">
      <c r="A167" s="48"/>
    </row>
    <row r="168" spans="1:9">
      <c r="A168" s="48"/>
    </row>
    <row r="169" spans="1:9">
      <c r="A169" s="48"/>
    </row>
    <row r="170" spans="1:9">
      <c r="A170" s="48"/>
    </row>
    <row r="171" spans="1:9">
      <c r="A171" s="48"/>
    </row>
    <row r="172" spans="1:9">
      <c r="A172" s="48"/>
    </row>
    <row r="173" spans="1:9">
      <c r="A173" s="48"/>
    </row>
    <row r="174" spans="1:9">
      <c r="A174" s="48"/>
    </row>
    <row r="175" spans="1:9">
      <c r="A175" s="48"/>
    </row>
    <row r="176" spans="1:9">
      <c r="A176" s="48"/>
    </row>
    <row r="177" spans="1:1">
      <c r="A177" s="48"/>
    </row>
    <row r="178" spans="1:1">
      <c r="A178" s="48"/>
    </row>
    <row r="179" spans="1:1">
      <c r="A179" s="48"/>
    </row>
    <row r="180" spans="1:1">
      <c r="A180" s="48"/>
    </row>
    <row r="181" spans="1:1">
      <c r="A181" s="48"/>
    </row>
    <row r="182" spans="1:1">
      <c r="A182" s="48"/>
    </row>
    <row r="183" spans="1:1">
      <c r="A183" s="48"/>
    </row>
    <row r="184" spans="1:1">
      <c r="A184" s="48"/>
    </row>
    <row r="185" spans="1:1">
      <c r="A185" s="48"/>
    </row>
    <row r="186" spans="1:1">
      <c r="A186" s="48"/>
    </row>
    <row r="187" spans="1:1">
      <c r="A187" s="48"/>
    </row>
    <row r="188" spans="1:1">
      <c r="A188" s="48"/>
    </row>
    <row r="189" spans="1:1">
      <c r="A189" s="48"/>
    </row>
    <row r="190" spans="1:1">
      <c r="A190" s="48"/>
    </row>
    <row r="191" spans="1:1">
      <c r="A191" s="48"/>
    </row>
    <row r="192" spans="1:1">
      <c r="A192" s="48"/>
    </row>
    <row r="193" spans="1:1">
      <c r="A193" s="48"/>
    </row>
    <row r="194" spans="1:1">
      <c r="A194" s="48"/>
    </row>
    <row r="195" spans="1:1">
      <c r="A195" s="48"/>
    </row>
    <row r="196" spans="1:1">
      <c r="A196" s="48"/>
    </row>
    <row r="197" spans="1:1">
      <c r="A197" s="48"/>
    </row>
    <row r="198" spans="1:1">
      <c r="A198" s="48"/>
    </row>
    <row r="199" spans="1:1">
      <c r="A199" s="48"/>
    </row>
    <row r="200" spans="1:1">
      <c r="A200" s="48"/>
    </row>
    <row r="201" spans="1:1">
      <c r="A201" s="48"/>
    </row>
    <row r="202" spans="1:1">
      <c r="A202" s="48"/>
    </row>
    <row r="203" spans="1:1">
      <c r="A203" s="48"/>
    </row>
    <row r="204" spans="1:1">
      <c r="A204" s="48"/>
    </row>
    <row r="205" spans="1:1">
      <c r="A205" s="48"/>
    </row>
    <row r="206" spans="1:1">
      <c r="A206" s="48"/>
    </row>
    <row r="207" spans="1:1">
      <c r="A207" s="48"/>
    </row>
    <row r="208" spans="1:1">
      <c r="A208" s="48"/>
    </row>
    <row r="209" spans="1:1">
      <c r="A209" s="48"/>
    </row>
    <row r="210" spans="1:1">
      <c r="A210" s="48"/>
    </row>
    <row r="211" spans="1:1">
      <c r="A211" s="48"/>
    </row>
    <row r="212" spans="1:1">
      <c r="A212" s="48"/>
    </row>
    <row r="213" spans="1:1">
      <c r="A213" s="48"/>
    </row>
    <row r="214" spans="1:1">
      <c r="A214" s="48"/>
    </row>
    <row r="215" spans="1:1">
      <c r="A215" s="48"/>
    </row>
    <row r="216" spans="1:1">
      <c r="A216" s="48"/>
    </row>
    <row r="217" spans="1:1">
      <c r="A217" s="48"/>
    </row>
    <row r="218" spans="1:1">
      <c r="A218" s="48"/>
    </row>
    <row r="219" spans="1:1">
      <c r="A219" s="48"/>
    </row>
    <row r="220" spans="1:1">
      <c r="A220" s="48"/>
    </row>
    <row r="221" spans="1:1">
      <c r="A221" s="48"/>
    </row>
    <row r="222" spans="1:1">
      <c r="A222" s="48"/>
    </row>
    <row r="223" spans="1:1">
      <c r="A223" s="48"/>
    </row>
    <row r="224" spans="1:1">
      <c r="A224" s="48"/>
    </row>
    <row r="225" spans="1:1">
      <c r="A225" s="48"/>
    </row>
    <row r="226" spans="1:1">
      <c r="A226" s="48"/>
    </row>
    <row r="227" spans="1:1">
      <c r="A227" s="48"/>
    </row>
    <row r="228" spans="1:1">
      <c r="A228" s="48"/>
    </row>
    <row r="229" spans="1:1">
      <c r="A229" s="48"/>
    </row>
    <row r="230" spans="1:1">
      <c r="A230" s="48"/>
    </row>
    <row r="231" spans="1:1">
      <c r="A231" s="48"/>
    </row>
    <row r="232" spans="1:1">
      <c r="A232" s="48"/>
    </row>
    <row r="233" spans="1:1">
      <c r="A233" s="48"/>
    </row>
    <row r="234" spans="1:1">
      <c r="A234" s="48"/>
    </row>
    <row r="235" spans="1:1">
      <c r="A235" s="48"/>
    </row>
    <row r="236" spans="1:1">
      <c r="A236" s="48"/>
    </row>
    <row r="237" spans="1:1">
      <c r="A237" s="48"/>
    </row>
    <row r="238" spans="1:1">
      <c r="A238" s="48"/>
    </row>
    <row r="239" spans="1:1">
      <c r="A239" s="48"/>
    </row>
    <row r="240" spans="1:1">
      <c r="A240" s="48"/>
    </row>
    <row r="241" spans="1:1">
      <c r="A241" s="48"/>
    </row>
    <row r="242" spans="1:1">
      <c r="A242" s="48"/>
    </row>
    <row r="243" spans="1:1">
      <c r="A243" s="48"/>
    </row>
    <row r="244" spans="1:1">
      <c r="A244" s="48"/>
    </row>
    <row r="245" spans="1:1">
      <c r="A245" s="48"/>
    </row>
    <row r="246" spans="1:1">
      <c r="A246" s="48"/>
    </row>
    <row r="247" spans="1:1">
      <c r="A247" s="48"/>
    </row>
    <row r="248" spans="1:1">
      <c r="A248" s="48"/>
    </row>
    <row r="249" spans="1:1">
      <c r="A249" s="48"/>
    </row>
    <row r="250" spans="1:1">
      <c r="A250" s="48"/>
    </row>
    <row r="251" spans="1:1">
      <c r="A251" s="48"/>
    </row>
    <row r="252" spans="1:1">
      <c r="A252" s="48"/>
    </row>
    <row r="253" spans="1:1">
      <c r="A253" s="48"/>
    </row>
    <row r="254" spans="1:1">
      <c r="A254" s="48"/>
    </row>
    <row r="255" spans="1:1">
      <c r="A255" s="48"/>
    </row>
    <row r="256" spans="1:1">
      <c r="A256" s="48"/>
    </row>
    <row r="257" spans="1:1">
      <c r="A257" s="48"/>
    </row>
    <row r="258" spans="1:1">
      <c r="A258" s="48"/>
    </row>
    <row r="259" spans="1:1">
      <c r="A259" s="48"/>
    </row>
    <row r="260" spans="1:1">
      <c r="A260" s="48"/>
    </row>
    <row r="261" spans="1:1">
      <c r="A261" s="48"/>
    </row>
    <row r="262" spans="1:1">
      <c r="A262" s="48"/>
    </row>
    <row r="263" spans="1:1">
      <c r="A263" s="48"/>
    </row>
    <row r="264" spans="1:1">
      <c r="A264" s="48"/>
    </row>
    <row r="265" spans="1:1">
      <c r="A265" s="48"/>
    </row>
    <row r="266" spans="1:1">
      <c r="A266" s="48"/>
    </row>
    <row r="267" spans="1:1">
      <c r="A267" s="48"/>
    </row>
    <row r="268" spans="1:1">
      <c r="A268" s="48"/>
    </row>
    <row r="269" spans="1:1">
      <c r="A269" s="48"/>
    </row>
    <row r="270" spans="1:1">
      <c r="A270" s="48"/>
    </row>
    <row r="271" spans="1:1">
      <c r="A271" s="48"/>
    </row>
    <row r="272" spans="1:1">
      <c r="A272" s="48"/>
    </row>
    <row r="273" spans="1:1">
      <c r="A273" s="48"/>
    </row>
    <row r="274" spans="1:1">
      <c r="A274" s="48"/>
    </row>
    <row r="275" spans="1:1">
      <c r="A275" s="48"/>
    </row>
    <row r="276" spans="1:1">
      <c r="A276" s="48"/>
    </row>
    <row r="277" spans="1:1">
      <c r="A277" s="48"/>
    </row>
    <row r="278" spans="1:1">
      <c r="A278" s="48"/>
    </row>
    <row r="279" spans="1:1">
      <c r="A279" s="48"/>
    </row>
    <row r="280" spans="1:1">
      <c r="A280" s="48"/>
    </row>
    <row r="281" spans="1:1">
      <c r="A281" s="48"/>
    </row>
    <row r="282" spans="1:1">
      <c r="A282" s="48"/>
    </row>
    <row r="283" spans="1:1">
      <c r="A283" s="48"/>
    </row>
    <row r="284" spans="1:1">
      <c r="A284" s="48"/>
    </row>
    <row r="285" spans="1:1">
      <c r="A285" s="48"/>
    </row>
    <row r="286" spans="1:1">
      <c r="A286" s="48"/>
    </row>
    <row r="287" spans="1:1">
      <c r="A287" s="48"/>
    </row>
    <row r="288" spans="1:1">
      <c r="A288" s="48"/>
    </row>
    <row r="289" spans="1:1">
      <c r="A289" s="48"/>
    </row>
    <row r="290" spans="1:1">
      <c r="A290" s="48"/>
    </row>
    <row r="291" spans="1:1">
      <c r="A291" s="48"/>
    </row>
    <row r="292" spans="1:1">
      <c r="A292" s="48"/>
    </row>
    <row r="293" spans="1:1">
      <c r="A293" s="48"/>
    </row>
    <row r="294" spans="1:1">
      <c r="A294" s="48"/>
    </row>
    <row r="295" spans="1:1">
      <c r="A295" s="48"/>
    </row>
    <row r="296" spans="1:1">
      <c r="A296" s="48"/>
    </row>
    <row r="297" spans="1:1">
      <c r="A297" s="48"/>
    </row>
    <row r="298" spans="1:1">
      <c r="A298" s="48"/>
    </row>
    <row r="299" spans="1:1">
      <c r="A299" s="48"/>
    </row>
    <row r="300" spans="1:1">
      <c r="A300" s="48"/>
    </row>
    <row r="301" spans="1:1">
      <c r="A301" s="48"/>
    </row>
    <row r="302" spans="1:1">
      <c r="A302" s="48"/>
    </row>
    <row r="303" spans="1:1">
      <c r="A303" s="48"/>
    </row>
    <row r="304" spans="1:1">
      <c r="A304" s="48"/>
    </row>
    <row r="305" spans="1:1">
      <c r="A305" s="48"/>
    </row>
    <row r="306" spans="1:1">
      <c r="A306" s="48"/>
    </row>
    <row r="307" spans="1:1">
      <c r="A307" s="48"/>
    </row>
    <row r="308" spans="1:1">
      <c r="A308" s="48"/>
    </row>
    <row r="309" spans="1:1">
      <c r="A309" s="48"/>
    </row>
    <row r="310" spans="1:1">
      <c r="A310" s="48"/>
    </row>
    <row r="311" spans="1:1">
      <c r="A311" s="48"/>
    </row>
    <row r="312" spans="1:1">
      <c r="A312" s="48"/>
    </row>
    <row r="313" spans="1:1">
      <c r="A313" s="48"/>
    </row>
    <row r="314" spans="1:1">
      <c r="A314" s="48"/>
    </row>
    <row r="315" spans="1:1">
      <c r="A315" s="48"/>
    </row>
    <row r="316" spans="1:1">
      <c r="A316" s="48"/>
    </row>
    <row r="317" spans="1:1">
      <c r="A317" s="48"/>
    </row>
    <row r="318" spans="1:1">
      <c r="A318" s="48"/>
    </row>
    <row r="319" spans="1:1">
      <c r="A319" s="48"/>
    </row>
    <row r="320" spans="1:1">
      <c r="A320" s="48"/>
    </row>
    <row r="321" spans="1:1">
      <c r="A321" s="48"/>
    </row>
    <row r="322" spans="1:1">
      <c r="A322" s="48"/>
    </row>
    <row r="323" spans="1:1">
      <c r="A323" s="48"/>
    </row>
    <row r="324" spans="1:1">
      <c r="A324" s="48"/>
    </row>
    <row r="325" spans="1:1">
      <c r="A325" s="48"/>
    </row>
    <row r="326" spans="1:1">
      <c r="A326" s="48"/>
    </row>
    <row r="327" spans="1:1">
      <c r="A327" s="48"/>
    </row>
    <row r="328" spans="1:1">
      <c r="A328" s="48"/>
    </row>
    <row r="329" spans="1:1">
      <c r="A329" s="48"/>
    </row>
    <row r="330" spans="1:1">
      <c r="A330" s="48"/>
    </row>
  </sheetData>
  <sheetProtection password="C6FB" sheet="1" formatCells="0" formatColumns="0" formatRows="0" insertRows="0" deleteRows="0"/>
  <mergeCells count="16">
    <mergeCell ref="A1:J1"/>
    <mergeCell ref="C105:E105"/>
    <mergeCell ref="G105:I105"/>
    <mergeCell ref="J3:J4"/>
    <mergeCell ref="A6:J6"/>
    <mergeCell ref="A79:J79"/>
    <mergeCell ref="A85:J85"/>
    <mergeCell ref="B3:B4"/>
    <mergeCell ref="A3:A4"/>
    <mergeCell ref="C3:C4"/>
    <mergeCell ref="F3:I3"/>
    <mergeCell ref="A92:J92"/>
    <mergeCell ref="C104:E104"/>
    <mergeCell ref="G104:I104"/>
    <mergeCell ref="E3:E4"/>
    <mergeCell ref="D3:D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191"/>
  <sheetViews>
    <sheetView view="pageBreakPreview" zoomScale="75" zoomScaleNormal="65" zoomScaleSheetLayoutView="50" workbookViewId="0">
      <pane ySplit="5" topLeftCell="A6" activePane="bottomLeft" state="frozen"/>
      <selection pane="bottomLeft" activeCell="A40" sqref="A40"/>
    </sheetView>
  </sheetViews>
  <sheetFormatPr defaultColWidth="77.85546875" defaultRowHeight="18.75" outlineLevelRow="1"/>
  <cols>
    <col min="1" max="1" width="61.28515625" style="43" customWidth="1"/>
    <col min="2" max="2" width="15.28515625" style="46" customWidth="1"/>
    <col min="3" max="3" width="13" style="46" customWidth="1"/>
    <col min="4" max="4" width="14.85546875" style="46" customWidth="1"/>
    <col min="5" max="5" width="13.42578125" style="46" customWidth="1"/>
    <col min="6" max="6" width="13.7109375" style="43" customWidth="1"/>
    <col min="7" max="7" width="13.28515625" style="43" customWidth="1"/>
    <col min="8" max="8" width="13" style="43" customWidth="1"/>
    <col min="9" max="9" width="11.7109375" style="43" customWidth="1"/>
    <col min="10" max="10" width="10" style="43" customWidth="1"/>
    <col min="11" max="11" width="9.5703125" style="43" customWidth="1"/>
    <col min="12" max="254" width="9.140625" style="43" customWidth="1"/>
    <col min="255" max="16384" width="77.85546875" style="43"/>
  </cols>
  <sheetData>
    <row r="1" spans="1:9">
      <c r="A1" s="366" t="s">
        <v>379</v>
      </c>
      <c r="B1" s="366"/>
      <c r="C1" s="366"/>
      <c r="D1" s="366"/>
      <c r="E1" s="366"/>
      <c r="F1" s="366"/>
      <c r="G1" s="366"/>
      <c r="H1" s="366"/>
      <c r="I1" s="366"/>
    </row>
    <row r="2" spans="1:9" outlineLevel="1">
      <c r="A2" s="42"/>
      <c r="B2" s="51"/>
      <c r="C2" s="42"/>
      <c r="D2" s="42"/>
      <c r="E2" s="42"/>
      <c r="F2" s="42"/>
      <c r="G2" s="42"/>
      <c r="H2" s="42"/>
      <c r="I2" s="42"/>
    </row>
    <row r="3" spans="1:9" ht="38.25" customHeight="1">
      <c r="A3" s="367" t="s">
        <v>279</v>
      </c>
      <c r="B3" s="368" t="s">
        <v>18</v>
      </c>
      <c r="C3" s="368" t="s">
        <v>32</v>
      </c>
      <c r="D3" s="368" t="s">
        <v>40</v>
      </c>
      <c r="E3" s="369" t="s">
        <v>185</v>
      </c>
      <c r="F3" s="370" t="s">
        <v>375</v>
      </c>
      <c r="G3" s="370"/>
      <c r="H3" s="370"/>
      <c r="I3" s="370"/>
    </row>
    <row r="4" spans="1:9" ht="50.25" customHeight="1">
      <c r="A4" s="367"/>
      <c r="B4" s="368"/>
      <c r="C4" s="368"/>
      <c r="D4" s="368"/>
      <c r="E4" s="369"/>
      <c r="F4" s="11" t="s">
        <v>376</v>
      </c>
      <c r="G4" s="11" t="s">
        <v>377</v>
      </c>
      <c r="H4" s="11" t="s">
        <v>378</v>
      </c>
      <c r="I4" s="11" t="s">
        <v>87</v>
      </c>
    </row>
    <row r="5" spans="1:9" ht="18" customHeight="1">
      <c r="A5" s="49">
        <v>1</v>
      </c>
      <c r="B5" s="50">
        <v>2</v>
      </c>
      <c r="C5" s="50">
        <v>3</v>
      </c>
      <c r="D5" s="50">
        <v>4</v>
      </c>
      <c r="E5" s="50">
        <v>5</v>
      </c>
      <c r="F5" s="7">
        <v>6</v>
      </c>
      <c r="G5" s="7">
        <v>7</v>
      </c>
      <c r="H5" s="7">
        <v>8</v>
      </c>
      <c r="I5" s="7">
        <v>9</v>
      </c>
    </row>
    <row r="6" spans="1:9" ht="24.95" customHeight="1">
      <c r="A6" s="362" t="s">
        <v>169</v>
      </c>
      <c r="B6" s="363"/>
      <c r="C6" s="363"/>
      <c r="D6" s="363"/>
      <c r="E6" s="363"/>
      <c r="F6" s="363"/>
      <c r="G6" s="363"/>
      <c r="H6" s="363"/>
      <c r="I6" s="364"/>
    </row>
    <row r="7" spans="1:9" ht="49.9" customHeight="1">
      <c r="A7" s="56" t="s">
        <v>63</v>
      </c>
      <c r="B7" s="7">
        <v>2000</v>
      </c>
      <c r="C7" s="189"/>
      <c r="D7" s="189"/>
      <c r="E7" s="226">
        <f>C17</f>
        <v>0</v>
      </c>
      <c r="F7" s="226">
        <f>E17</f>
        <v>-28</v>
      </c>
      <c r="G7" s="226">
        <f>E17</f>
        <v>-28</v>
      </c>
      <c r="H7" s="226">
        <f>E17</f>
        <v>-28</v>
      </c>
      <c r="I7" s="226">
        <f>E17</f>
        <v>-28</v>
      </c>
    </row>
    <row r="8" spans="1:9" ht="37.5">
      <c r="A8" s="44" t="s">
        <v>226</v>
      </c>
      <c r="B8" s="7">
        <v>2010</v>
      </c>
      <c r="C8" s="188">
        <f>C9+C10</f>
        <v>0</v>
      </c>
      <c r="D8" s="188">
        <f t="shared" ref="D8:I8" si="0">D9+D10</f>
        <v>0</v>
      </c>
      <c r="E8" s="188">
        <f t="shared" si="0"/>
        <v>0</v>
      </c>
      <c r="F8" s="188">
        <f t="shared" si="0"/>
        <v>0</v>
      </c>
      <c r="G8" s="188">
        <f t="shared" si="0"/>
        <v>0</v>
      </c>
      <c r="H8" s="188">
        <f t="shared" si="0"/>
        <v>0</v>
      </c>
      <c r="I8" s="188">
        <f t="shared" si="0"/>
        <v>0</v>
      </c>
    </row>
    <row r="9" spans="1:9" ht="42.75" customHeight="1">
      <c r="A9" s="8" t="s">
        <v>381</v>
      </c>
      <c r="B9" s="7">
        <v>2011</v>
      </c>
      <c r="C9" s="189"/>
      <c r="D9" s="189"/>
      <c r="E9" s="189"/>
      <c r="F9" s="189">
        <f>ROUND('I. Фін результат'!F76*15%,0)</f>
        <v>0</v>
      </c>
      <c r="G9" s="189">
        <f>ROUND('I. Фін результат'!G76*15%,0)</f>
        <v>0</v>
      </c>
      <c r="H9" s="189">
        <f>ROUND('I. Фін результат'!H76*15%,0)</f>
        <v>0</v>
      </c>
      <c r="I9" s="189">
        <f>ROUND('I. Фін результат'!I76*15%,0)</f>
        <v>0</v>
      </c>
    </row>
    <row r="10" spans="1:9" ht="93.75">
      <c r="A10" s="8" t="s">
        <v>382</v>
      </c>
      <c r="B10" s="7">
        <v>2012</v>
      </c>
      <c r="C10" s="189"/>
      <c r="D10" s="189"/>
      <c r="E10" s="189"/>
      <c r="F10" s="189">
        <f>ROUND(('I. Фін результат'!F76-'ІІ. Розр. з бюджетом'!F9)*60%,0)</f>
        <v>0</v>
      </c>
      <c r="G10" s="189">
        <f>ROUND(('I. Фін результат'!G76-'ІІ. Розр. з бюджетом'!G9)*60%,0)</f>
        <v>0</v>
      </c>
      <c r="H10" s="189">
        <f>ROUND(('I. Фін результат'!H76-'ІІ. Розр. з бюджетом'!H9)*60%,0)</f>
        <v>0</v>
      </c>
      <c r="I10" s="189">
        <f>ROUND(('I. Фін результат'!I76-'ІІ. Розр. з бюджетом'!I9)*60%,0)</f>
        <v>0</v>
      </c>
    </row>
    <row r="11" spans="1:9" ht="20.100000000000001" customHeight="1">
      <c r="A11" s="8" t="s">
        <v>212</v>
      </c>
      <c r="B11" s="7">
        <v>2020</v>
      </c>
      <c r="C11" s="189"/>
      <c r="D11" s="189"/>
      <c r="E11" s="189"/>
      <c r="F11" s="189"/>
      <c r="G11" s="189"/>
      <c r="H11" s="189"/>
      <c r="I11" s="189"/>
    </row>
    <row r="12" spans="1:9" s="45" customFormat="1" ht="20.100000000000001" customHeight="1">
      <c r="A12" s="44" t="s">
        <v>76</v>
      </c>
      <c r="B12" s="7">
        <v>2030</v>
      </c>
      <c r="C12" s="189"/>
      <c r="D12" s="189"/>
      <c r="E12" s="189"/>
      <c r="F12" s="189"/>
      <c r="G12" s="189"/>
      <c r="H12" s="189"/>
      <c r="I12" s="189"/>
    </row>
    <row r="13" spans="1:9" ht="37.5">
      <c r="A13" s="44" t="s">
        <v>148</v>
      </c>
      <c r="B13" s="7">
        <v>2031</v>
      </c>
      <c r="C13" s="189"/>
      <c r="D13" s="189"/>
      <c r="E13" s="189"/>
      <c r="F13" s="189"/>
      <c r="G13" s="189"/>
      <c r="H13" s="189"/>
      <c r="I13" s="189"/>
    </row>
    <row r="14" spans="1:9" ht="20.100000000000001" customHeight="1">
      <c r="A14" s="44" t="s">
        <v>27</v>
      </c>
      <c r="B14" s="7">
        <v>2040</v>
      </c>
      <c r="C14" s="189"/>
      <c r="D14" s="189"/>
      <c r="E14" s="189"/>
      <c r="F14" s="189"/>
      <c r="G14" s="189"/>
      <c r="H14" s="189"/>
      <c r="I14" s="189"/>
    </row>
    <row r="15" spans="1:9" ht="20.100000000000001" customHeight="1">
      <c r="A15" s="183" t="s">
        <v>129</v>
      </c>
      <c r="B15" s="7">
        <v>2050</v>
      </c>
      <c r="C15" s="189"/>
      <c r="D15" s="189"/>
      <c r="E15" s="189"/>
      <c r="F15" s="189"/>
      <c r="G15" s="189"/>
      <c r="H15" s="189"/>
      <c r="I15" s="189"/>
    </row>
    <row r="16" spans="1:9" ht="20.100000000000001" customHeight="1">
      <c r="A16" s="183" t="s">
        <v>130</v>
      </c>
      <c r="B16" s="7">
        <v>2060</v>
      </c>
      <c r="C16" s="189"/>
      <c r="D16" s="189"/>
      <c r="E16" s="189"/>
      <c r="F16" s="189"/>
      <c r="G16" s="189"/>
      <c r="H16" s="189"/>
      <c r="I16" s="189"/>
    </row>
    <row r="17" spans="1:10" ht="42.75" customHeight="1">
      <c r="A17" s="56" t="s">
        <v>64</v>
      </c>
      <c r="B17" s="92">
        <v>2070</v>
      </c>
      <c r="C17" s="191"/>
      <c r="D17" s="191"/>
      <c r="E17" s="227">
        <f>'I. Фін результат'!E75+'ІІ.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-28</v>
      </c>
      <c r="F17" s="227">
        <f>'I. Фін результат'!F75+'ІІ.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-503</v>
      </c>
      <c r="G17" s="227">
        <f>'I. Фін результат'!G75+'ІІ.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-1442</v>
      </c>
      <c r="H17" s="227">
        <f>'I. Фін результат'!H75+'ІІ.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-2282</v>
      </c>
      <c r="I17" s="227">
        <f>'I. Фін результат'!I75+'ІІ.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-2804</v>
      </c>
    </row>
    <row r="18" spans="1:10" ht="30.6" customHeight="1">
      <c r="A18" s="362" t="s">
        <v>170</v>
      </c>
      <c r="B18" s="363"/>
      <c r="C18" s="363"/>
      <c r="D18" s="363"/>
      <c r="E18" s="363"/>
      <c r="F18" s="363"/>
      <c r="G18" s="363"/>
      <c r="H18" s="363"/>
      <c r="I18" s="364"/>
    </row>
    <row r="19" spans="1:10" ht="37.5">
      <c r="A19" s="183" t="s">
        <v>226</v>
      </c>
      <c r="B19" s="169">
        <v>2100</v>
      </c>
      <c r="C19" s="188">
        <f t="shared" ref="C19:I19" si="1">SUM(C20:C21)</f>
        <v>0</v>
      </c>
      <c r="D19" s="188">
        <f t="shared" si="1"/>
        <v>0</v>
      </c>
      <c r="E19" s="188">
        <f t="shared" si="1"/>
        <v>0</v>
      </c>
      <c r="F19" s="188">
        <f t="shared" si="1"/>
        <v>0</v>
      </c>
      <c r="G19" s="188">
        <f t="shared" si="1"/>
        <v>0</v>
      </c>
      <c r="H19" s="188">
        <f t="shared" si="1"/>
        <v>0</v>
      </c>
      <c r="I19" s="188">
        <f t="shared" si="1"/>
        <v>0</v>
      </c>
    </row>
    <row r="20" spans="1:10" ht="42.75" customHeight="1">
      <c r="A20" s="72" t="s">
        <v>381</v>
      </c>
      <c r="B20" s="169">
        <v>2101</v>
      </c>
      <c r="C20" s="188">
        <f>C9</f>
        <v>0</v>
      </c>
      <c r="D20" s="188">
        <f t="shared" ref="D20:I20" si="2">D9</f>
        <v>0</v>
      </c>
      <c r="E20" s="188">
        <f t="shared" si="2"/>
        <v>0</v>
      </c>
      <c r="F20" s="188">
        <f t="shared" si="2"/>
        <v>0</v>
      </c>
      <c r="G20" s="188">
        <f t="shared" si="2"/>
        <v>0</v>
      </c>
      <c r="H20" s="188">
        <f t="shared" si="2"/>
        <v>0</v>
      </c>
      <c r="I20" s="188">
        <f t="shared" si="2"/>
        <v>0</v>
      </c>
    </row>
    <row r="21" spans="1:10" ht="93.75">
      <c r="A21" s="72" t="s">
        <v>382</v>
      </c>
      <c r="B21" s="169">
        <v>2102</v>
      </c>
      <c r="C21" s="188">
        <f>C10</f>
        <v>0</v>
      </c>
      <c r="D21" s="188">
        <f t="shared" ref="D21:I21" si="3">D10</f>
        <v>0</v>
      </c>
      <c r="E21" s="188">
        <f t="shared" si="3"/>
        <v>0</v>
      </c>
      <c r="F21" s="188">
        <f t="shared" si="3"/>
        <v>0</v>
      </c>
      <c r="G21" s="188">
        <f t="shared" si="3"/>
        <v>0</v>
      </c>
      <c r="H21" s="188">
        <f t="shared" si="3"/>
        <v>0</v>
      </c>
      <c r="I21" s="188">
        <f t="shared" si="3"/>
        <v>0</v>
      </c>
    </row>
    <row r="22" spans="1:10" s="45" customFormat="1" ht="20.100000000000001" customHeight="1">
      <c r="A22" s="183" t="s">
        <v>172</v>
      </c>
      <c r="B22" s="184">
        <v>2110</v>
      </c>
      <c r="C22" s="188">
        <f>'I. Фін результат'!C73</f>
        <v>0</v>
      </c>
      <c r="D22" s="188">
        <f>'I. Фін результат'!D73</f>
        <v>0</v>
      </c>
      <c r="E22" s="188">
        <f>'I. Фін результат'!E73</f>
        <v>0</v>
      </c>
      <c r="F22" s="188">
        <f>'I. Фін результат'!F73</f>
        <v>0</v>
      </c>
      <c r="G22" s="188">
        <f>'I. Фін результат'!G73</f>
        <v>0</v>
      </c>
      <c r="H22" s="188">
        <f>'I. Фін результат'!H73</f>
        <v>0</v>
      </c>
      <c r="I22" s="188">
        <f>'I. Фін результат'!I73</f>
        <v>0</v>
      </c>
    </row>
    <row r="23" spans="1:10" ht="56.25">
      <c r="A23" s="183" t="s">
        <v>345</v>
      </c>
      <c r="B23" s="184">
        <v>2120</v>
      </c>
      <c r="C23" s="189"/>
      <c r="D23" s="189"/>
      <c r="E23" s="189"/>
      <c r="F23" s="189"/>
      <c r="G23" s="189"/>
      <c r="H23" s="189"/>
      <c r="I23" s="189"/>
    </row>
    <row r="24" spans="1:10" ht="56.25">
      <c r="A24" s="183" t="s">
        <v>346</v>
      </c>
      <c r="B24" s="184">
        <v>2130</v>
      </c>
      <c r="C24" s="189"/>
      <c r="D24" s="189"/>
      <c r="E24" s="189"/>
      <c r="F24" s="189"/>
      <c r="G24" s="189"/>
      <c r="H24" s="189"/>
      <c r="I24" s="189"/>
    </row>
    <row r="25" spans="1:10" s="47" customFormat="1" ht="56.25">
      <c r="A25" s="185" t="s">
        <v>263</v>
      </c>
      <c r="B25" s="186">
        <v>2140</v>
      </c>
      <c r="C25" s="190">
        <f t="shared" ref="C25:I25" si="4">SUM(C26:C30,C33,C34)</f>
        <v>0</v>
      </c>
      <c r="D25" s="190">
        <f t="shared" si="4"/>
        <v>0</v>
      </c>
      <c r="E25" s="190">
        <f t="shared" si="4"/>
        <v>4</v>
      </c>
      <c r="F25" s="190">
        <f t="shared" si="4"/>
        <v>65</v>
      </c>
      <c r="G25" s="190">
        <f t="shared" si="4"/>
        <v>155</v>
      </c>
      <c r="H25" s="190">
        <f t="shared" si="4"/>
        <v>245</v>
      </c>
      <c r="I25" s="190">
        <f t="shared" si="4"/>
        <v>335</v>
      </c>
      <c r="J25" s="43"/>
    </row>
    <row r="26" spans="1:10" ht="20.100000000000001" customHeight="1">
      <c r="A26" s="183" t="s">
        <v>92</v>
      </c>
      <c r="B26" s="184">
        <v>2141</v>
      </c>
      <c r="C26" s="189"/>
      <c r="D26" s="189"/>
      <c r="E26" s="189"/>
      <c r="F26" s="189"/>
      <c r="G26" s="189"/>
      <c r="H26" s="189"/>
      <c r="I26" s="189"/>
    </row>
    <row r="27" spans="1:10" ht="20.100000000000001" customHeight="1">
      <c r="A27" s="183" t="s">
        <v>119</v>
      </c>
      <c r="B27" s="184">
        <v>2142</v>
      </c>
      <c r="C27" s="189"/>
      <c r="D27" s="189"/>
      <c r="E27" s="189"/>
      <c r="F27" s="189"/>
      <c r="G27" s="189"/>
      <c r="H27" s="189"/>
      <c r="I27" s="189"/>
    </row>
    <row r="28" spans="1:10" ht="20.100000000000001" customHeight="1">
      <c r="A28" s="183" t="s">
        <v>110</v>
      </c>
      <c r="B28" s="184">
        <v>2143</v>
      </c>
      <c r="C28" s="189"/>
      <c r="D28" s="189"/>
      <c r="E28" s="189"/>
      <c r="F28" s="189"/>
      <c r="G28" s="189"/>
      <c r="H28" s="189"/>
      <c r="I28" s="189"/>
    </row>
    <row r="29" spans="1:10" ht="20.100000000000001" customHeight="1">
      <c r="A29" s="183" t="s">
        <v>90</v>
      </c>
      <c r="B29" s="184">
        <v>2144</v>
      </c>
      <c r="C29" s="189"/>
      <c r="D29" s="189"/>
      <c r="E29" s="189">
        <v>4</v>
      </c>
      <c r="F29" s="192">
        <f>ROUND(Лист1!C18,0)</f>
        <v>60</v>
      </c>
      <c r="G29" s="192">
        <f>ROUND(Лист1!D18,0)</f>
        <v>143</v>
      </c>
      <c r="H29" s="192">
        <f>ROUND(Лист1!E18,0)</f>
        <v>226</v>
      </c>
      <c r="I29" s="192">
        <f>ROUND(Лист1!F18,0)</f>
        <v>309</v>
      </c>
    </row>
    <row r="30" spans="1:10" s="45" customFormat="1" ht="20.100000000000001" customHeight="1">
      <c r="A30" s="183" t="s">
        <v>192</v>
      </c>
      <c r="B30" s="184">
        <v>2145</v>
      </c>
      <c r="C30" s="189"/>
      <c r="D30" s="189"/>
      <c r="E30" s="189"/>
      <c r="F30" s="189"/>
      <c r="G30" s="189"/>
      <c r="H30" s="189"/>
      <c r="I30" s="189"/>
    </row>
    <row r="31" spans="1:10" ht="56.25">
      <c r="A31" s="183" t="s">
        <v>274</v>
      </c>
      <c r="B31" s="184" t="s">
        <v>241</v>
      </c>
      <c r="C31" s="189"/>
      <c r="D31" s="189"/>
      <c r="E31" s="189"/>
      <c r="F31" s="189"/>
      <c r="G31" s="189"/>
      <c r="H31" s="189"/>
      <c r="I31" s="189"/>
    </row>
    <row r="32" spans="1:10" ht="20.100000000000001" customHeight="1">
      <c r="A32" s="183" t="s">
        <v>28</v>
      </c>
      <c r="B32" s="184" t="s">
        <v>242</v>
      </c>
      <c r="C32" s="189"/>
      <c r="D32" s="189"/>
      <c r="E32" s="189"/>
      <c r="F32" s="189"/>
      <c r="G32" s="189"/>
      <c r="H32" s="189"/>
      <c r="I32" s="189"/>
    </row>
    <row r="33" spans="1:11" s="45" customFormat="1" ht="20.100000000000001" customHeight="1">
      <c r="A33" s="183" t="s">
        <v>131</v>
      </c>
      <c r="B33" s="184">
        <v>2146</v>
      </c>
      <c r="C33" s="189"/>
      <c r="D33" s="189"/>
      <c r="E33" s="189"/>
      <c r="F33" s="189"/>
      <c r="G33" s="189"/>
      <c r="H33" s="189"/>
      <c r="I33" s="189"/>
    </row>
    <row r="34" spans="1:11" ht="20.100000000000001" customHeight="1">
      <c r="A34" s="183" t="s">
        <v>98</v>
      </c>
      <c r="B34" s="184">
        <v>2147</v>
      </c>
      <c r="C34" s="189"/>
      <c r="D34" s="189"/>
      <c r="E34" s="189">
        <f>E35</f>
        <v>0</v>
      </c>
      <c r="F34" s="189">
        <f>F35</f>
        <v>5</v>
      </c>
      <c r="G34" s="189">
        <f>G35</f>
        <v>12</v>
      </c>
      <c r="H34" s="189">
        <f>H35</f>
        <v>19</v>
      </c>
      <c r="I34" s="189">
        <f>I35</f>
        <v>26</v>
      </c>
    </row>
    <row r="35" spans="1:11" ht="20.100000000000001" customHeight="1">
      <c r="A35" s="183" t="s">
        <v>396</v>
      </c>
      <c r="B35" s="184" t="s">
        <v>406</v>
      </c>
      <c r="C35" s="189"/>
      <c r="D35" s="189"/>
      <c r="E35" s="189">
        <v>0</v>
      </c>
      <c r="F35" s="192">
        <f>ROUND(Лист1!C19,0)</f>
        <v>5</v>
      </c>
      <c r="G35" s="192">
        <f>ROUND(Лист1!D19,0)</f>
        <v>12</v>
      </c>
      <c r="H35" s="192">
        <f>ROUND(Лист1!E19,0)</f>
        <v>19</v>
      </c>
      <c r="I35" s="192">
        <f>ROUND(Лист1!F19,0)</f>
        <v>26</v>
      </c>
    </row>
    <row r="36" spans="1:11" s="45" customFormat="1" ht="37.5">
      <c r="A36" s="183" t="s">
        <v>91</v>
      </c>
      <c r="B36" s="184">
        <v>2150</v>
      </c>
      <c r="C36" s="189"/>
      <c r="D36" s="189"/>
      <c r="E36" s="189">
        <v>3</v>
      </c>
      <c r="F36" s="192">
        <f>ROUND(Лист1!C17,0)</f>
        <v>68</v>
      </c>
      <c r="G36" s="192">
        <f>ROUND(Лист1!D17,0)</f>
        <v>165</v>
      </c>
      <c r="H36" s="192">
        <f>ROUND(Лист1!E17,0)</f>
        <v>261</v>
      </c>
      <c r="I36" s="192">
        <f>ROUND(Лист1!F17,0)</f>
        <v>358</v>
      </c>
    </row>
    <row r="37" spans="1:11" s="45" customFormat="1" ht="20.100000000000001" customHeight="1">
      <c r="A37" s="185" t="s">
        <v>372</v>
      </c>
      <c r="B37" s="186">
        <v>2200</v>
      </c>
      <c r="C37" s="202">
        <f t="shared" ref="C37:I37" si="5">SUM(C19,C22:C24,C25,C36)</f>
        <v>0</v>
      </c>
      <c r="D37" s="202">
        <f t="shared" si="5"/>
        <v>0</v>
      </c>
      <c r="E37" s="202">
        <f t="shared" si="5"/>
        <v>7</v>
      </c>
      <c r="F37" s="202">
        <f t="shared" si="5"/>
        <v>133</v>
      </c>
      <c r="G37" s="202">
        <f t="shared" si="5"/>
        <v>320</v>
      </c>
      <c r="H37" s="202">
        <f t="shared" si="5"/>
        <v>506</v>
      </c>
      <c r="I37" s="202">
        <f t="shared" si="5"/>
        <v>693</v>
      </c>
      <c r="J37" s="43"/>
    </row>
    <row r="38" spans="1:11" s="45" customFormat="1" ht="20.100000000000001" customHeight="1">
      <c r="A38" s="151"/>
      <c r="B38" s="152"/>
      <c r="C38" s="153"/>
      <c r="D38" s="154"/>
      <c r="E38" s="154"/>
      <c r="F38" s="154"/>
      <c r="G38" s="154"/>
      <c r="H38" s="154"/>
      <c r="I38" s="154"/>
    </row>
    <row r="39" spans="1:11" s="45" customFormat="1" ht="20.100000000000001" customHeight="1">
      <c r="A39" s="151"/>
      <c r="B39" s="152"/>
      <c r="C39" s="153"/>
      <c r="D39" s="154"/>
      <c r="E39" s="154"/>
      <c r="F39" s="154"/>
      <c r="G39" s="154"/>
      <c r="H39" s="154"/>
      <c r="I39" s="154"/>
    </row>
    <row r="40" spans="1:11" s="2" customFormat="1" ht="20.100000000000001" customHeight="1">
      <c r="A40" s="314" t="s">
        <v>552</v>
      </c>
      <c r="B40" s="140"/>
      <c r="C40" s="359" t="s">
        <v>120</v>
      </c>
      <c r="D40" s="365"/>
      <c r="E40" s="365"/>
      <c r="F40" s="141"/>
      <c r="G40" s="336" t="s">
        <v>549</v>
      </c>
      <c r="H40" s="336"/>
      <c r="I40" s="336"/>
    </row>
    <row r="41" spans="1:11" s="1" customFormat="1" ht="20.100000000000001" customHeight="1">
      <c r="A41" s="97" t="s">
        <v>310</v>
      </c>
      <c r="B41" s="110"/>
      <c r="C41" s="355" t="s">
        <v>309</v>
      </c>
      <c r="D41" s="355"/>
      <c r="E41" s="355"/>
      <c r="F41" s="142"/>
      <c r="G41" s="318" t="s">
        <v>116</v>
      </c>
      <c r="H41" s="318"/>
      <c r="I41" s="318"/>
    </row>
    <row r="42" spans="1:11" s="46" customFormat="1">
      <c r="A42" s="59"/>
      <c r="F42" s="43"/>
      <c r="G42" s="43"/>
      <c r="H42" s="43"/>
      <c r="I42" s="43"/>
      <c r="J42" s="43"/>
      <c r="K42" s="43"/>
    </row>
    <row r="43" spans="1:11" s="46" customFormat="1">
      <c r="A43" s="59"/>
      <c r="F43" s="43"/>
      <c r="G43" s="43"/>
      <c r="H43" s="43"/>
      <c r="I43" s="43"/>
      <c r="J43" s="43"/>
      <c r="K43" s="43"/>
    </row>
    <row r="44" spans="1:11" s="46" customFormat="1">
      <c r="A44" s="59"/>
      <c r="F44" s="43"/>
      <c r="G44" s="43"/>
      <c r="H44" s="43"/>
      <c r="I44" s="43"/>
      <c r="J44" s="43"/>
      <c r="K44" s="43"/>
    </row>
    <row r="45" spans="1:11" s="46" customFormat="1">
      <c r="A45" s="59"/>
      <c r="F45" s="43"/>
      <c r="G45" s="43"/>
      <c r="H45" s="43"/>
      <c r="I45" s="43"/>
      <c r="J45" s="43"/>
      <c r="K45" s="43"/>
    </row>
    <row r="46" spans="1:11" s="46" customFormat="1">
      <c r="A46" s="59"/>
      <c r="F46" s="43"/>
      <c r="G46" s="43"/>
      <c r="H46" s="43"/>
      <c r="I46" s="43"/>
      <c r="J46" s="43"/>
      <c r="K46" s="43"/>
    </row>
    <row r="47" spans="1:11" s="46" customFormat="1">
      <c r="A47" s="59"/>
      <c r="F47" s="43"/>
      <c r="G47" s="43"/>
      <c r="H47" s="43"/>
      <c r="I47" s="43"/>
      <c r="J47" s="43"/>
      <c r="K47" s="43"/>
    </row>
    <row r="48" spans="1:11" s="46" customFormat="1">
      <c r="A48" s="59"/>
      <c r="F48" s="43"/>
      <c r="G48" s="43"/>
      <c r="H48" s="43"/>
      <c r="I48" s="43"/>
      <c r="J48" s="43"/>
      <c r="K48" s="43"/>
    </row>
    <row r="49" spans="1:11" s="46" customFormat="1">
      <c r="A49" s="59"/>
      <c r="F49" s="43"/>
      <c r="G49" s="43"/>
      <c r="H49" s="43"/>
      <c r="I49" s="43"/>
      <c r="J49" s="43"/>
      <c r="K49" s="43"/>
    </row>
    <row r="50" spans="1:11" s="46" customFormat="1">
      <c r="A50" s="59"/>
      <c r="F50" s="43"/>
      <c r="G50" s="43"/>
      <c r="H50" s="43"/>
      <c r="I50" s="43"/>
      <c r="J50" s="43"/>
      <c r="K50" s="43"/>
    </row>
    <row r="51" spans="1:11" s="46" customFormat="1">
      <c r="A51" s="59"/>
      <c r="F51" s="43"/>
      <c r="G51" s="43"/>
      <c r="H51" s="43"/>
      <c r="I51" s="43"/>
      <c r="J51" s="43"/>
      <c r="K51" s="43"/>
    </row>
    <row r="52" spans="1:11" s="46" customFormat="1">
      <c r="A52" s="59"/>
      <c r="F52" s="43"/>
      <c r="G52" s="43"/>
      <c r="H52" s="43"/>
      <c r="I52" s="43"/>
      <c r="J52" s="43"/>
      <c r="K52" s="43"/>
    </row>
    <row r="53" spans="1:11" s="46" customFormat="1">
      <c r="A53" s="59"/>
      <c r="F53" s="43"/>
      <c r="G53" s="43"/>
      <c r="H53" s="43"/>
      <c r="I53" s="43"/>
      <c r="J53" s="43"/>
      <c r="K53" s="43"/>
    </row>
    <row r="54" spans="1:11" s="46" customFormat="1">
      <c r="A54" s="59"/>
      <c r="F54" s="43"/>
      <c r="G54" s="43"/>
      <c r="H54" s="43"/>
      <c r="I54" s="43"/>
      <c r="J54" s="43"/>
      <c r="K54" s="43"/>
    </row>
    <row r="55" spans="1:11" s="46" customFormat="1">
      <c r="A55" s="59"/>
      <c r="F55" s="43"/>
      <c r="G55" s="43"/>
      <c r="H55" s="43"/>
      <c r="I55" s="43"/>
      <c r="J55" s="43"/>
      <c r="K55" s="43"/>
    </row>
    <row r="56" spans="1:11" s="46" customFormat="1">
      <c r="A56" s="59"/>
      <c r="F56" s="43"/>
      <c r="G56" s="43"/>
      <c r="H56" s="43"/>
      <c r="I56" s="43"/>
      <c r="J56" s="43"/>
      <c r="K56" s="43"/>
    </row>
    <row r="57" spans="1:11" s="46" customFormat="1">
      <c r="A57" s="59"/>
      <c r="F57" s="43"/>
      <c r="G57" s="43"/>
      <c r="H57" s="43"/>
      <c r="I57" s="43"/>
      <c r="J57" s="43"/>
      <c r="K57" s="43"/>
    </row>
    <row r="58" spans="1:11" s="46" customFormat="1">
      <c r="A58" s="59"/>
      <c r="F58" s="43"/>
      <c r="G58" s="43"/>
      <c r="H58" s="43"/>
      <c r="I58" s="43"/>
      <c r="J58" s="43"/>
      <c r="K58" s="43"/>
    </row>
    <row r="59" spans="1:11" s="46" customFormat="1">
      <c r="A59" s="59"/>
      <c r="F59" s="43"/>
      <c r="G59" s="43"/>
      <c r="H59" s="43"/>
      <c r="I59" s="43"/>
      <c r="J59" s="43"/>
      <c r="K59" s="43"/>
    </row>
    <row r="60" spans="1:11" s="46" customFormat="1">
      <c r="A60" s="59"/>
      <c r="F60" s="43"/>
      <c r="G60" s="43"/>
      <c r="H60" s="43"/>
      <c r="I60" s="43"/>
      <c r="J60" s="43"/>
      <c r="K60" s="43"/>
    </row>
    <row r="61" spans="1:11" s="46" customFormat="1">
      <c r="A61" s="59"/>
      <c r="F61" s="43"/>
      <c r="G61" s="43"/>
      <c r="H61" s="43"/>
      <c r="I61" s="43"/>
      <c r="J61" s="43"/>
      <c r="K61" s="43"/>
    </row>
    <row r="62" spans="1:11" s="46" customFormat="1">
      <c r="A62" s="59"/>
      <c r="F62" s="43"/>
      <c r="G62" s="43"/>
      <c r="H62" s="43"/>
      <c r="I62" s="43"/>
      <c r="J62" s="43"/>
      <c r="K62" s="43"/>
    </row>
    <row r="63" spans="1:11" s="46" customFormat="1">
      <c r="A63" s="59"/>
      <c r="F63" s="43"/>
      <c r="G63" s="43"/>
      <c r="H63" s="43"/>
      <c r="I63" s="43"/>
      <c r="J63" s="43"/>
      <c r="K63" s="43"/>
    </row>
    <row r="64" spans="1:11" s="46" customFormat="1">
      <c r="A64" s="59"/>
      <c r="F64" s="43"/>
      <c r="G64" s="43"/>
      <c r="H64" s="43"/>
      <c r="I64" s="43"/>
      <c r="J64" s="43"/>
      <c r="K64" s="43"/>
    </row>
    <row r="65" spans="1:11" s="46" customFormat="1">
      <c r="A65" s="59"/>
      <c r="F65" s="43"/>
      <c r="G65" s="43"/>
      <c r="H65" s="43"/>
      <c r="I65" s="43"/>
      <c r="J65" s="43"/>
      <c r="K65" s="43"/>
    </row>
    <row r="66" spans="1:11" s="46" customFormat="1">
      <c r="A66" s="59"/>
      <c r="F66" s="43"/>
      <c r="G66" s="43"/>
      <c r="H66" s="43"/>
      <c r="I66" s="43"/>
      <c r="J66" s="43"/>
      <c r="K66" s="43"/>
    </row>
    <row r="67" spans="1:11" s="46" customFormat="1">
      <c r="A67" s="59"/>
      <c r="F67" s="43"/>
      <c r="G67" s="43"/>
      <c r="H67" s="43"/>
      <c r="I67" s="43"/>
      <c r="J67" s="43"/>
      <c r="K67" s="43"/>
    </row>
    <row r="68" spans="1:11" s="46" customFormat="1">
      <c r="A68" s="59"/>
      <c r="F68" s="43"/>
      <c r="G68" s="43"/>
      <c r="H68" s="43"/>
      <c r="I68" s="43"/>
      <c r="J68" s="43"/>
      <c r="K68" s="43"/>
    </row>
    <row r="69" spans="1:11" s="46" customFormat="1">
      <c r="A69" s="59"/>
      <c r="F69" s="43"/>
      <c r="G69" s="43"/>
      <c r="H69" s="43"/>
      <c r="I69" s="43"/>
      <c r="J69" s="43"/>
      <c r="K69" s="43"/>
    </row>
    <row r="70" spans="1:11" s="46" customFormat="1">
      <c r="A70" s="59"/>
      <c r="F70" s="43"/>
      <c r="G70" s="43"/>
      <c r="H70" s="43"/>
      <c r="I70" s="43"/>
      <c r="J70" s="43"/>
      <c r="K70" s="43"/>
    </row>
    <row r="71" spans="1:11" s="46" customFormat="1">
      <c r="A71" s="59"/>
      <c r="F71" s="43"/>
      <c r="G71" s="43"/>
      <c r="H71" s="43"/>
      <c r="I71" s="43"/>
      <c r="J71" s="43"/>
      <c r="K71" s="43"/>
    </row>
    <row r="72" spans="1:11" s="46" customFormat="1">
      <c r="A72" s="59"/>
      <c r="F72" s="43"/>
      <c r="G72" s="43"/>
      <c r="H72" s="43"/>
      <c r="I72" s="43"/>
      <c r="J72" s="43"/>
      <c r="K72" s="43"/>
    </row>
    <row r="73" spans="1:11" s="46" customFormat="1">
      <c r="A73" s="59"/>
      <c r="F73" s="43"/>
      <c r="G73" s="43"/>
      <c r="H73" s="43"/>
      <c r="I73" s="43"/>
      <c r="J73" s="43"/>
      <c r="K73" s="43"/>
    </row>
    <row r="74" spans="1:11" s="46" customFormat="1">
      <c r="A74" s="59"/>
      <c r="F74" s="43"/>
      <c r="G74" s="43"/>
      <c r="H74" s="43"/>
      <c r="I74" s="43"/>
      <c r="J74" s="43"/>
      <c r="K74" s="43"/>
    </row>
    <row r="75" spans="1:11" s="46" customFormat="1">
      <c r="A75" s="59"/>
      <c r="F75" s="43"/>
      <c r="G75" s="43"/>
      <c r="H75" s="43"/>
      <c r="I75" s="43"/>
      <c r="J75" s="43"/>
      <c r="K75" s="43"/>
    </row>
    <row r="76" spans="1:11" s="46" customFormat="1">
      <c r="A76" s="59"/>
      <c r="F76" s="43"/>
      <c r="G76" s="43"/>
      <c r="H76" s="43"/>
      <c r="I76" s="43"/>
      <c r="J76" s="43"/>
      <c r="K76" s="43"/>
    </row>
    <row r="77" spans="1:11" s="46" customFormat="1">
      <c r="A77" s="59"/>
      <c r="F77" s="43"/>
      <c r="G77" s="43"/>
      <c r="H77" s="43"/>
      <c r="I77" s="43"/>
      <c r="J77" s="43"/>
      <c r="K77" s="43"/>
    </row>
    <row r="78" spans="1:11" s="46" customFormat="1">
      <c r="A78" s="59"/>
      <c r="F78" s="43"/>
      <c r="G78" s="43"/>
      <c r="H78" s="43"/>
      <c r="I78" s="43"/>
      <c r="J78" s="43"/>
      <c r="K78" s="43"/>
    </row>
    <row r="79" spans="1:11" s="46" customFormat="1">
      <c r="A79" s="59"/>
      <c r="F79" s="43"/>
      <c r="G79" s="43"/>
      <c r="H79" s="43"/>
      <c r="I79" s="43"/>
      <c r="J79" s="43"/>
      <c r="K79" s="43"/>
    </row>
    <row r="80" spans="1:11" s="46" customFormat="1">
      <c r="A80" s="59"/>
      <c r="F80" s="43"/>
      <c r="G80" s="43"/>
      <c r="H80" s="43"/>
      <c r="I80" s="43"/>
      <c r="J80" s="43"/>
      <c r="K80" s="43"/>
    </row>
    <row r="81" spans="1:11" s="46" customFormat="1">
      <c r="A81" s="59"/>
      <c r="F81" s="43"/>
      <c r="G81" s="43"/>
      <c r="H81" s="43"/>
      <c r="I81" s="43"/>
      <c r="J81" s="43"/>
      <c r="K81" s="43"/>
    </row>
    <row r="82" spans="1:11" s="46" customFormat="1">
      <c r="A82" s="59"/>
      <c r="F82" s="43"/>
      <c r="G82" s="43"/>
      <c r="H82" s="43"/>
      <c r="I82" s="43"/>
      <c r="J82" s="43"/>
      <c r="K82" s="43"/>
    </row>
    <row r="83" spans="1:11" s="46" customFormat="1">
      <c r="A83" s="59"/>
      <c r="F83" s="43"/>
      <c r="G83" s="43"/>
      <c r="H83" s="43"/>
      <c r="I83" s="43"/>
      <c r="J83" s="43"/>
      <c r="K83" s="43"/>
    </row>
    <row r="84" spans="1:11" s="46" customFormat="1">
      <c r="A84" s="59"/>
      <c r="F84" s="43"/>
      <c r="G84" s="43"/>
      <c r="H84" s="43"/>
      <c r="I84" s="43"/>
      <c r="J84" s="43"/>
      <c r="K84" s="43"/>
    </row>
    <row r="85" spans="1:11" s="46" customFormat="1">
      <c r="A85" s="59"/>
      <c r="F85" s="43"/>
      <c r="G85" s="43"/>
      <c r="H85" s="43"/>
      <c r="I85" s="43"/>
      <c r="J85" s="43"/>
      <c r="K85" s="43"/>
    </row>
    <row r="86" spans="1:11" s="46" customFormat="1">
      <c r="A86" s="59"/>
      <c r="F86" s="43"/>
      <c r="G86" s="43"/>
      <c r="H86" s="43"/>
      <c r="I86" s="43"/>
      <c r="J86" s="43"/>
      <c r="K86" s="43"/>
    </row>
    <row r="87" spans="1:11" s="46" customFormat="1">
      <c r="A87" s="59"/>
      <c r="F87" s="43"/>
      <c r="G87" s="43"/>
      <c r="H87" s="43"/>
      <c r="I87" s="43"/>
      <c r="J87" s="43"/>
      <c r="K87" s="43"/>
    </row>
    <row r="88" spans="1:11" s="46" customFormat="1">
      <c r="A88" s="59"/>
      <c r="F88" s="43"/>
      <c r="G88" s="43"/>
      <c r="H88" s="43"/>
      <c r="I88" s="43"/>
      <c r="J88" s="43"/>
      <c r="K88" s="43"/>
    </row>
    <row r="89" spans="1:11" s="46" customFormat="1">
      <c r="A89" s="59"/>
      <c r="F89" s="43"/>
      <c r="G89" s="43"/>
      <c r="H89" s="43"/>
      <c r="I89" s="43"/>
      <c r="J89" s="43"/>
      <c r="K89" s="43"/>
    </row>
    <row r="90" spans="1:11" s="46" customFormat="1">
      <c r="A90" s="59"/>
      <c r="F90" s="43"/>
      <c r="G90" s="43"/>
      <c r="H90" s="43"/>
      <c r="I90" s="43"/>
      <c r="J90" s="43"/>
      <c r="K90" s="43"/>
    </row>
    <row r="91" spans="1:11" s="46" customFormat="1">
      <c r="A91" s="59"/>
      <c r="F91" s="43"/>
      <c r="G91" s="43"/>
      <c r="H91" s="43"/>
      <c r="I91" s="43"/>
      <c r="J91" s="43"/>
      <c r="K91" s="43"/>
    </row>
    <row r="92" spans="1:11" s="46" customFormat="1">
      <c r="A92" s="59"/>
      <c r="F92" s="43"/>
      <c r="G92" s="43"/>
      <c r="H92" s="43"/>
      <c r="I92" s="43"/>
      <c r="J92" s="43"/>
      <c r="K92" s="43"/>
    </row>
    <row r="93" spans="1:11" s="46" customFormat="1">
      <c r="A93" s="59"/>
      <c r="F93" s="43"/>
      <c r="G93" s="43"/>
      <c r="H93" s="43"/>
      <c r="I93" s="43"/>
      <c r="J93" s="43"/>
      <c r="K93" s="43"/>
    </row>
    <row r="94" spans="1:11" s="46" customFormat="1">
      <c r="A94" s="59"/>
      <c r="F94" s="43"/>
      <c r="G94" s="43"/>
      <c r="H94" s="43"/>
      <c r="I94" s="43"/>
      <c r="J94" s="43"/>
      <c r="K94" s="43"/>
    </row>
    <row r="95" spans="1:11" s="46" customFormat="1">
      <c r="A95" s="59"/>
      <c r="F95" s="43"/>
      <c r="G95" s="43"/>
      <c r="H95" s="43"/>
      <c r="I95" s="43"/>
      <c r="J95" s="43"/>
      <c r="K95" s="43"/>
    </row>
    <row r="96" spans="1:11" s="46" customFormat="1">
      <c r="A96" s="59"/>
      <c r="F96" s="43"/>
      <c r="G96" s="43"/>
      <c r="H96" s="43"/>
      <c r="I96" s="43"/>
      <c r="J96" s="43"/>
      <c r="K96" s="43"/>
    </row>
    <row r="97" spans="1:11" s="46" customFormat="1">
      <c r="A97" s="59"/>
      <c r="F97" s="43"/>
      <c r="G97" s="43"/>
      <c r="H97" s="43"/>
      <c r="I97" s="43"/>
      <c r="J97" s="43"/>
      <c r="K97" s="43"/>
    </row>
    <row r="98" spans="1:11" s="46" customFormat="1">
      <c r="A98" s="59"/>
      <c r="F98" s="43"/>
      <c r="G98" s="43"/>
      <c r="H98" s="43"/>
      <c r="I98" s="43"/>
      <c r="J98" s="43"/>
      <c r="K98" s="43"/>
    </row>
    <row r="99" spans="1:11" s="46" customFormat="1">
      <c r="A99" s="59"/>
      <c r="F99" s="43"/>
      <c r="G99" s="43"/>
      <c r="H99" s="43"/>
      <c r="I99" s="43"/>
      <c r="J99" s="43"/>
      <c r="K99" s="43"/>
    </row>
    <row r="100" spans="1:11" s="46" customFormat="1">
      <c r="A100" s="59"/>
      <c r="F100" s="43"/>
      <c r="G100" s="43"/>
      <c r="H100" s="43"/>
      <c r="I100" s="43"/>
      <c r="J100" s="43"/>
      <c r="K100" s="43"/>
    </row>
    <row r="101" spans="1:11" s="46" customFormat="1">
      <c r="A101" s="59"/>
      <c r="F101" s="43"/>
      <c r="G101" s="43"/>
      <c r="H101" s="43"/>
      <c r="I101" s="43"/>
      <c r="J101" s="43"/>
      <c r="K101" s="43"/>
    </row>
    <row r="102" spans="1:11" s="46" customFormat="1">
      <c r="A102" s="59"/>
      <c r="F102" s="43"/>
      <c r="G102" s="43"/>
      <c r="H102" s="43"/>
      <c r="I102" s="43"/>
      <c r="J102" s="43"/>
      <c r="K102" s="43"/>
    </row>
    <row r="103" spans="1:11" s="46" customFormat="1">
      <c r="A103" s="59"/>
      <c r="F103" s="43"/>
      <c r="G103" s="43"/>
      <c r="H103" s="43"/>
      <c r="I103" s="43"/>
      <c r="J103" s="43"/>
      <c r="K103" s="43"/>
    </row>
    <row r="104" spans="1:11" s="46" customFormat="1">
      <c r="A104" s="59"/>
      <c r="F104" s="43"/>
      <c r="G104" s="43"/>
      <c r="H104" s="43"/>
      <c r="I104" s="43"/>
      <c r="J104" s="43"/>
      <c r="K104" s="43"/>
    </row>
    <row r="105" spans="1:11" s="46" customFormat="1">
      <c r="A105" s="59"/>
      <c r="F105" s="43"/>
      <c r="G105" s="43"/>
      <c r="H105" s="43"/>
      <c r="I105" s="43"/>
      <c r="J105" s="43"/>
      <c r="K105" s="43"/>
    </row>
    <row r="106" spans="1:11" s="46" customFormat="1">
      <c r="A106" s="59"/>
      <c r="F106" s="43"/>
      <c r="G106" s="43"/>
      <c r="H106" s="43"/>
      <c r="I106" s="43"/>
      <c r="J106" s="43"/>
      <c r="K106" s="43"/>
    </row>
    <row r="107" spans="1:11" s="46" customFormat="1">
      <c r="A107" s="59"/>
      <c r="F107" s="43"/>
      <c r="G107" s="43"/>
      <c r="H107" s="43"/>
      <c r="I107" s="43"/>
      <c r="J107" s="43"/>
      <c r="K107" s="43"/>
    </row>
    <row r="108" spans="1:11" s="46" customFormat="1">
      <c r="A108" s="59"/>
      <c r="F108" s="43"/>
      <c r="G108" s="43"/>
      <c r="H108" s="43"/>
      <c r="I108" s="43"/>
      <c r="J108" s="43"/>
      <c r="K108" s="43"/>
    </row>
    <row r="109" spans="1:11" s="46" customFormat="1">
      <c r="A109" s="59"/>
      <c r="F109" s="43"/>
      <c r="G109" s="43"/>
      <c r="H109" s="43"/>
      <c r="I109" s="43"/>
      <c r="J109" s="43"/>
      <c r="K109" s="43"/>
    </row>
    <row r="110" spans="1:11" s="46" customFormat="1">
      <c r="A110" s="59"/>
      <c r="F110" s="43"/>
      <c r="G110" s="43"/>
      <c r="H110" s="43"/>
      <c r="I110" s="43"/>
      <c r="J110" s="43"/>
      <c r="K110" s="43"/>
    </row>
    <row r="111" spans="1:11" s="46" customFormat="1">
      <c r="A111" s="59"/>
      <c r="F111" s="43"/>
      <c r="G111" s="43"/>
      <c r="H111" s="43"/>
      <c r="I111" s="43"/>
      <c r="J111" s="43"/>
      <c r="K111" s="43"/>
    </row>
    <row r="112" spans="1:11" s="46" customFormat="1">
      <c r="A112" s="59"/>
      <c r="F112" s="43"/>
      <c r="G112" s="43"/>
      <c r="H112" s="43"/>
      <c r="I112" s="43"/>
      <c r="J112" s="43"/>
      <c r="K112" s="43"/>
    </row>
    <row r="113" spans="1:11" s="46" customFormat="1">
      <c r="A113" s="59"/>
      <c r="F113" s="43"/>
      <c r="G113" s="43"/>
      <c r="H113" s="43"/>
      <c r="I113" s="43"/>
      <c r="J113" s="43"/>
      <c r="K113" s="43"/>
    </row>
    <row r="114" spans="1:11" s="46" customFormat="1">
      <c r="A114" s="59"/>
      <c r="F114" s="43"/>
      <c r="G114" s="43"/>
      <c r="H114" s="43"/>
      <c r="I114" s="43"/>
      <c r="J114" s="43"/>
      <c r="K114" s="43"/>
    </row>
    <row r="115" spans="1:11" s="46" customFormat="1">
      <c r="A115" s="59"/>
      <c r="F115" s="43"/>
      <c r="G115" s="43"/>
      <c r="H115" s="43"/>
      <c r="I115" s="43"/>
      <c r="J115" s="43"/>
      <c r="K115" s="43"/>
    </row>
    <row r="116" spans="1:11" s="46" customFormat="1">
      <c r="A116" s="59"/>
      <c r="F116" s="43"/>
      <c r="G116" s="43"/>
      <c r="H116" s="43"/>
      <c r="I116" s="43"/>
      <c r="J116" s="43"/>
      <c r="K116" s="43"/>
    </row>
    <row r="117" spans="1:11" s="46" customFormat="1">
      <c r="A117" s="59"/>
      <c r="F117" s="43"/>
      <c r="G117" s="43"/>
      <c r="H117" s="43"/>
      <c r="I117" s="43"/>
      <c r="J117" s="43"/>
      <c r="K117" s="43"/>
    </row>
    <row r="118" spans="1:11" s="46" customFormat="1">
      <c r="A118" s="59"/>
      <c r="F118" s="43"/>
      <c r="G118" s="43"/>
      <c r="H118" s="43"/>
      <c r="I118" s="43"/>
      <c r="J118" s="43"/>
      <c r="K118" s="43"/>
    </row>
    <row r="119" spans="1:11" s="46" customFormat="1">
      <c r="A119" s="59"/>
      <c r="F119" s="43"/>
      <c r="G119" s="43"/>
      <c r="H119" s="43"/>
      <c r="I119" s="43"/>
      <c r="J119" s="43"/>
      <c r="K119" s="43"/>
    </row>
    <row r="120" spans="1:11" s="46" customFormat="1">
      <c r="A120" s="59"/>
      <c r="F120" s="43"/>
      <c r="G120" s="43"/>
      <c r="H120" s="43"/>
      <c r="I120" s="43"/>
      <c r="J120" s="43"/>
      <c r="K120" s="43"/>
    </row>
    <row r="121" spans="1:11" s="46" customFormat="1">
      <c r="A121" s="59"/>
      <c r="F121" s="43"/>
      <c r="G121" s="43"/>
      <c r="H121" s="43"/>
      <c r="I121" s="43"/>
      <c r="J121" s="43"/>
      <c r="K121" s="43"/>
    </row>
    <row r="122" spans="1:11" s="46" customFormat="1">
      <c r="A122" s="59"/>
      <c r="F122" s="43"/>
      <c r="G122" s="43"/>
      <c r="H122" s="43"/>
      <c r="I122" s="43"/>
      <c r="J122" s="43"/>
      <c r="K122" s="43"/>
    </row>
    <row r="123" spans="1:11" s="46" customFormat="1">
      <c r="A123" s="59"/>
      <c r="F123" s="43"/>
      <c r="G123" s="43"/>
      <c r="H123" s="43"/>
      <c r="I123" s="43"/>
      <c r="J123" s="43"/>
      <c r="K123" s="43"/>
    </row>
    <row r="124" spans="1:11" s="46" customFormat="1">
      <c r="A124" s="59"/>
      <c r="F124" s="43"/>
      <c r="G124" s="43"/>
      <c r="H124" s="43"/>
      <c r="I124" s="43"/>
      <c r="J124" s="43"/>
      <c r="K124" s="43"/>
    </row>
    <row r="125" spans="1:11" s="46" customFormat="1">
      <c r="A125" s="59"/>
      <c r="F125" s="43"/>
      <c r="G125" s="43"/>
      <c r="H125" s="43"/>
      <c r="I125" s="43"/>
      <c r="J125" s="43"/>
      <c r="K125" s="43"/>
    </row>
    <row r="126" spans="1:11" s="46" customFormat="1">
      <c r="A126" s="59"/>
      <c r="F126" s="43"/>
      <c r="G126" s="43"/>
      <c r="H126" s="43"/>
      <c r="I126" s="43"/>
      <c r="J126" s="43"/>
      <c r="K126" s="43"/>
    </row>
    <row r="127" spans="1:11" s="46" customFormat="1">
      <c r="A127" s="59"/>
      <c r="F127" s="43"/>
      <c r="G127" s="43"/>
      <c r="H127" s="43"/>
      <c r="I127" s="43"/>
      <c r="J127" s="43"/>
      <c r="K127" s="43"/>
    </row>
    <row r="128" spans="1:11" s="46" customFormat="1">
      <c r="A128" s="59"/>
      <c r="F128" s="43"/>
      <c r="G128" s="43"/>
      <c r="H128" s="43"/>
      <c r="I128" s="43"/>
      <c r="J128" s="43"/>
      <c r="K128" s="43"/>
    </row>
    <row r="129" spans="1:11" s="46" customFormat="1">
      <c r="A129" s="59"/>
      <c r="F129" s="43"/>
      <c r="G129" s="43"/>
      <c r="H129" s="43"/>
      <c r="I129" s="43"/>
      <c r="J129" s="43"/>
      <c r="K129" s="43"/>
    </row>
    <row r="130" spans="1:11" s="46" customFormat="1">
      <c r="A130" s="59"/>
      <c r="F130" s="43"/>
      <c r="G130" s="43"/>
      <c r="H130" s="43"/>
      <c r="I130" s="43"/>
      <c r="J130" s="43"/>
      <c r="K130" s="43"/>
    </row>
    <row r="131" spans="1:11" s="46" customFormat="1">
      <c r="A131" s="59"/>
      <c r="F131" s="43"/>
      <c r="G131" s="43"/>
      <c r="H131" s="43"/>
      <c r="I131" s="43"/>
      <c r="J131" s="43"/>
      <c r="K131" s="43"/>
    </row>
    <row r="132" spans="1:11" s="46" customFormat="1">
      <c r="A132" s="59"/>
      <c r="F132" s="43"/>
      <c r="G132" s="43"/>
      <c r="H132" s="43"/>
      <c r="I132" s="43"/>
      <c r="J132" s="43"/>
      <c r="K132" s="43"/>
    </row>
    <row r="133" spans="1:11" s="46" customFormat="1">
      <c r="A133" s="59"/>
      <c r="F133" s="43"/>
      <c r="G133" s="43"/>
      <c r="H133" s="43"/>
      <c r="I133" s="43"/>
      <c r="J133" s="43"/>
      <c r="K133" s="43"/>
    </row>
    <row r="134" spans="1:11" s="46" customFormat="1">
      <c r="A134" s="59"/>
      <c r="F134" s="43"/>
      <c r="G134" s="43"/>
      <c r="H134" s="43"/>
      <c r="I134" s="43"/>
      <c r="J134" s="43"/>
      <c r="K134" s="43"/>
    </row>
    <row r="135" spans="1:11" s="46" customFormat="1">
      <c r="A135" s="59"/>
      <c r="F135" s="43"/>
      <c r="G135" s="43"/>
      <c r="H135" s="43"/>
      <c r="I135" s="43"/>
      <c r="J135" s="43"/>
      <c r="K135" s="43"/>
    </row>
    <row r="136" spans="1:11" s="46" customFormat="1">
      <c r="A136" s="59"/>
      <c r="F136" s="43"/>
      <c r="G136" s="43"/>
      <c r="H136" s="43"/>
      <c r="I136" s="43"/>
      <c r="J136" s="43"/>
      <c r="K136" s="43"/>
    </row>
    <row r="137" spans="1:11" s="46" customFormat="1">
      <c r="A137" s="59"/>
      <c r="F137" s="43"/>
      <c r="G137" s="43"/>
      <c r="H137" s="43"/>
      <c r="I137" s="43"/>
      <c r="J137" s="43"/>
      <c r="K137" s="43"/>
    </row>
    <row r="138" spans="1:11" s="46" customFormat="1">
      <c r="A138" s="59"/>
      <c r="F138" s="43"/>
      <c r="G138" s="43"/>
      <c r="H138" s="43"/>
      <c r="I138" s="43"/>
      <c r="J138" s="43"/>
      <c r="K138" s="43"/>
    </row>
    <row r="139" spans="1:11" s="46" customFormat="1">
      <c r="A139" s="59"/>
      <c r="F139" s="43"/>
      <c r="G139" s="43"/>
      <c r="H139" s="43"/>
      <c r="I139" s="43"/>
      <c r="J139" s="43"/>
      <c r="K139" s="43"/>
    </row>
    <row r="140" spans="1:11" s="46" customFormat="1">
      <c r="A140" s="59"/>
      <c r="F140" s="43"/>
      <c r="G140" s="43"/>
      <c r="H140" s="43"/>
      <c r="I140" s="43"/>
      <c r="J140" s="43"/>
      <c r="K140" s="43"/>
    </row>
    <row r="141" spans="1:11" s="46" customFormat="1">
      <c r="A141" s="59"/>
      <c r="F141" s="43"/>
      <c r="G141" s="43"/>
      <c r="H141" s="43"/>
      <c r="I141" s="43"/>
      <c r="J141" s="43"/>
      <c r="K141" s="43"/>
    </row>
    <row r="142" spans="1:11" s="46" customFormat="1">
      <c r="A142" s="59"/>
      <c r="F142" s="43"/>
      <c r="G142" s="43"/>
      <c r="H142" s="43"/>
      <c r="I142" s="43"/>
      <c r="J142" s="43"/>
      <c r="K142" s="43"/>
    </row>
    <row r="143" spans="1:11" s="46" customFormat="1">
      <c r="A143" s="59"/>
      <c r="F143" s="43"/>
      <c r="G143" s="43"/>
      <c r="H143" s="43"/>
      <c r="I143" s="43"/>
      <c r="J143" s="43"/>
      <c r="K143" s="43"/>
    </row>
    <row r="144" spans="1:11" s="46" customFormat="1">
      <c r="A144" s="59"/>
      <c r="F144" s="43"/>
      <c r="G144" s="43"/>
      <c r="H144" s="43"/>
      <c r="I144" s="43"/>
      <c r="J144" s="43"/>
      <c r="K144" s="43"/>
    </row>
    <row r="145" spans="1:11" s="46" customFormat="1">
      <c r="A145" s="59"/>
      <c r="F145" s="43"/>
      <c r="G145" s="43"/>
      <c r="H145" s="43"/>
      <c r="I145" s="43"/>
      <c r="J145" s="43"/>
      <c r="K145" s="43"/>
    </row>
    <row r="146" spans="1:11" s="46" customFormat="1">
      <c r="A146" s="59"/>
      <c r="F146" s="43"/>
      <c r="G146" s="43"/>
      <c r="H146" s="43"/>
      <c r="I146" s="43"/>
      <c r="J146" s="43"/>
      <c r="K146" s="43"/>
    </row>
    <row r="147" spans="1:11" s="46" customFormat="1">
      <c r="A147" s="59"/>
      <c r="F147" s="43"/>
      <c r="G147" s="43"/>
      <c r="H147" s="43"/>
      <c r="I147" s="43"/>
      <c r="J147" s="43"/>
      <c r="K147" s="43"/>
    </row>
    <row r="148" spans="1:11" s="46" customFormat="1">
      <c r="A148" s="59"/>
      <c r="F148" s="43"/>
      <c r="G148" s="43"/>
      <c r="H148" s="43"/>
      <c r="I148" s="43"/>
      <c r="J148" s="43"/>
      <c r="K148" s="43"/>
    </row>
    <row r="149" spans="1:11" s="46" customFormat="1">
      <c r="A149" s="59"/>
      <c r="F149" s="43"/>
      <c r="G149" s="43"/>
      <c r="H149" s="43"/>
      <c r="I149" s="43"/>
      <c r="J149" s="43"/>
      <c r="K149" s="43"/>
    </row>
    <row r="150" spans="1:11" s="46" customFormat="1">
      <c r="A150" s="59"/>
      <c r="F150" s="43"/>
      <c r="G150" s="43"/>
      <c r="H150" s="43"/>
      <c r="I150" s="43"/>
      <c r="J150" s="43"/>
      <c r="K150" s="43"/>
    </row>
    <row r="151" spans="1:11" s="46" customFormat="1">
      <c r="A151" s="59"/>
      <c r="F151" s="43"/>
      <c r="G151" s="43"/>
      <c r="H151" s="43"/>
      <c r="I151" s="43"/>
      <c r="J151" s="43"/>
      <c r="K151" s="43"/>
    </row>
    <row r="152" spans="1:11" s="46" customFormat="1">
      <c r="A152" s="59"/>
      <c r="F152" s="43"/>
      <c r="G152" s="43"/>
      <c r="H152" s="43"/>
      <c r="I152" s="43"/>
      <c r="J152" s="43"/>
      <c r="K152" s="43"/>
    </row>
    <row r="153" spans="1:11" s="46" customFormat="1">
      <c r="A153" s="59"/>
      <c r="F153" s="43"/>
      <c r="G153" s="43"/>
      <c r="H153" s="43"/>
      <c r="I153" s="43"/>
      <c r="J153" s="43"/>
      <c r="K153" s="43"/>
    </row>
    <row r="154" spans="1:11" s="46" customFormat="1">
      <c r="A154" s="59"/>
      <c r="F154" s="43"/>
      <c r="G154" s="43"/>
      <c r="H154" s="43"/>
      <c r="I154" s="43"/>
      <c r="J154" s="43"/>
      <c r="K154" s="43"/>
    </row>
    <row r="155" spans="1:11" s="46" customFormat="1">
      <c r="A155" s="59"/>
      <c r="F155" s="43"/>
      <c r="G155" s="43"/>
      <c r="H155" s="43"/>
      <c r="I155" s="43"/>
      <c r="J155" s="43"/>
      <c r="K155" s="43"/>
    </row>
    <row r="156" spans="1:11" s="46" customFormat="1">
      <c r="A156" s="59"/>
      <c r="F156" s="43"/>
      <c r="G156" s="43"/>
      <c r="H156" s="43"/>
      <c r="I156" s="43"/>
      <c r="J156" s="43"/>
      <c r="K156" s="43"/>
    </row>
    <row r="157" spans="1:11" s="46" customFormat="1">
      <c r="A157" s="59"/>
      <c r="F157" s="43"/>
      <c r="G157" s="43"/>
      <c r="H157" s="43"/>
      <c r="I157" s="43"/>
      <c r="J157" s="43"/>
      <c r="K157" s="43"/>
    </row>
    <row r="158" spans="1:11" s="46" customFormat="1">
      <c r="A158" s="59"/>
      <c r="F158" s="43"/>
      <c r="G158" s="43"/>
      <c r="H158" s="43"/>
      <c r="I158" s="43"/>
      <c r="J158" s="43"/>
      <c r="K158" s="43"/>
    </row>
    <row r="159" spans="1:11" s="46" customFormat="1">
      <c r="A159" s="59"/>
      <c r="F159" s="43"/>
      <c r="G159" s="43"/>
      <c r="H159" s="43"/>
      <c r="I159" s="43"/>
      <c r="J159" s="43"/>
      <c r="K159" s="43"/>
    </row>
    <row r="160" spans="1:11" s="46" customFormat="1">
      <c r="A160" s="59"/>
      <c r="F160" s="43"/>
      <c r="G160" s="43"/>
      <c r="H160" s="43"/>
      <c r="I160" s="43"/>
      <c r="J160" s="43"/>
      <c r="K160" s="43"/>
    </row>
    <row r="161" spans="1:11" s="46" customFormat="1">
      <c r="A161" s="59"/>
      <c r="F161" s="43"/>
      <c r="G161" s="43"/>
      <c r="H161" s="43"/>
      <c r="I161" s="43"/>
      <c r="J161" s="43"/>
      <c r="K161" s="43"/>
    </row>
    <row r="162" spans="1:11" s="46" customFormat="1">
      <c r="A162" s="59"/>
      <c r="F162" s="43"/>
      <c r="G162" s="43"/>
      <c r="H162" s="43"/>
      <c r="I162" s="43"/>
      <c r="J162" s="43"/>
      <c r="K162" s="43"/>
    </row>
    <row r="163" spans="1:11" s="46" customFormat="1">
      <c r="A163" s="59"/>
      <c r="F163" s="43"/>
      <c r="G163" s="43"/>
      <c r="H163" s="43"/>
      <c r="I163" s="43"/>
      <c r="J163" s="43"/>
      <c r="K163" s="43"/>
    </row>
    <row r="164" spans="1:11" s="46" customFormat="1">
      <c r="A164" s="59"/>
      <c r="F164" s="43"/>
      <c r="G164" s="43"/>
      <c r="H164" s="43"/>
      <c r="I164" s="43"/>
      <c r="J164" s="43"/>
      <c r="K164" s="43"/>
    </row>
    <row r="165" spans="1:11" s="46" customFormat="1">
      <c r="A165" s="59"/>
      <c r="F165" s="43"/>
      <c r="G165" s="43"/>
      <c r="H165" s="43"/>
      <c r="I165" s="43"/>
      <c r="J165" s="43"/>
      <c r="K165" s="43"/>
    </row>
    <row r="166" spans="1:11" s="46" customFormat="1">
      <c r="A166" s="59"/>
      <c r="F166" s="43"/>
      <c r="G166" s="43"/>
      <c r="H166" s="43"/>
      <c r="I166" s="43"/>
      <c r="J166" s="43"/>
      <c r="K166" s="43"/>
    </row>
    <row r="167" spans="1:11" s="46" customFormat="1">
      <c r="A167" s="59"/>
      <c r="F167" s="43"/>
      <c r="G167" s="43"/>
      <c r="H167" s="43"/>
      <c r="I167" s="43"/>
      <c r="J167" s="43"/>
      <c r="K167" s="43"/>
    </row>
    <row r="168" spans="1:11" s="46" customFormat="1">
      <c r="A168" s="59"/>
      <c r="F168" s="43"/>
      <c r="G168" s="43"/>
      <c r="H168" s="43"/>
      <c r="I168" s="43"/>
      <c r="J168" s="43"/>
      <c r="K168" s="43"/>
    </row>
    <row r="169" spans="1:11" s="46" customFormat="1">
      <c r="A169" s="59"/>
      <c r="F169" s="43"/>
      <c r="G169" s="43"/>
      <c r="H169" s="43"/>
      <c r="I169" s="43"/>
      <c r="J169" s="43"/>
      <c r="K169" s="43"/>
    </row>
    <row r="170" spans="1:11" s="46" customFormat="1">
      <c r="A170" s="59"/>
      <c r="F170" s="43"/>
      <c r="G170" s="43"/>
      <c r="H170" s="43"/>
      <c r="I170" s="43"/>
      <c r="J170" s="43"/>
      <c r="K170" s="43"/>
    </row>
    <row r="171" spans="1:11" s="46" customFormat="1">
      <c r="A171" s="59"/>
      <c r="F171" s="43"/>
      <c r="G171" s="43"/>
      <c r="H171" s="43"/>
      <c r="I171" s="43"/>
      <c r="J171" s="43"/>
      <c r="K171" s="43"/>
    </row>
    <row r="172" spans="1:11" s="46" customFormat="1">
      <c r="A172" s="59"/>
      <c r="F172" s="43"/>
      <c r="G172" s="43"/>
      <c r="H172" s="43"/>
      <c r="I172" s="43"/>
      <c r="J172" s="43"/>
      <c r="K172" s="43"/>
    </row>
    <row r="173" spans="1:11" s="46" customFormat="1">
      <c r="A173" s="59"/>
      <c r="F173" s="43"/>
      <c r="G173" s="43"/>
      <c r="H173" s="43"/>
      <c r="I173" s="43"/>
      <c r="J173" s="43"/>
      <c r="K173" s="43"/>
    </row>
    <row r="174" spans="1:11" s="46" customFormat="1">
      <c r="A174" s="59"/>
      <c r="F174" s="43"/>
      <c r="G174" s="43"/>
      <c r="H174" s="43"/>
      <c r="I174" s="43"/>
      <c r="J174" s="43"/>
      <c r="K174" s="43"/>
    </row>
    <row r="175" spans="1:11" s="46" customFormat="1">
      <c r="A175" s="59"/>
      <c r="F175" s="43"/>
      <c r="G175" s="43"/>
      <c r="H175" s="43"/>
      <c r="I175" s="43"/>
      <c r="J175" s="43"/>
      <c r="K175" s="43"/>
    </row>
    <row r="176" spans="1:11" s="46" customFormat="1">
      <c r="A176" s="59"/>
      <c r="F176" s="43"/>
      <c r="G176" s="43"/>
      <c r="H176" s="43"/>
      <c r="I176" s="43"/>
      <c r="J176" s="43"/>
      <c r="K176" s="43"/>
    </row>
    <row r="177" spans="1:11" s="46" customFormat="1">
      <c r="A177" s="59"/>
      <c r="F177" s="43"/>
      <c r="G177" s="43"/>
      <c r="H177" s="43"/>
      <c r="I177" s="43"/>
      <c r="J177" s="43"/>
      <c r="K177" s="43"/>
    </row>
    <row r="178" spans="1:11" s="46" customFormat="1">
      <c r="A178" s="59"/>
      <c r="F178" s="43"/>
      <c r="G178" s="43"/>
      <c r="H178" s="43"/>
      <c r="I178" s="43"/>
      <c r="J178" s="43"/>
      <c r="K178" s="43"/>
    </row>
    <row r="179" spans="1:11" s="46" customFormat="1">
      <c r="A179" s="59"/>
      <c r="F179" s="43"/>
      <c r="G179" s="43"/>
      <c r="H179" s="43"/>
      <c r="I179" s="43"/>
      <c r="J179" s="43"/>
      <c r="K179" s="43"/>
    </row>
    <row r="180" spans="1:11" s="46" customFormat="1">
      <c r="A180" s="59"/>
      <c r="F180" s="43"/>
      <c r="G180" s="43"/>
      <c r="H180" s="43"/>
      <c r="I180" s="43"/>
      <c r="J180" s="43"/>
      <c r="K180" s="43"/>
    </row>
    <row r="181" spans="1:11" s="46" customFormat="1">
      <c r="A181" s="59"/>
      <c r="F181" s="43"/>
      <c r="G181" s="43"/>
      <c r="H181" s="43"/>
      <c r="I181" s="43"/>
      <c r="J181" s="43"/>
      <c r="K181" s="43"/>
    </row>
    <row r="182" spans="1:11" s="46" customFormat="1">
      <c r="A182" s="59"/>
      <c r="F182" s="43"/>
      <c r="G182" s="43"/>
      <c r="H182" s="43"/>
      <c r="I182" s="43"/>
      <c r="J182" s="43"/>
      <c r="K182" s="43"/>
    </row>
    <row r="183" spans="1:11" s="46" customFormat="1">
      <c r="A183" s="59"/>
      <c r="F183" s="43"/>
      <c r="G183" s="43"/>
      <c r="H183" s="43"/>
      <c r="I183" s="43"/>
      <c r="J183" s="43"/>
      <c r="K183" s="43"/>
    </row>
    <row r="184" spans="1:11" s="46" customFormat="1">
      <c r="A184" s="59"/>
      <c r="F184" s="43"/>
      <c r="G184" s="43"/>
      <c r="H184" s="43"/>
      <c r="I184" s="43"/>
      <c r="J184" s="43"/>
      <c r="K184" s="43"/>
    </row>
    <row r="185" spans="1:11" s="46" customFormat="1">
      <c r="A185" s="59"/>
      <c r="F185" s="43"/>
      <c r="G185" s="43"/>
      <c r="H185" s="43"/>
      <c r="I185" s="43"/>
      <c r="J185" s="43"/>
      <c r="K185" s="43"/>
    </row>
    <row r="186" spans="1:11" s="46" customFormat="1">
      <c r="A186" s="59"/>
      <c r="F186" s="43"/>
      <c r="G186" s="43"/>
      <c r="H186" s="43"/>
      <c r="I186" s="43"/>
      <c r="J186" s="43"/>
      <c r="K186" s="43"/>
    </row>
    <row r="187" spans="1:11" s="46" customFormat="1">
      <c r="A187" s="59"/>
      <c r="F187" s="43"/>
      <c r="G187" s="43"/>
      <c r="H187" s="43"/>
      <c r="I187" s="43"/>
      <c r="J187" s="43"/>
      <c r="K187" s="43"/>
    </row>
    <row r="188" spans="1:11" s="46" customFormat="1">
      <c r="A188" s="59"/>
      <c r="F188" s="43"/>
      <c r="G188" s="43"/>
      <c r="H188" s="43"/>
      <c r="I188" s="43"/>
      <c r="J188" s="43"/>
      <c r="K188" s="43"/>
    </row>
    <row r="189" spans="1:11" s="46" customFormat="1">
      <c r="A189" s="59"/>
      <c r="F189" s="43"/>
      <c r="G189" s="43"/>
      <c r="H189" s="43"/>
      <c r="I189" s="43"/>
      <c r="J189" s="43"/>
      <c r="K189" s="43"/>
    </row>
    <row r="190" spans="1:11" s="46" customFormat="1">
      <c r="A190" s="59"/>
      <c r="F190" s="43"/>
      <c r="G190" s="43"/>
      <c r="H190" s="43"/>
      <c r="I190" s="43"/>
      <c r="J190" s="43"/>
      <c r="K190" s="43"/>
    </row>
    <row r="191" spans="1:11" s="46" customFormat="1">
      <c r="A191" s="59"/>
      <c r="F191" s="43"/>
      <c r="G191" s="43"/>
      <c r="H191" s="43"/>
      <c r="I191" s="43"/>
      <c r="J191" s="43"/>
      <c r="K191" s="43"/>
    </row>
  </sheetData>
  <sheetProtection password="C6FB" sheet="1"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1:E41"/>
    <mergeCell ref="G41:I41"/>
    <mergeCell ref="A6:I6"/>
    <mergeCell ref="A18:I18"/>
    <mergeCell ref="C40:E40"/>
    <mergeCell ref="G40:I40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108"/>
  <sheetViews>
    <sheetView view="pageBreakPreview" zoomScale="75" zoomScaleNormal="75" zoomScaleSheetLayoutView="50" workbookViewId="0">
      <pane ySplit="5" topLeftCell="A6" activePane="bottomLeft" state="frozen"/>
      <selection pane="bottomLeft" activeCell="G76" sqref="G76:I76"/>
    </sheetView>
  </sheetViews>
  <sheetFormatPr defaultColWidth="9.140625"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384" width="9.140625" style="1"/>
  </cols>
  <sheetData>
    <row r="1" spans="1:10">
      <c r="A1" s="345" t="s">
        <v>383</v>
      </c>
      <c r="B1" s="345"/>
      <c r="C1" s="345"/>
      <c r="D1" s="345"/>
      <c r="E1" s="345"/>
      <c r="F1" s="345"/>
      <c r="G1" s="345"/>
      <c r="H1" s="345"/>
      <c r="I1" s="345"/>
    </row>
    <row r="2" spans="1:10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10" ht="48" customHeight="1">
      <c r="A3" s="371" t="s">
        <v>279</v>
      </c>
      <c r="B3" s="369" t="s">
        <v>0</v>
      </c>
      <c r="C3" s="369" t="s">
        <v>32</v>
      </c>
      <c r="D3" s="369" t="s">
        <v>71</v>
      </c>
      <c r="E3" s="369" t="s">
        <v>185</v>
      </c>
      <c r="F3" s="370" t="s">
        <v>375</v>
      </c>
      <c r="G3" s="370"/>
      <c r="H3" s="370"/>
      <c r="I3" s="370"/>
    </row>
    <row r="4" spans="1:10" ht="38.25" customHeight="1">
      <c r="A4" s="372"/>
      <c r="B4" s="369"/>
      <c r="C4" s="369"/>
      <c r="D4" s="369"/>
      <c r="E4" s="369"/>
      <c r="F4" s="11" t="s">
        <v>384</v>
      </c>
      <c r="G4" s="11" t="s">
        <v>377</v>
      </c>
      <c r="H4" s="11" t="s">
        <v>378</v>
      </c>
      <c r="I4" s="11" t="s">
        <v>87</v>
      </c>
    </row>
    <row r="5" spans="1:10" ht="18" customHeight="1">
      <c r="A5" s="7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spans="1:10" s="57" customFormat="1" ht="20.100000000000001" customHeight="1">
      <c r="A6" s="362" t="s">
        <v>175</v>
      </c>
      <c r="B6" s="363"/>
      <c r="C6" s="363"/>
      <c r="D6" s="363"/>
      <c r="E6" s="363"/>
      <c r="F6" s="363"/>
      <c r="G6" s="363"/>
      <c r="H6" s="363"/>
      <c r="I6" s="364"/>
    </row>
    <row r="7" spans="1:10" ht="37.5">
      <c r="A7" s="183" t="s">
        <v>195</v>
      </c>
      <c r="B7" s="168">
        <v>1170</v>
      </c>
      <c r="C7" s="188">
        <f>'I. Фін результат'!C72</f>
        <v>0</v>
      </c>
      <c r="D7" s="188">
        <f>'I. Фін результат'!D72</f>
        <v>0</v>
      </c>
      <c r="E7" s="188">
        <f>'I. Фін результат'!E72</f>
        <v>-28</v>
      </c>
      <c r="F7" s="188">
        <f>'I. Фін результат'!F72</f>
        <v>-475</v>
      </c>
      <c r="G7" s="188">
        <f>'I. Фін результат'!G72</f>
        <v>-1414</v>
      </c>
      <c r="H7" s="188">
        <f>'I. Фін результат'!H72</f>
        <v>-2254</v>
      </c>
      <c r="I7" s="188">
        <f>'I. Фін результат'!I72</f>
        <v>-2776</v>
      </c>
    </row>
    <row r="8" spans="1:10" ht="20.100000000000001" customHeight="1">
      <c r="A8" s="183" t="s">
        <v>196</v>
      </c>
      <c r="B8" s="224"/>
      <c r="C8" s="194"/>
      <c r="D8" s="194"/>
      <c r="E8" s="194"/>
      <c r="F8" s="194"/>
      <c r="G8" s="194"/>
      <c r="H8" s="194"/>
      <c r="I8" s="194"/>
    </row>
    <row r="9" spans="1:10" ht="20.100000000000001" customHeight="1">
      <c r="A9" s="183" t="s">
        <v>199</v>
      </c>
      <c r="B9" s="187">
        <v>3000</v>
      </c>
      <c r="C9" s="188">
        <f>'I. Фін результат'!C98</f>
        <v>0</v>
      </c>
      <c r="D9" s="188">
        <f>'I. Фін результат'!D98</f>
        <v>0</v>
      </c>
      <c r="E9" s="188">
        <f>'I. Фін результат'!E98</f>
        <v>0</v>
      </c>
      <c r="F9" s="188">
        <f>'I. Фін результат'!F98</f>
        <v>7</v>
      </c>
      <c r="G9" s="188">
        <f>'I. Фін результат'!G98</f>
        <v>115</v>
      </c>
      <c r="H9" s="188">
        <f>'I. Фін результат'!H98</f>
        <v>241</v>
      </c>
      <c r="I9" s="188">
        <f>'I. Фін результат'!I98</f>
        <v>366</v>
      </c>
    </row>
    <row r="10" spans="1:10" ht="20.100000000000001" customHeight="1">
      <c r="A10" s="183" t="s">
        <v>200</v>
      </c>
      <c r="B10" s="187">
        <v>3010</v>
      </c>
      <c r="C10" s="189"/>
      <c r="D10" s="189"/>
      <c r="E10" s="189"/>
      <c r="F10" s="189"/>
      <c r="G10" s="189"/>
      <c r="H10" s="189"/>
      <c r="I10" s="189"/>
    </row>
    <row r="11" spans="1:10" ht="37.5">
      <c r="A11" s="183" t="s">
        <v>201</v>
      </c>
      <c r="B11" s="187">
        <v>3020</v>
      </c>
      <c r="C11" s="189"/>
      <c r="D11" s="189"/>
      <c r="E11" s="189"/>
      <c r="F11" s="189"/>
      <c r="G11" s="189"/>
      <c r="H11" s="189"/>
      <c r="I11" s="189"/>
    </row>
    <row r="12" spans="1:10" ht="56.25">
      <c r="A12" s="183" t="s">
        <v>202</v>
      </c>
      <c r="B12" s="187">
        <v>3030</v>
      </c>
      <c r="C12" s="189"/>
      <c r="D12" s="189"/>
      <c r="E12" s="204">
        <f>E13+E14</f>
        <v>-446</v>
      </c>
      <c r="F12" s="204">
        <f t="shared" ref="F12:I12" si="0">F13+F14</f>
        <v>-7</v>
      </c>
      <c r="G12" s="204">
        <f t="shared" si="0"/>
        <v>-14</v>
      </c>
      <c r="H12" s="204">
        <f t="shared" si="0"/>
        <v>-21</v>
      </c>
      <c r="I12" s="204">
        <f t="shared" si="0"/>
        <v>-28</v>
      </c>
      <c r="J12" s="1" t="s">
        <v>490</v>
      </c>
    </row>
    <row r="13" spans="1:10">
      <c r="A13" s="309" t="s">
        <v>494</v>
      </c>
      <c r="B13" s="310" t="s">
        <v>491</v>
      </c>
      <c r="C13" s="204"/>
      <c r="D13" s="204"/>
      <c r="E13" s="204">
        <v>-446</v>
      </c>
      <c r="F13" s="189"/>
      <c r="G13" s="189"/>
      <c r="H13" s="189"/>
      <c r="I13" s="189"/>
    </row>
    <row r="14" spans="1:10" ht="37.5">
      <c r="A14" s="183" t="s">
        <v>493</v>
      </c>
      <c r="B14" s="187" t="s">
        <v>492</v>
      </c>
      <c r="C14" s="189"/>
      <c r="D14" s="189"/>
      <c r="E14" s="204"/>
      <c r="F14" s="189">
        <f>'I. Фін результат'!F68*-1</f>
        <v>-7</v>
      </c>
      <c r="G14" s="189">
        <f>'I. Фін результат'!G68*-1</f>
        <v>-14</v>
      </c>
      <c r="H14" s="189">
        <f>'I. Фін результат'!H68*-1</f>
        <v>-21</v>
      </c>
      <c r="I14" s="189">
        <f>'I. Фін результат'!I68*-1</f>
        <v>-28</v>
      </c>
    </row>
    <row r="15" spans="1:10" ht="42.75" customHeight="1">
      <c r="A15" s="185" t="s">
        <v>262</v>
      </c>
      <c r="B15" s="225">
        <v>3040</v>
      </c>
      <c r="C15" s="190">
        <f t="shared" ref="C15:I15" si="1">SUM(C7:C12)</f>
        <v>0</v>
      </c>
      <c r="D15" s="190">
        <f t="shared" si="1"/>
        <v>0</v>
      </c>
      <c r="E15" s="190">
        <f t="shared" si="1"/>
        <v>-474</v>
      </c>
      <c r="F15" s="190">
        <f t="shared" si="1"/>
        <v>-475</v>
      </c>
      <c r="G15" s="190">
        <f t="shared" si="1"/>
        <v>-1313</v>
      </c>
      <c r="H15" s="190">
        <f t="shared" si="1"/>
        <v>-2034</v>
      </c>
      <c r="I15" s="190">
        <f t="shared" si="1"/>
        <v>-2438</v>
      </c>
    </row>
    <row r="16" spans="1:10" ht="37.5">
      <c r="A16" s="183" t="s">
        <v>203</v>
      </c>
      <c r="B16" s="187">
        <v>3050</v>
      </c>
      <c r="C16" s="189"/>
      <c r="D16" s="189"/>
      <c r="E16" s="189"/>
      <c r="F16" s="189"/>
      <c r="G16" s="189"/>
      <c r="H16" s="189"/>
      <c r="I16" s="189"/>
    </row>
    <row r="17" spans="1:9" ht="37.5">
      <c r="A17" s="183" t="s">
        <v>204</v>
      </c>
      <c r="B17" s="187">
        <v>3060</v>
      </c>
      <c r="C17" s="189"/>
      <c r="D17" s="189"/>
      <c r="E17" s="189">
        <v>28</v>
      </c>
      <c r="F17" s="189"/>
      <c r="G17" s="189"/>
      <c r="H17" s="189"/>
      <c r="I17" s="189"/>
    </row>
    <row r="18" spans="1:9" ht="20.100000000000001" customHeight="1">
      <c r="A18" s="185" t="s">
        <v>197</v>
      </c>
      <c r="B18" s="225">
        <v>3070</v>
      </c>
      <c r="C18" s="190">
        <f>SUM(C15:C16)+C17</f>
        <v>0</v>
      </c>
      <c r="D18" s="190">
        <f t="shared" ref="D18:I18" si="2">SUM(D15:D16)+D17</f>
        <v>0</v>
      </c>
      <c r="E18" s="190">
        <f t="shared" si="2"/>
        <v>-446</v>
      </c>
      <c r="F18" s="190">
        <f t="shared" si="2"/>
        <v>-475</v>
      </c>
      <c r="G18" s="190">
        <f t="shared" si="2"/>
        <v>-1313</v>
      </c>
      <c r="H18" s="190">
        <f t="shared" si="2"/>
        <v>-2034</v>
      </c>
      <c r="I18" s="190">
        <f t="shared" si="2"/>
        <v>-2438</v>
      </c>
    </row>
    <row r="19" spans="1:9" ht="20.100000000000001" customHeight="1">
      <c r="A19" s="183" t="s">
        <v>198</v>
      </c>
      <c r="B19" s="187">
        <v>3080</v>
      </c>
      <c r="C19" s="188">
        <f>'I. Фін результат'!C73</f>
        <v>0</v>
      </c>
      <c r="D19" s="188">
        <f>'I. Фін результат'!D73</f>
        <v>0</v>
      </c>
      <c r="E19" s="188">
        <f>'I. Фін результат'!E73</f>
        <v>0</v>
      </c>
      <c r="F19" s="188">
        <f>'I. Фін результат'!F73</f>
        <v>0</v>
      </c>
      <c r="G19" s="188">
        <f>'I. Фін результат'!G73</f>
        <v>0</v>
      </c>
      <c r="H19" s="188">
        <f>'I. Фін результат'!H73</f>
        <v>0</v>
      </c>
      <c r="I19" s="188">
        <f>'I. Фін результат'!I73</f>
        <v>0</v>
      </c>
    </row>
    <row r="20" spans="1:9" ht="37.5">
      <c r="A20" s="167" t="s">
        <v>174</v>
      </c>
      <c r="B20" s="225">
        <v>3090</v>
      </c>
      <c r="C20" s="190">
        <f>C18-C19</f>
        <v>0</v>
      </c>
      <c r="D20" s="190">
        <f t="shared" ref="D20:I20" si="3">D18-D19</f>
        <v>0</v>
      </c>
      <c r="E20" s="190">
        <f t="shared" si="3"/>
        <v>-446</v>
      </c>
      <c r="F20" s="190">
        <f t="shared" si="3"/>
        <v>-475</v>
      </c>
      <c r="G20" s="190">
        <f t="shared" si="3"/>
        <v>-1313</v>
      </c>
      <c r="H20" s="190">
        <f t="shared" si="3"/>
        <v>-2034</v>
      </c>
      <c r="I20" s="190">
        <f t="shared" si="3"/>
        <v>-2438</v>
      </c>
    </row>
    <row r="21" spans="1:9" ht="20.100000000000001" customHeight="1">
      <c r="A21" s="362" t="s">
        <v>176</v>
      </c>
      <c r="B21" s="363"/>
      <c r="C21" s="363"/>
      <c r="D21" s="363"/>
      <c r="E21" s="363"/>
      <c r="F21" s="363"/>
      <c r="G21" s="363"/>
      <c r="H21" s="363"/>
      <c r="I21" s="364"/>
    </row>
    <row r="22" spans="1:9" ht="20.100000000000001" customHeight="1">
      <c r="A22" s="185" t="s">
        <v>294</v>
      </c>
      <c r="B22" s="168"/>
      <c r="C22" s="189"/>
      <c r="D22" s="189"/>
      <c r="E22" s="189"/>
      <c r="F22" s="189"/>
      <c r="G22" s="189"/>
      <c r="H22" s="189"/>
      <c r="I22" s="189"/>
    </row>
    <row r="23" spans="1:9" ht="20.100000000000001" customHeight="1">
      <c r="A23" s="72" t="s">
        <v>33</v>
      </c>
      <c r="B23" s="168">
        <v>3200</v>
      </c>
      <c r="C23" s="189"/>
      <c r="D23" s="189"/>
      <c r="E23" s="189"/>
      <c r="F23" s="189"/>
      <c r="G23" s="189"/>
      <c r="H23" s="189"/>
      <c r="I23" s="189"/>
    </row>
    <row r="24" spans="1:9" ht="32.450000000000003" customHeight="1">
      <c r="A24" s="72" t="s">
        <v>34</v>
      </c>
      <c r="B24" s="168">
        <v>3210</v>
      </c>
      <c r="C24" s="189"/>
      <c r="D24" s="189"/>
      <c r="E24" s="189"/>
      <c r="F24" s="189"/>
      <c r="G24" s="189"/>
      <c r="H24" s="189"/>
      <c r="I24" s="189"/>
    </row>
    <row r="25" spans="1:9" ht="20.100000000000001" customHeight="1">
      <c r="A25" s="72" t="s">
        <v>57</v>
      </c>
      <c r="B25" s="168">
        <v>3220</v>
      </c>
      <c r="C25" s="189"/>
      <c r="D25" s="189"/>
      <c r="E25" s="189"/>
      <c r="F25" s="189"/>
      <c r="G25" s="189"/>
      <c r="H25" s="189"/>
      <c r="I25" s="189"/>
    </row>
    <row r="26" spans="1:9" ht="20.100000000000001" customHeight="1">
      <c r="A26" s="183" t="s">
        <v>180</v>
      </c>
      <c r="B26" s="168"/>
      <c r="C26" s="189"/>
      <c r="D26" s="189"/>
      <c r="E26" s="189"/>
      <c r="F26" s="189"/>
      <c r="G26" s="189"/>
      <c r="H26" s="189"/>
      <c r="I26" s="189"/>
    </row>
    <row r="27" spans="1:9" ht="20.100000000000001" customHeight="1">
      <c r="A27" s="72" t="s">
        <v>181</v>
      </c>
      <c r="B27" s="168">
        <v>3230</v>
      </c>
      <c r="C27" s="189"/>
      <c r="D27" s="189"/>
      <c r="E27" s="189"/>
      <c r="F27" s="189"/>
      <c r="G27" s="189"/>
      <c r="H27" s="189"/>
      <c r="I27" s="189"/>
    </row>
    <row r="28" spans="1:9" ht="20.100000000000001" customHeight="1">
      <c r="A28" s="72" t="s">
        <v>182</v>
      </c>
      <c r="B28" s="168">
        <v>3240</v>
      </c>
      <c r="C28" s="189"/>
      <c r="D28" s="189"/>
      <c r="E28" s="189"/>
      <c r="F28" s="189"/>
      <c r="G28" s="189"/>
      <c r="H28" s="189"/>
      <c r="I28" s="189"/>
    </row>
    <row r="29" spans="1:9" ht="20.100000000000001" customHeight="1">
      <c r="A29" s="183" t="s">
        <v>183</v>
      </c>
      <c r="B29" s="168">
        <v>3250</v>
      </c>
      <c r="C29" s="189"/>
      <c r="D29" s="189"/>
      <c r="E29" s="189"/>
      <c r="F29" s="189"/>
      <c r="G29" s="189"/>
      <c r="H29" s="189"/>
      <c r="I29" s="189"/>
    </row>
    <row r="30" spans="1:9" ht="20.100000000000001" customHeight="1">
      <c r="A30" s="72" t="s">
        <v>133</v>
      </c>
      <c r="B30" s="168">
        <v>3260</v>
      </c>
      <c r="C30" s="189"/>
      <c r="D30" s="189"/>
      <c r="E30" s="189"/>
      <c r="F30" s="189"/>
      <c r="G30" s="189"/>
      <c r="H30" s="189"/>
      <c r="I30" s="189"/>
    </row>
    <row r="31" spans="1:9" ht="20.100000000000001" customHeight="1">
      <c r="A31" s="185" t="s">
        <v>296</v>
      </c>
      <c r="B31" s="168"/>
      <c r="C31" s="189"/>
      <c r="D31" s="189"/>
      <c r="E31" s="189"/>
      <c r="F31" s="189"/>
      <c r="G31" s="189"/>
      <c r="H31" s="189"/>
      <c r="I31" s="189"/>
    </row>
    <row r="32" spans="1:9" ht="37.5">
      <c r="A32" s="72" t="s">
        <v>134</v>
      </c>
      <c r="B32" s="168">
        <v>3270</v>
      </c>
      <c r="C32" s="189"/>
      <c r="D32" s="189"/>
      <c r="E32" s="189"/>
      <c r="F32" s="189"/>
      <c r="G32" s="189">
        <f>G33+G34</f>
        <v>203</v>
      </c>
      <c r="H32" s="189">
        <f>H33+H34</f>
        <v>713</v>
      </c>
      <c r="I32" s="189">
        <f>I33+I34</f>
        <v>913</v>
      </c>
    </row>
    <row r="33" spans="1:9">
      <c r="A33" s="72" t="s">
        <v>424</v>
      </c>
      <c r="B33" s="168" t="s">
        <v>425</v>
      </c>
      <c r="C33" s="189"/>
      <c r="D33" s="189"/>
      <c r="E33" s="189"/>
      <c r="F33" s="189"/>
      <c r="G33" s="189"/>
      <c r="H33" s="189">
        <v>310</v>
      </c>
      <c r="I33" s="189">
        <v>310</v>
      </c>
    </row>
    <row r="34" spans="1:9">
      <c r="A34" s="72" t="s">
        <v>426</v>
      </c>
      <c r="B34" s="168" t="s">
        <v>427</v>
      </c>
      <c r="C34" s="189"/>
      <c r="D34" s="189"/>
      <c r="E34" s="189"/>
      <c r="F34" s="189"/>
      <c r="G34" s="189">
        <v>203</v>
      </c>
      <c r="H34" s="189">
        <v>403</v>
      </c>
      <c r="I34" s="189">
        <v>603</v>
      </c>
    </row>
    <row r="35" spans="1:9" ht="20.100000000000001" customHeight="1">
      <c r="A35" s="72" t="s">
        <v>135</v>
      </c>
      <c r="B35" s="168">
        <v>3280</v>
      </c>
      <c r="C35" s="189"/>
      <c r="D35" s="189"/>
      <c r="E35" s="189"/>
      <c r="F35" s="189"/>
      <c r="G35" s="189"/>
      <c r="H35" s="189"/>
      <c r="I35" s="189"/>
    </row>
    <row r="36" spans="1:9" ht="37.5">
      <c r="A36" s="72" t="s">
        <v>136</v>
      </c>
      <c r="B36" s="168">
        <v>3290</v>
      </c>
      <c r="C36" s="189"/>
      <c r="D36" s="189"/>
      <c r="E36" s="189"/>
      <c r="F36" s="189"/>
      <c r="G36" s="189">
        <f>G37</f>
        <v>7</v>
      </c>
      <c r="H36" s="189">
        <f>H37</f>
        <v>7</v>
      </c>
      <c r="I36" s="189">
        <f>I37</f>
        <v>7</v>
      </c>
    </row>
    <row r="37" spans="1:9">
      <c r="A37" s="303" t="s">
        <v>428</v>
      </c>
      <c r="B37" s="168" t="s">
        <v>429</v>
      </c>
      <c r="C37" s="189"/>
      <c r="D37" s="189"/>
      <c r="E37" s="189"/>
      <c r="F37" s="189"/>
      <c r="G37" s="189">
        <v>7</v>
      </c>
      <c r="H37" s="189">
        <v>7</v>
      </c>
      <c r="I37" s="189">
        <v>7</v>
      </c>
    </row>
    <row r="38" spans="1:9" ht="20.100000000000001" customHeight="1">
      <c r="A38" s="72" t="s">
        <v>58</v>
      </c>
      <c r="B38" s="168">
        <v>3300</v>
      </c>
      <c r="C38" s="189"/>
      <c r="D38" s="189"/>
      <c r="E38" s="189"/>
      <c r="F38" s="189"/>
      <c r="G38" s="189"/>
      <c r="H38" s="189"/>
      <c r="I38" s="189"/>
    </row>
    <row r="39" spans="1:9" ht="20.100000000000001" customHeight="1">
      <c r="A39" s="72" t="s">
        <v>128</v>
      </c>
      <c r="B39" s="168">
        <v>3310</v>
      </c>
      <c r="C39" s="189"/>
      <c r="D39" s="189"/>
      <c r="E39" s="189"/>
      <c r="F39" s="189"/>
      <c r="G39" s="189"/>
      <c r="H39" s="189"/>
      <c r="I39" s="189"/>
    </row>
    <row r="40" spans="1:9" ht="37.5">
      <c r="A40" s="185" t="s">
        <v>177</v>
      </c>
      <c r="B40" s="222">
        <v>3320</v>
      </c>
      <c r="C40" s="190">
        <f>(C23+C24+C25+C27+C28+C29+C30)-(C32+C35+C36+C38+C39)</f>
        <v>0</v>
      </c>
      <c r="D40" s="190">
        <f t="shared" ref="D40:I40" si="4">(D23+D24+D25+D27+D28+D29+D30)-(D32+D35+D36+D38+D39)</f>
        <v>0</v>
      </c>
      <c r="E40" s="190">
        <f t="shared" si="4"/>
        <v>0</v>
      </c>
      <c r="F40" s="190">
        <f t="shared" si="4"/>
        <v>0</v>
      </c>
      <c r="G40" s="190">
        <f t="shared" si="4"/>
        <v>-210</v>
      </c>
      <c r="H40" s="190">
        <f t="shared" si="4"/>
        <v>-720</v>
      </c>
      <c r="I40" s="190">
        <f t="shared" si="4"/>
        <v>-920</v>
      </c>
    </row>
    <row r="41" spans="1:9" ht="20.100000000000001" customHeight="1">
      <c r="A41" s="362" t="s">
        <v>178</v>
      </c>
      <c r="B41" s="363"/>
      <c r="C41" s="363"/>
      <c r="D41" s="363"/>
      <c r="E41" s="363"/>
      <c r="F41" s="363"/>
      <c r="G41" s="363"/>
      <c r="H41" s="363"/>
      <c r="I41" s="364"/>
    </row>
    <row r="42" spans="1:9" ht="20.100000000000001" customHeight="1">
      <c r="A42" s="185" t="s">
        <v>295</v>
      </c>
      <c r="B42" s="168"/>
      <c r="C42" s="189"/>
      <c r="D42" s="189"/>
      <c r="E42" s="189"/>
      <c r="F42" s="189"/>
      <c r="G42" s="189"/>
      <c r="H42" s="189"/>
      <c r="I42" s="189"/>
    </row>
    <row r="43" spans="1:9" ht="20.100000000000001" customHeight="1">
      <c r="A43" s="183" t="s">
        <v>184</v>
      </c>
      <c r="B43" s="168">
        <v>3400</v>
      </c>
      <c r="C43" s="189"/>
      <c r="D43" s="189"/>
      <c r="E43" s="189">
        <v>446</v>
      </c>
      <c r="F43" s="189"/>
      <c r="G43" s="189"/>
      <c r="H43" s="189"/>
      <c r="I43" s="189"/>
    </row>
    <row r="44" spans="1:9" ht="37.5">
      <c r="A44" s="72" t="s">
        <v>101</v>
      </c>
      <c r="B44" s="147"/>
      <c r="C44" s="189"/>
      <c r="D44" s="189"/>
      <c r="E44" s="189"/>
      <c r="F44" s="189"/>
      <c r="G44" s="189"/>
      <c r="H44" s="189"/>
      <c r="I44" s="189"/>
    </row>
    <row r="45" spans="1:9" ht="20.100000000000001" customHeight="1">
      <c r="A45" s="72" t="s">
        <v>100</v>
      </c>
      <c r="B45" s="168">
        <v>3410</v>
      </c>
      <c r="C45" s="189"/>
      <c r="D45" s="189"/>
      <c r="E45" s="189"/>
      <c r="F45" s="189"/>
      <c r="G45" s="189"/>
      <c r="H45" s="189"/>
      <c r="I45" s="189"/>
    </row>
    <row r="46" spans="1:9" ht="20.100000000000001" customHeight="1">
      <c r="A46" s="72" t="s">
        <v>105</v>
      </c>
      <c r="B46" s="187">
        <v>3420</v>
      </c>
      <c r="C46" s="189"/>
      <c r="D46" s="189"/>
      <c r="E46" s="189"/>
      <c r="F46" s="189"/>
      <c r="G46" s="189"/>
      <c r="H46" s="189"/>
      <c r="I46" s="189"/>
    </row>
    <row r="47" spans="1:9" ht="20.100000000000001" customHeight="1">
      <c r="A47" s="72" t="s">
        <v>137</v>
      </c>
      <c r="B47" s="168">
        <v>3430</v>
      </c>
      <c r="C47" s="189"/>
      <c r="D47" s="189"/>
      <c r="E47" s="189"/>
      <c r="F47" s="189"/>
      <c r="G47" s="189"/>
      <c r="H47" s="189"/>
      <c r="I47" s="189"/>
    </row>
    <row r="48" spans="1:9" ht="37.5">
      <c r="A48" s="72" t="s">
        <v>103</v>
      </c>
      <c r="B48" s="168"/>
      <c r="C48" s="189"/>
      <c r="D48" s="189"/>
      <c r="E48" s="189"/>
      <c r="F48" s="189"/>
      <c r="G48" s="189"/>
      <c r="H48" s="189"/>
      <c r="I48" s="189"/>
    </row>
    <row r="49" spans="1:9" ht="20.100000000000001" customHeight="1">
      <c r="A49" s="72" t="s">
        <v>100</v>
      </c>
      <c r="B49" s="187">
        <v>3440</v>
      </c>
      <c r="C49" s="189"/>
      <c r="D49" s="189"/>
      <c r="E49" s="189"/>
      <c r="F49" s="189"/>
      <c r="G49" s="189"/>
      <c r="H49" s="189"/>
      <c r="I49" s="189"/>
    </row>
    <row r="50" spans="1:9" ht="20.100000000000001" customHeight="1">
      <c r="A50" s="72" t="s">
        <v>105</v>
      </c>
      <c r="B50" s="187">
        <v>3450</v>
      </c>
      <c r="C50" s="189"/>
      <c r="D50" s="189"/>
      <c r="E50" s="189"/>
      <c r="F50" s="189"/>
      <c r="G50" s="189"/>
      <c r="H50" s="189"/>
      <c r="I50" s="189"/>
    </row>
    <row r="51" spans="1:9" ht="20.100000000000001" customHeight="1">
      <c r="A51" s="72" t="s">
        <v>137</v>
      </c>
      <c r="B51" s="187">
        <v>3460</v>
      </c>
      <c r="C51" s="189"/>
      <c r="D51" s="189"/>
      <c r="E51" s="189"/>
      <c r="F51" s="189"/>
      <c r="G51" s="189"/>
      <c r="H51" s="189"/>
      <c r="I51" s="189"/>
    </row>
    <row r="52" spans="1:9" ht="20.100000000000001" customHeight="1">
      <c r="A52" s="72" t="s">
        <v>132</v>
      </c>
      <c r="B52" s="187">
        <v>3470</v>
      </c>
      <c r="C52" s="189"/>
      <c r="D52" s="189"/>
      <c r="E52" s="189"/>
      <c r="F52" s="189"/>
      <c r="G52" s="189"/>
      <c r="H52" s="189"/>
      <c r="I52" s="189"/>
    </row>
    <row r="53" spans="1:9" ht="20.100000000000001" customHeight="1">
      <c r="A53" s="72" t="s">
        <v>133</v>
      </c>
      <c r="B53" s="187">
        <v>3480</v>
      </c>
      <c r="C53" s="189"/>
      <c r="D53" s="189"/>
      <c r="E53" s="189">
        <f>E54</f>
        <v>100</v>
      </c>
      <c r="F53" s="189">
        <f>F54</f>
        <v>2450</v>
      </c>
      <c r="G53" s="189">
        <f>G54</f>
        <v>3500</v>
      </c>
      <c r="H53" s="189">
        <f>H54</f>
        <v>3500</v>
      </c>
      <c r="I53" s="189">
        <f>I54</f>
        <v>3500</v>
      </c>
    </row>
    <row r="54" spans="1:9" ht="37.5">
      <c r="A54" s="306" t="s">
        <v>540</v>
      </c>
      <c r="B54" s="187" t="s">
        <v>430</v>
      </c>
      <c r="C54" s="189"/>
      <c r="D54" s="189"/>
      <c r="E54" s="189">
        <v>100</v>
      </c>
      <c r="F54" s="189">
        <v>2450</v>
      </c>
      <c r="G54" s="189">
        <v>3500</v>
      </c>
      <c r="H54" s="189">
        <v>3500</v>
      </c>
      <c r="I54" s="189">
        <v>3500</v>
      </c>
    </row>
    <row r="55" spans="1:9" ht="20.100000000000001" customHeight="1">
      <c r="A55" s="185" t="s">
        <v>296</v>
      </c>
      <c r="B55" s="168"/>
      <c r="C55" s="189"/>
      <c r="D55" s="189"/>
      <c r="E55" s="189"/>
      <c r="F55" s="189"/>
      <c r="G55" s="189"/>
      <c r="H55" s="189"/>
      <c r="I55" s="189"/>
    </row>
    <row r="56" spans="1:9" ht="37.5">
      <c r="A56" s="72" t="s">
        <v>381</v>
      </c>
      <c r="B56" s="168">
        <v>3490</v>
      </c>
      <c r="C56" s="188">
        <f>'ІІ. Розр. з бюджетом'!C9</f>
        <v>0</v>
      </c>
      <c r="D56" s="188">
        <f>'ІІ. Розр. з бюджетом'!D9</f>
        <v>0</v>
      </c>
      <c r="E56" s="188">
        <f>'ІІ. Розр. з бюджетом'!E9</f>
        <v>0</v>
      </c>
      <c r="F56" s="188">
        <f>'ІІ. Розр. з бюджетом'!F9</f>
        <v>0</v>
      </c>
      <c r="G56" s="188">
        <f>'ІІ. Розр. з бюджетом'!G9</f>
        <v>0</v>
      </c>
      <c r="H56" s="188">
        <f>'ІІ. Розр. з бюджетом'!H9</f>
        <v>0</v>
      </c>
      <c r="I56" s="188">
        <f>'ІІ. Розр. з бюджетом'!I9</f>
        <v>0</v>
      </c>
    </row>
    <row r="57" spans="1:9" ht="112.5">
      <c r="A57" s="72" t="s">
        <v>382</v>
      </c>
      <c r="B57" s="168">
        <v>3500</v>
      </c>
      <c r="C57" s="188">
        <f>'ІІ. Розр. з бюджетом'!C10</f>
        <v>0</v>
      </c>
      <c r="D57" s="188">
        <f>'ІІ. Розр. з бюджетом'!D10</f>
        <v>0</v>
      </c>
      <c r="E57" s="188">
        <f>'ІІ. Розр. з бюджетом'!E10</f>
        <v>0</v>
      </c>
      <c r="F57" s="188">
        <f>'ІІ. Розр. з бюджетом'!F10</f>
        <v>0</v>
      </c>
      <c r="G57" s="188">
        <f>'ІІ. Розр. з бюджетом'!G10</f>
        <v>0</v>
      </c>
      <c r="H57" s="188">
        <f>'ІІ. Розр. з бюджетом'!H10</f>
        <v>0</v>
      </c>
      <c r="I57" s="188">
        <f>'ІІ. Розр. з бюджетом'!I10</f>
        <v>0</v>
      </c>
    </row>
    <row r="58" spans="1:9" ht="37.5">
      <c r="A58" s="72" t="s">
        <v>104</v>
      </c>
      <c r="B58" s="168"/>
      <c r="C58" s="189"/>
      <c r="D58" s="189"/>
      <c r="E58" s="189"/>
      <c r="F58" s="189"/>
      <c r="G58" s="189"/>
      <c r="H58" s="189"/>
      <c r="I58" s="189"/>
    </row>
    <row r="59" spans="1:9" ht="20.100000000000001" customHeight="1">
      <c r="A59" s="72" t="s">
        <v>100</v>
      </c>
      <c r="B59" s="187">
        <v>3510</v>
      </c>
      <c r="C59" s="189"/>
      <c r="D59" s="189"/>
      <c r="E59" s="189"/>
      <c r="F59" s="189"/>
      <c r="G59" s="189"/>
      <c r="H59" s="189"/>
      <c r="I59" s="189"/>
    </row>
    <row r="60" spans="1:9" ht="20.100000000000001" customHeight="1">
      <c r="A60" s="72" t="s">
        <v>105</v>
      </c>
      <c r="B60" s="187">
        <v>3520</v>
      </c>
      <c r="C60" s="189"/>
      <c r="D60" s="189"/>
      <c r="E60" s="189"/>
      <c r="F60" s="189"/>
      <c r="G60" s="189"/>
      <c r="H60" s="189"/>
      <c r="I60" s="189"/>
    </row>
    <row r="61" spans="1:9" ht="20.100000000000001" customHeight="1">
      <c r="A61" s="72" t="s">
        <v>137</v>
      </c>
      <c r="B61" s="187">
        <v>3530</v>
      </c>
      <c r="C61" s="189"/>
      <c r="D61" s="189"/>
      <c r="E61" s="189"/>
      <c r="F61" s="189"/>
      <c r="G61" s="189"/>
      <c r="H61" s="189"/>
      <c r="I61" s="189"/>
    </row>
    <row r="62" spans="1:9" ht="37.5">
      <c r="A62" s="72" t="s">
        <v>102</v>
      </c>
      <c r="B62" s="168"/>
      <c r="C62" s="189"/>
      <c r="D62" s="189"/>
      <c r="E62" s="189"/>
      <c r="F62" s="189"/>
      <c r="G62" s="189"/>
      <c r="H62" s="189"/>
      <c r="I62" s="189"/>
    </row>
    <row r="63" spans="1:9" ht="20.100000000000001" customHeight="1">
      <c r="A63" s="72" t="s">
        <v>100</v>
      </c>
      <c r="B63" s="187">
        <v>3540</v>
      </c>
      <c r="C63" s="189"/>
      <c r="D63" s="189"/>
      <c r="E63" s="189"/>
      <c r="F63" s="189"/>
      <c r="G63" s="189"/>
      <c r="H63" s="189"/>
      <c r="I63" s="189"/>
    </row>
    <row r="64" spans="1:9" ht="20.100000000000001" customHeight="1">
      <c r="A64" s="72" t="s">
        <v>105</v>
      </c>
      <c r="B64" s="187">
        <v>3550</v>
      </c>
      <c r="C64" s="189"/>
      <c r="D64" s="189"/>
      <c r="E64" s="189"/>
      <c r="F64" s="189"/>
      <c r="G64" s="189"/>
      <c r="H64" s="189"/>
      <c r="I64" s="189"/>
    </row>
    <row r="65" spans="1:9" ht="20.100000000000001" customHeight="1">
      <c r="A65" s="72" t="s">
        <v>137</v>
      </c>
      <c r="B65" s="187">
        <v>3560</v>
      </c>
      <c r="C65" s="189"/>
      <c r="D65" s="189"/>
      <c r="E65" s="189"/>
      <c r="F65" s="189"/>
      <c r="G65" s="189"/>
      <c r="H65" s="189"/>
      <c r="I65" s="189"/>
    </row>
    <row r="66" spans="1:9" ht="20.100000000000001" customHeight="1">
      <c r="A66" s="72" t="s">
        <v>128</v>
      </c>
      <c r="B66" s="187">
        <v>3570</v>
      </c>
      <c r="C66" s="189"/>
      <c r="D66" s="189"/>
      <c r="E66" s="189"/>
      <c r="F66" s="189"/>
      <c r="G66" s="189"/>
      <c r="H66" s="189"/>
      <c r="I66" s="189"/>
    </row>
    <row r="67" spans="1:9" ht="37.5">
      <c r="A67" s="56" t="s">
        <v>179</v>
      </c>
      <c r="B67" s="91">
        <v>3580</v>
      </c>
      <c r="C67" s="190">
        <f t="shared" ref="C67:I67" si="5">(C43+C45+C46+C47+C49+C50+C51+C52+C53)-(C56+C57+C59+C60+C61+C63+C64+C65+C66)</f>
        <v>0</v>
      </c>
      <c r="D67" s="190">
        <f t="shared" si="5"/>
        <v>0</v>
      </c>
      <c r="E67" s="190">
        <f t="shared" si="5"/>
        <v>546</v>
      </c>
      <c r="F67" s="190">
        <f t="shared" si="5"/>
        <v>2450</v>
      </c>
      <c r="G67" s="190">
        <f t="shared" si="5"/>
        <v>3500</v>
      </c>
      <c r="H67" s="190">
        <f t="shared" si="5"/>
        <v>3500</v>
      </c>
      <c r="I67" s="190">
        <f t="shared" si="5"/>
        <v>3500</v>
      </c>
    </row>
    <row r="68" spans="1:9" s="12" customFormat="1" ht="20.100000000000001" customHeight="1">
      <c r="A68" s="8" t="s">
        <v>35</v>
      </c>
      <c r="B68" s="6"/>
      <c r="C68" s="194"/>
      <c r="D68" s="194"/>
      <c r="E68" s="194"/>
      <c r="F68" s="194"/>
      <c r="G68" s="194"/>
      <c r="H68" s="194"/>
      <c r="I68" s="194"/>
    </row>
    <row r="69" spans="1:9" s="12" customFormat="1" ht="20.100000000000001" customHeight="1">
      <c r="A69" s="9" t="s">
        <v>36</v>
      </c>
      <c r="B69" s="6">
        <v>3600</v>
      </c>
      <c r="C69" s="189"/>
      <c r="D69" s="189"/>
      <c r="E69" s="188">
        <f>C71</f>
        <v>0</v>
      </c>
      <c r="F69" s="188">
        <f>E71</f>
        <v>100</v>
      </c>
      <c r="G69" s="188">
        <f>E71</f>
        <v>100</v>
      </c>
      <c r="H69" s="188">
        <f>E71</f>
        <v>100</v>
      </c>
      <c r="I69" s="188">
        <f>E71</f>
        <v>100</v>
      </c>
    </row>
    <row r="70" spans="1:9" s="12" customFormat="1" ht="37.5">
      <c r="A70" s="72" t="s">
        <v>188</v>
      </c>
      <c r="B70" s="6">
        <v>3610</v>
      </c>
      <c r="C70" s="189"/>
      <c r="D70" s="189"/>
      <c r="E70" s="189"/>
      <c r="F70" s="189"/>
      <c r="G70" s="189"/>
      <c r="H70" s="189"/>
      <c r="I70" s="189"/>
    </row>
    <row r="71" spans="1:9" s="12" customFormat="1" ht="20.100000000000001" customHeight="1">
      <c r="A71" s="9" t="s">
        <v>59</v>
      </c>
      <c r="B71" s="6">
        <v>3620</v>
      </c>
      <c r="C71" s="190">
        <f t="shared" ref="C71:I71" si="6">C69+C20+C40+C67</f>
        <v>0</v>
      </c>
      <c r="D71" s="190">
        <f t="shared" si="6"/>
        <v>0</v>
      </c>
      <c r="E71" s="190">
        <f t="shared" si="6"/>
        <v>100</v>
      </c>
      <c r="F71" s="190">
        <f t="shared" si="6"/>
        <v>2075</v>
      </c>
      <c r="G71" s="190">
        <f t="shared" si="6"/>
        <v>2077</v>
      </c>
      <c r="H71" s="190">
        <f t="shared" si="6"/>
        <v>846</v>
      </c>
      <c r="I71" s="190">
        <f t="shared" si="6"/>
        <v>242</v>
      </c>
    </row>
    <row r="72" spans="1:9" s="12" customFormat="1" ht="20.100000000000001" customHeight="1">
      <c r="A72" s="9" t="s">
        <v>37</v>
      </c>
      <c r="B72" s="6">
        <v>3630</v>
      </c>
      <c r="C72" s="190">
        <f t="shared" ref="C72:I72" si="7">SUM(C20,C40,C67)</f>
        <v>0</v>
      </c>
      <c r="D72" s="190">
        <f t="shared" si="7"/>
        <v>0</v>
      </c>
      <c r="E72" s="190">
        <f t="shared" si="7"/>
        <v>100</v>
      </c>
      <c r="F72" s="190">
        <f t="shared" si="7"/>
        <v>1975</v>
      </c>
      <c r="G72" s="190">
        <f t="shared" si="7"/>
        <v>1977</v>
      </c>
      <c r="H72" s="190">
        <f t="shared" si="7"/>
        <v>746</v>
      </c>
      <c r="I72" s="190">
        <f t="shared" si="7"/>
        <v>142</v>
      </c>
    </row>
    <row r="73" spans="1:9" s="12" customFormat="1" ht="20.100000000000001" customHeight="1">
      <c r="A73" s="147"/>
      <c r="B73" s="155"/>
      <c r="C73" s="156"/>
      <c r="D73" s="157"/>
      <c r="E73" s="157"/>
      <c r="F73" s="157"/>
      <c r="G73" s="157"/>
      <c r="H73" s="157"/>
      <c r="I73" s="157"/>
    </row>
    <row r="74" spans="1:9" s="12" customFormat="1" ht="20.100000000000001" customHeight="1">
      <c r="A74" s="147"/>
      <c r="B74" s="155"/>
      <c r="C74" s="156"/>
      <c r="D74" s="157"/>
      <c r="E74" s="157"/>
      <c r="F74" s="157"/>
      <c r="G74" s="157"/>
      <c r="H74" s="157"/>
      <c r="I74" s="157"/>
    </row>
    <row r="75" spans="1:9" s="12" customFormat="1" ht="20.100000000000001" customHeight="1">
      <c r="A75" s="147"/>
      <c r="B75" s="155"/>
      <c r="C75" s="156"/>
      <c r="D75" s="157"/>
      <c r="E75" s="157"/>
      <c r="F75" s="157"/>
      <c r="G75" s="157"/>
      <c r="H75" s="157"/>
      <c r="I75" s="157"/>
    </row>
    <row r="76" spans="1:9" s="2" customFormat="1" ht="37.5">
      <c r="A76" s="139" t="s">
        <v>550</v>
      </c>
      <c r="B76" s="140"/>
      <c r="C76" s="332" t="s">
        <v>120</v>
      </c>
      <c r="D76" s="333"/>
      <c r="E76" s="333"/>
      <c r="F76" s="141"/>
      <c r="G76" s="336" t="s">
        <v>548</v>
      </c>
      <c r="H76" s="336"/>
      <c r="I76" s="336"/>
    </row>
    <row r="77" spans="1:9" ht="20.100000000000001" customHeight="1">
      <c r="A77" s="97" t="s">
        <v>395</v>
      </c>
      <c r="B77" s="110"/>
      <c r="C77" s="317" t="s">
        <v>85</v>
      </c>
      <c r="D77" s="317"/>
      <c r="E77" s="317"/>
      <c r="F77" s="142"/>
      <c r="G77" s="318" t="s">
        <v>116</v>
      </c>
      <c r="H77" s="318"/>
      <c r="I77" s="318"/>
    </row>
    <row r="78" spans="1:9">
      <c r="C78" s="4"/>
    </row>
    <row r="79" spans="1:9">
      <c r="C79" s="4"/>
    </row>
    <row r="80" spans="1:9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</sheetData>
  <sheetProtection password="C6FB" sheet="1" formatCells="0" formatColumns="0" formatRows="0" insertRows="0"/>
  <mergeCells count="14">
    <mergeCell ref="A1:I1"/>
    <mergeCell ref="A3:A4"/>
    <mergeCell ref="B3:B4"/>
    <mergeCell ref="C3:C4"/>
    <mergeCell ref="D3:D4"/>
    <mergeCell ref="E3:E4"/>
    <mergeCell ref="F3:I3"/>
    <mergeCell ref="C77:E77"/>
    <mergeCell ref="G77:I77"/>
    <mergeCell ref="A21:I21"/>
    <mergeCell ref="A6:I6"/>
    <mergeCell ref="A41:I41"/>
    <mergeCell ref="C76:E76"/>
    <mergeCell ref="G76:I7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zoomScale="75" zoomScaleSheetLayoutView="50" workbookViewId="0">
      <selection activeCell="F20" sqref="F20"/>
    </sheetView>
  </sheetViews>
  <sheetFormatPr defaultColWidth="9.140625"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45" t="s">
        <v>233</v>
      </c>
      <c r="B1" s="345"/>
      <c r="C1" s="345"/>
      <c r="D1" s="345"/>
      <c r="E1" s="345"/>
      <c r="F1" s="345"/>
      <c r="G1" s="345"/>
      <c r="H1" s="345"/>
      <c r="I1" s="345"/>
    </row>
    <row r="2" spans="1:16">
      <c r="A2" s="373"/>
      <c r="B2" s="373"/>
      <c r="C2" s="373"/>
      <c r="D2" s="373"/>
      <c r="E2" s="373"/>
      <c r="F2" s="373"/>
      <c r="G2" s="373"/>
      <c r="H2" s="373"/>
      <c r="I2" s="373"/>
    </row>
    <row r="3" spans="1:16" ht="43.5" customHeight="1">
      <c r="A3" s="367" t="s">
        <v>279</v>
      </c>
      <c r="B3" s="370" t="s">
        <v>18</v>
      </c>
      <c r="C3" s="370" t="s">
        <v>32</v>
      </c>
      <c r="D3" s="370" t="s">
        <v>40</v>
      </c>
      <c r="E3" s="369" t="s">
        <v>185</v>
      </c>
      <c r="F3" s="370" t="s">
        <v>375</v>
      </c>
      <c r="G3" s="370"/>
      <c r="H3" s="370"/>
      <c r="I3" s="370"/>
    </row>
    <row r="4" spans="1:16" ht="56.25" customHeight="1">
      <c r="A4" s="367"/>
      <c r="B4" s="370"/>
      <c r="C4" s="370"/>
      <c r="D4" s="370"/>
      <c r="E4" s="369"/>
      <c r="F4" s="11" t="s">
        <v>384</v>
      </c>
      <c r="G4" s="11" t="s">
        <v>377</v>
      </c>
      <c r="H4" s="11" t="s">
        <v>378</v>
      </c>
      <c r="I4" s="11" t="s">
        <v>87</v>
      </c>
    </row>
    <row r="5" spans="1:16" ht="18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5" customFormat="1" ht="42.75" customHeight="1">
      <c r="A6" s="8" t="s">
        <v>89</v>
      </c>
      <c r="B6" s="75">
        <v>4000</v>
      </c>
      <c r="C6" s="188">
        <f t="shared" ref="C6:I6" si="0">SUM(C7:C11)</f>
        <v>0</v>
      </c>
      <c r="D6" s="188">
        <f t="shared" si="0"/>
        <v>0</v>
      </c>
      <c r="E6" s="188">
        <f t="shared" si="0"/>
        <v>0</v>
      </c>
      <c r="F6" s="188">
        <f t="shared" si="0"/>
        <v>0</v>
      </c>
      <c r="G6" s="188">
        <f t="shared" si="0"/>
        <v>175</v>
      </c>
      <c r="H6" s="188">
        <f t="shared" si="0"/>
        <v>600</v>
      </c>
      <c r="I6" s="188">
        <f t="shared" si="0"/>
        <v>767</v>
      </c>
    </row>
    <row r="7" spans="1:16" ht="20.100000000000001" customHeight="1">
      <c r="A7" s="8" t="s">
        <v>1</v>
      </c>
      <c r="B7" s="76" t="s">
        <v>243</v>
      </c>
      <c r="C7" s="189"/>
      <c r="D7" s="189"/>
      <c r="E7" s="189"/>
      <c r="F7" s="189"/>
      <c r="G7" s="189"/>
      <c r="H7" s="189"/>
      <c r="I7" s="189"/>
    </row>
    <row r="8" spans="1:16" ht="37.5">
      <c r="A8" s="8" t="s">
        <v>2</v>
      </c>
      <c r="B8" s="75">
        <v>4020</v>
      </c>
      <c r="C8" s="189"/>
      <c r="D8" s="189"/>
      <c r="E8" s="189"/>
      <c r="F8" s="189"/>
      <c r="G8" s="189"/>
      <c r="H8" s="189">
        <v>258</v>
      </c>
      <c r="I8" s="189">
        <v>258</v>
      </c>
      <c r="P8" s="18"/>
    </row>
    <row r="9" spans="1:16" ht="37.5">
      <c r="A9" s="8" t="s">
        <v>31</v>
      </c>
      <c r="B9" s="76">
        <v>4030</v>
      </c>
      <c r="C9" s="189"/>
      <c r="D9" s="189"/>
      <c r="E9" s="189"/>
      <c r="F9" s="189"/>
      <c r="G9" s="189">
        <v>169</v>
      </c>
      <c r="H9" s="189">
        <v>336</v>
      </c>
      <c r="I9" s="189">
        <v>503</v>
      </c>
      <c r="O9" s="18"/>
    </row>
    <row r="10" spans="1:16" ht="37.5">
      <c r="A10" s="8" t="s">
        <v>3</v>
      </c>
      <c r="B10" s="75">
        <v>4040</v>
      </c>
      <c r="C10" s="189"/>
      <c r="D10" s="189"/>
      <c r="E10" s="189"/>
      <c r="F10" s="189"/>
      <c r="G10" s="189">
        <v>6</v>
      </c>
      <c r="H10" s="189">
        <v>6</v>
      </c>
      <c r="I10" s="189">
        <v>6</v>
      </c>
    </row>
    <row r="11" spans="1:16" ht="56.25">
      <c r="A11" s="8" t="s">
        <v>75</v>
      </c>
      <c r="B11" s="76">
        <v>4050</v>
      </c>
      <c r="C11" s="189"/>
      <c r="D11" s="189"/>
      <c r="E11" s="189"/>
      <c r="F11" s="189"/>
      <c r="G11" s="189"/>
      <c r="H11" s="189"/>
      <c r="I11" s="189"/>
    </row>
    <row r="12" spans="1:16" ht="20.100000000000001" customHeight="1">
      <c r="A12" s="110"/>
      <c r="B12" s="110"/>
      <c r="C12" s="110"/>
      <c r="D12" s="110"/>
      <c r="E12" s="110"/>
      <c r="F12" s="158"/>
      <c r="G12" s="158"/>
      <c r="H12" s="158"/>
      <c r="I12" s="158"/>
    </row>
    <row r="13" spans="1:16" ht="20.100000000000001" customHeight="1">
      <c r="A13" s="110"/>
      <c r="B13" s="110"/>
      <c r="C13" s="110"/>
      <c r="D13" s="110"/>
      <c r="E13" s="110"/>
      <c r="F13" s="158"/>
      <c r="G13" s="158"/>
      <c r="H13" s="158"/>
      <c r="I13" s="158"/>
    </row>
    <row r="14" spans="1:16" s="1" customFormat="1">
      <c r="A14" s="132"/>
      <c r="B14" s="147"/>
      <c r="C14" s="110"/>
      <c r="D14" s="110"/>
      <c r="E14" s="110"/>
      <c r="F14" s="110"/>
      <c r="G14" s="110"/>
      <c r="H14" s="110"/>
      <c r="I14" s="110"/>
      <c r="J14" s="2"/>
    </row>
    <row r="15" spans="1:16" ht="56.25">
      <c r="A15" s="139" t="s">
        <v>554</v>
      </c>
      <c r="B15" s="140"/>
      <c r="C15" s="332" t="s">
        <v>120</v>
      </c>
      <c r="D15" s="333"/>
      <c r="E15" s="333"/>
      <c r="F15" s="141"/>
      <c r="G15" s="336" t="s">
        <v>555</v>
      </c>
      <c r="H15" s="336"/>
      <c r="I15" s="336"/>
    </row>
    <row r="16" spans="1:16" s="1" customFormat="1" ht="20.100000000000001" customHeight="1">
      <c r="A16" s="111" t="s">
        <v>84</v>
      </c>
      <c r="B16" s="110"/>
      <c r="C16" s="317" t="s">
        <v>85</v>
      </c>
      <c r="D16" s="317"/>
      <c r="E16" s="317"/>
      <c r="F16" s="142"/>
      <c r="G16" s="318" t="s">
        <v>116</v>
      </c>
      <c r="H16" s="318"/>
      <c r="I16" s="318"/>
    </row>
    <row r="17" spans="1:9">
      <c r="A17" s="159"/>
      <c r="B17" s="111"/>
      <c r="C17" s="111"/>
      <c r="D17" s="111"/>
      <c r="E17" s="111"/>
      <c r="F17" s="110"/>
      <c r="G17" s="110"/>
      <c r="H17" s="110"/>
      <c r="I17" s="110"/>
    </row>
    <row r="18" spans="1:9">
      <c r="A18" s="159"/>
      <c r="B18" s="111"/>
      <c r="C18" s="111"/>
      <c r="D18" s="111"/>
      <c r="E18" s="111"/>
      <c r="F18" s="110"/>
      <c r="G18" s="110"/>
      <c r="H18" s="110"/>
      <c r="I18" s="110"/>
    </row>
    <row r="19" spans="1:9">
      <c r="A19" s="48"/>
    </row>
    <row r="20" spans="1:9">
      <c r="A20" s="48"/>
    </row>
    <row r="21" spans="1:9">
      <c r="A21" s="48"/>
    </row>
    <row r="22" spans="1:9">
      <c r="A22" s="48"/>
    </row>
    <row r="23" spans="1:9">
      <c r="A23" s="48"/>
    </row>
    <row r="24" spans="1:9">
      <c r="A24" s="48"/>
    </row>
    <row r="25" spans="1:9">
      <c r="A25" s="48"/>
    </row>
    <row r="26" spans="1:9">
      <c r="A26" s="48"/>
    </row>
    <row r="27" spans="1:9">
      <c r="A27" s="48"/>
    </row>
    <row r="28" spans="1:9">
      <c r="A28" s="48"/>
    </row>
    <row r="29" spans="1:9">
      <c r="A29" s="48"/>
    </row>
    <row r="30" spans="1:9">
      <c r="A30" s="48"/>
    </row>
    <row r="31" spans="1:9">
      <c r="A31" s="48"/>
    </row>
    <row r="32" spans="1:9">
      <c r="A32" s="48"/>
    </row>
    <row r="33" spans="1:1">
      <c r="A33" s="48"/>
    </row>
    <row r="34" spans="1:1">
      <c r="A34" s="48"/>
    </row>
    <row r="35" spans="1:1">
      <c r="A35" s="48"/>
    </row>
    <row r="36" spans="1:1">
      <c r="A36" s="48"/>
    </row>
    <row r="37" spans="1:1">
      <c r="A37" s="48"/>
    </row>
    <row r="38" spans="1:1">
      <c r="A38" s="48"/>
    </row>
    <row r="39" spans="1:1">
      <c r="A39" s="48"/>
    </row>
    <row r="40" spans="1:1">
      <c r="A40" s="48"/>
    </row>
    <row r="41" spans="1:1">
      <c r="A41" s="48"/>
    </row>
    <row r="42" spans="1:1">
      <c r="A42" s="48"/>
    </row>
    <row r="43" spans="1:1">
      <c r="A43" s="48"/>
    </row>
    <row r="44" spans="1:1">
      <c r="A44" s="48"/>
    </row>
    <row r="45" spans="1:1">
      <c r="A45" s="48"/>
    </row>
    <row r="46" spans="1:1">
      <c r="A46" s="48"/>
    </row>
    <row r="47" spans="1:1">
      <c r="A47" s="48"/>
    </row>
    <row r="48" spans="1:1">
      <c r="A48" s="48"/>
    </row>
    <row r="49" spans="1:1">
      <c r="A49" s="48"/>
    </row>
    <row r="50" spans="1:1">
      <c r="A50" s="48"/>
    </row>
    <row r="51" spans="1:1">
      <c r="A51" s="48"/>
    </row>
    <row r="52" spans="1:1">
      <c r="A52" s="48"/>
    </row>
    <row r="53" spans="1:1">
      <c r="A53" s="48"/>
    </row>
    <row r="54" spans="1:1">
      <c r="A54" s="48"/>
    </row>
    <row r="55" spans="1:1">
      <c r="A55" s="48"/>
    </row>
    <row r="56" spans="1:1">
      <c r="A56" s="48"/>
    </row>
    <row r="57" spans="1:1">
      <c r="A57" s="48"/>
    </row>
    <row r="58" spans="1:1">
      <c r="A58" s="48"/>
    </row>
    <row r="59" spans="1:1">
      <c r="A59" s="48"/>
    </row>
    <row r="60" spans="1:1">
      <c r="A60" s="48"/>
    </row>
    <row r="61" spans="1:1">
      <c r="A61" s="48"/>
    </row>
    <row r="62" spans="1:1">
      <c r="A62" s="48"/>
    </row>
    <row r="63" spans="1:1">
      <c r="A63" s="48"/>
    </row>
    <row r="64" spans="1:1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  <row r="69" spans="1:1">
      <c r="A69" s="48"/>
    </row>
    <row r="70" spans="1:1">
      <c r="A70" s="48"/>
    </row>
    <row r="71" spans="1:1">
      <c r="A71" s="48"/>
    </row>
    <row r="72" spans="1:1">
      <c r="A72" s="48"/>
    </row>
    <row r="73" spans="1:1">
      <c r="A73" s="48"/>
    </row>
    <row r="74" spans="1:1">
      <c r="A74" s="48"/>
    </row>
    <row r="75" spans="1:1">
      <c r="A75" s="48"/>
    </row>
    <row r="76" spans="1:1">
      <c r="A76" s="48"/>
    </row>
    <row r="77" spans="1:1">
      <c r="A77" s="48"/>
    </row>
    <row r="78" spans="1:1">
      <c r="A78" s="48"/>
    </row>
    <row r="79" spans="1:1">
      <c r="A79" s="48"/>
    </row>
    <row r="80" spans="1:1">
      <c r="A80" s="48"/>
    </row>
    <row r="81" spans="1:1">
      <c r="A81" s="48"/>
    </row>
    <row r="82" spans="1:1">
      <c r="A82" s="48"/>
    </row>
    <row r="83" spans="1:1">
      <c r="A83" s="48"/>
    </row>
    <row r="84" spans="1:1">
      <c r="A84" s="48"/>
    </row>
    <row r="85" spans="1:1">
      <c r="A85" s="48"/>
    </row>
    <row r="86" spans="1:1">
      <c r="A86" s="48"/>
    </row>
    <row r="87" spans="1:1">
      <c r="A87" s="48"/>
    </row>
    <row r="88" spans="1:1">
      <c r="A88" s="48"/>
    </row>
    <row r="89" spans="1:1">
      <c r="A89" s="48"/>
    </row>
    <row r="90" spans="1:1">
      <c r="A90" s="48"/>
    </row>
    <row r="91" spans="1:1">
      <c r="A91" s="48"/>
    </row>
    <row r="92" spans="1:1">
      <c r="A92" s="48"/>
    </row>
    <row r="93" spans="1:1">
      <c r="A93" s="48"/>
    </row>
    <row r="94" spans="1:1">
      <c r="A94" s="48"/>
    </row>
    <row r="95" spans="1:1">
      <c r="A95" s="48"/>
    </row>
    <row r="96" spans="1:1">
      <c r="A96" s="48"/>
    </row>
    <row r="97" spans="1:1">
      <c r="A97" s="48"/>
    </row>
    <row r="98" spans="1:1">
      <c r="A98" s="48"/>
    </row>
    <row r="99" spans="1:1">
      <c r="A99" s="48"/>
    </row>
    <row r="100" spans="1:1">
      <c r="A100" s="48"/>
    </row>
    <row r="101" spans="1:1">
      <c r="A101" s="48"/>
    </row>
    <row r="102" spans="1:1">
      <c r="A102" s="48"/>
    </row>
    <row r="103" spans="1:1">
      <c r="A103" s="48"/>
    </row>
    <row r="104" spans="1:1">
      <c r="A104" s="48"/>
    </row>
    <row r="105" spans="1:1">
      <c r="A105" s="48"/>
    </row>
    <row r="106" spans="1:1">
      <c r="A106" s="48"/>
    </row>
    <row r="107" spans="1:1">
      <c r="A107" s="48"/>
    </row>
    <row r="108" spans="1:1">
      <c r="A108" s="48"/>
    </row>
    <row r="109" spans="1:1">
      <c r="A109" s="48"/>
    </row>
    <row r="110" spans="1:1">
      <c r="A110" s="48"/>
    </row>
    <row r="111" spans="1:1">
      <c r="A111" s="48"/>
    </row>
    <row r="112" spans="1:1">
      <c r="A112" s="48"/>
    </row>
    <row r="113" spans="1:1">
      <c r="A113" s="48"/>
    </row>
    <row r="114" spans="1:1">
      <c r="A114" s="48"/>
    </row>
    <row r="115" spans="1:1">
      <c r="A115" s="48"/>
    </row>
    <row r="116" spans="1:1">
      <c r="A116" s="48"/>
    </row>
    <row r="117" spans="1:1">
      <c r="A117" s="48"/>
    </row>
    <row r="118" spans="1:1">
      <c r="A118" s="48"/>
    </row>
    <row r="119" spans="1:1">
      <c r="A119" s="48"/>
    </row>
    <row r="120" spans="1:1">
      <c r="A120" s="48"/>
    </row>
    <row r="121" spans="1:1">
      <c r="A121" s="48"/>
    </row>
    <row r="122" spans="1:1">
      <c r="A122" s="48"/>
    </row>
    <row r="123" spans="1:1">
      <c r="A123" s="48"/>
    </row>
    <row r="124" spans="1:1">
      <c r="A124" s="48"/>
    </row>
    <row r="125" spans="1:1">
      <c r="A125" s="48"/>
    </row>
    <row r="126" spans="1:1">
      <c r="A126" s="48"/>
    </row>
    <row r="127" spans="1:1">
      <c r="A127" s="48"/>
    </row>
    <row r="128" spans="1:1">
      <c r="A128" s="48"/>
    </row>
    <row r="129" spans="1:1">
      <c r="A129" s="48"/>
    </row>
    <row r="130" spans="1:1">
      <c r="A130" s="48"/>
    </row>
    <row r="131" spans="1:1">
      <c r="A131" s="48"/>
    </row>
    <row r="132" spans="1:1">
      <c r="A132" s="48"/>
    </row>
    <row r="133" spans="1:1">
      <c r="A133" s="48"/>
    </row>
    <row r="134" spans="1:1">
      <c r="A134" s="48"/>
    </row>
    <row r="135" spans="1:1">
      <c r="A135" s="48"/>
    </row>
    <row r="136" spans="1:1">
      <c r="A136" s="48"/>
    </row>
    <row r="137" spans="1:1">
      <c r="A137" s="48"/>
    </row>
    <row r="138" spans="1:1">
      <c r="A138" s="48"/>
    </row>
    <row r="139" spans="1:1">
      <c r="A139" s="48"/>
    </row>
    <row r="140" spans="1:1">
      <c r="A140" s="48"/>
    </row>
    <row r="141" spans="1:1">
      <c r="A141" s="48"/>
    </row>
    <row r="142" spans="1:1">
      <c r="A142" s="48"/>
    </row>
    <row r="143" spans="1:1">
      <c r="A143" s="48"/>
    </row>
    <row r="144" spans="1:1">
      <c r="A144" s="48"/>
    </row>
    <row r="145" spans="1:1">
      <c r="A145" s="48"/>
    </row>
    <row r="146" spans="1:1">
      <c r="A146" s="48"/>
    </row>
    <row r="147" spans="1:1">
      <c r="A147" s="48"/>
    </row>
    <row r="148" spans="1:1">
      <c r="A148" s="48"/>
    </row>
    <row r="149" spans="1:1">
      <c r="A149" s="48"/>
    </row>
    <row r="150" spans="1:1">
      <c r="A150" s="48"/>
    </row>
    <row r="151" spans="1:1">
      <c r="A151" s="48"/>
    </row>
    <row r="152" spans="1:1">
      <c r="A152" s="48"/>
    </row>
    <row r="153" spans="1:1">
      <c r="A153" s="48"/>
    </row>
    <row r="154" spans="1:1">
      <c r="A154" s="48"/>
    </row>
    <row r="155" spans="1:1">
      <c r="A155" s="48"/>
    </row>
    <row r="156" spans="1:1">
      <c r="A156" s="48"/>
    </row>
    <row r="157" spans="1:1">
      <c r="A157" s="48"/>
    </row>
    <row r="158" spans="1:1">
      <c r="A158" s="48"/>
    </row>
    <row r="159" spans="1:1">
      <c r="A159" s="48"/>
    </row>
    <row r="160" spans="1:1">
      <c r="A160" s="48"/>
    </row>
    <row r="161" spans="1:1">
      <c r="A161" s="48"/>
    </row>
    <row r="162" spans="1:1">
      <c r="A162" s="48"/>
    </row>
    <row r="163" spans="1:1">
      <c r="A163" s="48"/>
    </row>
    <row r="164" spans="1:1">
      <c r="A164" s="48"/>
    </row>
    <row r="165" spans="1:1">
      <c r="A165" s="48"/>
    </row>
    <row r="166" spans="1:1">
      <c r="A166" s="48"/>
    </row>
    <row r="167" spans="1:1">
      <c r="A167" s="48"/>
    </row>
    <row r="168" spans="1:1">
      <c r="A168" s="48"/>
    </row>
    <row r="169" spans="1:1">
      <c r="A169" s="48"/>
    </row>
    <row r="170" spans="1:1">
      <c r="A170" s="48"/>
    </row>
    <row r="171" spans="1:1">
      <c r="A171" s="48"/>
    </row>
    <row r="172" spans="1:1">
      <c r="A172" s="48"/>
    </row>
    <row r="173" spans="1:1">
      <c r="A173" s="48"/>
    </row>
    <row r="174" spans="1:1">
      <c r="A174" s="48"/>
    </row>
    <row r="175" spans="1:1">
      <c r="A175" s="48"/>
    </row>
    <row r="176" spans="1:1">
      <c r="A176" s="48"/>
    </row>
    <row r="177" spans="1:1">
      <c r="A177" s="48"/>
    </row>
    <row r="178" spans="1:1">
      <c r="A178" s="48"/>
    </row>
    <row r="179" spans="1:1">
      <c r="A179" s="48"/>
    </row>
    <row r="180" spans="1:1">
      <c r="A180" s="48"/>
    </row>
    <row r="181" spans="1:1">
      <c r="A181" s="48"/>
    </row>
    <row r="182" spans="1:1">
      <c r="A182" s="48"/>
    </row>
  </sheetData>
  <sheetProtection password="C6FB" sheet="1" formatCells="0" formatColumns="0" formatRows="0"/>
  <mergeCells count="12">
    <mergeCell ref="A1:I1"/>
    <mergeCell ref="B3:B4"/>
    <mergeCell ref="C3:C4"/>
    <mergeCell ref="D3:D4"/>
    <mergeCell ref="A2:I2"/>
    <mergeCell ref="F3:I3"/>
    <mergeCell ref="E3:E4"/>
    <mergeCell ref="C15:E15"/>
    <mergeCell ref="G15:I15"/>
    <mergeCell ref="C16:E16"/>
    <mergeCell ref="G16:I16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J31"/>
  <sheetViews>
    <sheetView zoomScale="75" zoomScaleNormal="75" zoomScaleSheetLayoutView="75" workbookViewId="0">
      <pane ySplit="5" topLeftCell="A6" activePane="bottomLeft" state="frozen"/>
      <selection pane="bottomLeft" activeCell="H77" sqref="H77"/>
    </sheetView>
  </sheetViews>
  <sheetFormatPr defaultColWidth="9.140625" defaultRowHeight="12.75"/>
  <cols>
    <col min="1" max="1" width="61" style="29" customWidth="1"/>
    <col min="2" max="2" width="11.28515625" style="29" customWidth="1"/>
    <col min="3" max="3" width="16" style="29" customWidth="1"/>
    <col min="4" max="4" width="12.7109375" style="29" customWidth="1"/>
    <col min="5" max="5" width="18.42578125" style="29" customWidth="1"/>
    <col min="6" max="6" width="14.28515625" style="29" customWidth="1"/>
    <col min="7" max="7" width="15.42578125" style="29" customWidth="1"/>
    <col min="8" max="8" width="34.7109375" style="29" customWidth="1"/>
    <col min="9" max="9" width="9.5703125" style="29" customWidth="1"/>
    <col min="10" max="16384" width="9.140625" style="29"/>
  </cols>
  <sheetData>
    <row r="1" spans="1:8" ht="25.5" customHeight="1">
      <c r="A1" s="374" t="s">
        <v>235</v>
      </c>
      <c r="B1" s="374"/>
      <c r="C1" s="374"/>
      <c r="D1" s="374"/>
      <c r="E1" s="374"/>
      <c r="F1" s="374"/>
      <c r="G1" s="374"/>
      <c r="H1" s="374"/>
    </row>
    <row r="2" spans="1:8" ht="16.5" customHeight="1"/>
    <row r="3" spans="1:8" ht="45" customHeight="1">
      <c r="A3" s="375" t="s">
        <v>279</v>
      </c>
      <c r="B3" s="375" t="s">
        <v>0</v>
      </c>
      <c r="C3" s="375" t="s">
        <v>111</v>
      </c>
      <c r="D3" s="375" t="s">
        <v>32</v>
      </c>
      <c r="E3" s="375" t="s">
        <v>112</v>
      </c>
      <c r="F3" s="377" t="s">
        <v>185</v>
      </c>
      <c r="G3" s="375" t="s">
        <v>113</v>
      </c>
      <c r="H3" s="375" t="s">
        <v>114</v>
      </c>
    </row>
    <row r="4" spans="1:8" ht="52.5" customHeight="1">
      <c r="A4" s="376"/>
      <c r="B4" s="376"/>
      <c r="C4" s="376"/>
      <c r="D4" s="376"/>
      <c r="E4" s="376"/>
      <c r="F4" s="378"/>
      <c r="G4" s="376"/>
      <c r="H4" s="376"/>
    </row>
    <row r="5" spans="1:8" s="61" customFormat="1" ht="18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pans="1:8" s="61" customFormat="1" ht="20.100000000000001" customHeight="1">
      <c r="A6" s="77" t="s">
        <v>207</v>
      </c>
      <c r="B6" s="60"/>
      <c r="C6" s="39"/>
      <c r="D6" s="39"/>
      <c r="E6" s="39"/>
      <c r="F6" s="39"/>
      <c r="G6" s="39"/>
      <c r="H6" s="39"/>
    </row>
    <row r="7" spans="1:8" ht="75">
      <c r="A7" s="8" t="s">
        <v>360</v>
      </c>
      <c r="B7" s="7">
        <v>5000</v>
      </c>
      <c r="C7" s="79" t="s">
        <v>347</v>
      </c>
      <c r="D7" s="298" t="e">
        <f>'Осн. фін. пок.'!C40*100/'Осн. фін. пок.'!C38</f>
        <v>#DIV/0!</v>
      </c>
      <c r="E7" s="196"/>
      <c r="F7" s="298" t="e">
        <f>'Осн. фін. пок.'!F40*100/'Осн. фін. пок.'!F38</f>
        <v>#DIV/0!</v>
      </c>
      <c r="G7" s="195">
        <f>'Осн. фін. пок.'!E40*100/'Осн. фін. пок.'!E38</f>
        <v>-669.6</v>
      </c>
      <c r="H7" s="87"/>
    </row>
    <row r="8" spans="1:8" ht="63.95" customHeight="1">
      <c r="A8" s="8" t="s">
        <v>361</v>
      </c>
      <c r="B8" s="7">
        <v>5010</v>
      </c>
      <c r="C8" s="79" t="s">
        <v>347</v>
      </c>
      <c r="D8" s="298" t="e">
        <f>'Осн. фін. пок.'!C45*100/'Осн. фін. пок.'!C38</f>
        <v>#DIV/0!</v>
      </c>
      <c r="E8" s="196"/>
      <c r="F8" s="298" t="e">
        <f>'Осн. фін. пок.'!F45*100/'Осн. фін. пок.'!F38</f>
        <v>#DIV/0!</v>
      </c>
      <c r="G8" s="195">
        <f>'Осн. фін. пок.'!E45*100/'Осн. фін. пок.'!E38</f>
        <v>-975.2</v>
      </c>
      <c r="H8" s="87"/>
    </row>
    <row r="9" spans="1:8" ht="56.25">
      <c r="A9" s="89" t="s">
        <v>367</v>
      </c>
      <c r="B9" s="7">
        <v>5020</v>
      </c>
      <c r="C9" s="79" t="s">
        <v>347</v>
      </c>
      <c r="D9" s="298" t="e">
        <f>'Осн. фін. пок.'!C51/'Осн. фін. пок.'!C77</f>
        <v>#DIV/0!</v>
      </c>
      <c r="E9" s="196"/>
      <c r="F9" s="195">
        <f>'Осн. фін. пок.'!F51/'Осн. фін. пок.'!F77</f>
        <v>-5.128205128205128E-2</v>
      </c>
      <c r="G9" s="195">
        <f>'Осн. фін. пок.'!E51/'Осн. фін. пок.'!E77</f>
        <v>-2.2351046698872787</v>
      </c>
      <c r="H9" s="87" t="s">
        <v>348</v>
      </c>
    </row>
    <row r="10" spans="1:8" ht="56.25">
      <c r="A10" s="89" t="s">
        <v>368</v>
      </c>
      <c r="B10" s="7">
        <v>5030</v>
      </c>
      <c r="C10" s="79" t="s">
        <v>347</v>
      </c>
      <c r="D10" s="298" t="e">
        <f>'Осн. фін. пок.'!C51/'Осн. фін. пок.'!C83</f>
        <v>#DIV/0!</v>
      </c>
      <c r="E10" s="196"/>
      <c r="F10" s="195">
        <f>'Осн. фін. пок.'!F51/'Осн. фін. пок.'!F83</f>
        <v>-5.4054054054054057E-2</v>
      </c>
      <c r="G10" s="195">
        <f>'Осн. фін. пок.'!E51/'Осн. фін. пок.'!E83</f>
        <v>-2.2351046698872787</v>
      </c>
      <c r="H10" s="87"/>
    </row>
    <row r="11" spans="1:8" ht="75">
      <c r="A11" s="89" t="s">
        <v>369</v>
      </c>
      <c r="B11" s="7">
        <v>5040</v>
      </c>
      <c r="C11" s="79" t="s">
        <v>115</v>
      </c>
      <c r="D11" s="298" t="e">
        <f>'Осн. фін. пок.'!C51/'Осн. фін. пок.'!C38</f>
        <v>#DIV/0!</v>
      </c>
      <c r="E11" s="196"/>
      <c r="F11" s="298" t="e">
        <f>'Осн. фін. пок.'!F51/'Осн. фін. пок.'!F38</f>
        <v>#DIV/0!</v>
      </c>
      <c r="G11" s="195">
        <f>'Осн. фін. пок.'!E51/'Осн. фін. пок.'!E38</f>
        <v>-11.103999999999999</v>
      </c>
      <c r="H11" s="87" t="s">
        <v>349</v>
      </c>
    </row>
    <row r="12" spans="1:8" ht="20.100000000000001" customHeight="1">
      <c r="A12" s="77" t="s">
        <v>209</v>
      </c>
      <c r="B12" s="7"/>
      <c r="C12" s="80"/>
      <c r="D12" s="88"/>
      <c r="E12" s="160"/>
      <c r="F12" s="88"/>
      <c r="G12" s="88"/>
      <c r="H12" s="87"/>
    </row>
    <row r="13" spans="1:8" ht="63.95" customHeight="1">
      <c r="A13" s="78" t="s">
        <v>317</v>
      </c>
      <c r="B13" s="7">
        <v>5100</v>
      </c>
      <c r="C13" s="79"/>
      <c r="D13" s="298" t="e">
        <f>('Осн. фін. пок.'!C78+'Осн. фін. пок.'!C79)/'Осн. фін. пок.'!C45</f>
        <v>#DIV/0!</v>
      </c>
      <c r="E13" s="196"/>
      <c r="F13" s="195">
        <f>('Осн. фін. пок.'!F78+'Осн. фін. пок.'!F79)/'Осн. фін. пок.'!F45</f>
        <v>-1</v>
      </c>
      <c r="G13" s="195">
        <f>('Осн. фін. пок.'!E78+'Осн. фін. пок.'!E79)/'Осн. фін. пок.'!E45</f>
        <v>0</v>
      </c>
      <c r="H13" s="87"/>
    </row>
    <row r="14" spans="1:8" s="61" customFormat="1" ht="112.5">
      <c r="A14" s="78" t="s">
        <v>318</v>
      </c>
      <c r="B14" s="7">
        <v>5110</v>
      </c>
      <c r="C14" s="79" t="s">
        <v>194</v>
      </c>
      <c r="D14" s="298" t="e">
        <f>'Осн. фін. пок.'!C83/('Осн. фін. пок.'!C78+'Осн. фін. пок.'!C79)</f>
        <v>#DIV/0!</v>
      </c>
      <c r="E14" s="196"/>
      <c r="F14" s="195">
        <f>'Осн. фін. пок.'!F83/('Осн. фін. пок.'!F78+'Осн. фін. пок.'!F79)</f>
        <v>18.5</v>
      </c>
      <c r="G14" s="298" t="e">
        <f>'Осн. фін. пок.'!E83/('Осн. фін. пок.'!E78+'Осн. фін. пок.'!E79)</f>
        <v>#DIV/0!</v>
      </c>
      <c r="H14" s="87" t="s">
        <v>350</v>
      </c>
    </row>
    <row r="15" spans="1:8" s="61" customFormat="1" ht="131.25">
      <c r="A15" s="78" t="s">
        <v>319</v>
      </c>
      <c r="B15" s="7">
        <v>5120</v>
      </c>
      <c r="C15" s="79" t="s">
        <v>194</v>
      </c>
      <c r="D15" s="298" t="e">
        <f>'Осн. фін. пок.'!C75/'Осн. фін. пок.'!C79</f>
        <v>#DIV/0!</v>
      </c>
      <c r="E15" s="196"/>
      <c r="F15" s="195">
        <f>'Осн. фін. пок.'!F75/'Осн. фін. пок.'!F79</f>
        <v>3.5714285714285716</v>
      </c>
      <c r="G15" s="298" t="e">
        <f>'Осн. фін. пок.'!E75/'Осн. фін. пок.'!E79</f>
        <v>#DIV/0!</v>
      </c>
      <c r="H15" s="87" t="s">
        <v>352</v>
      </c>
    </row>
    <row r="16" spans="1:8" ht="20.100000000000001" customHeight="1">
      <c r="A16" s="77" t="s">
        <v>208</v>
      </c>
      <c r="B16" s="7"/>
      <c r="C16" s="79"/>
      <c r="D16" s="197"/>
      <c r="E16" s="196"/>
      <c r="F16" s="197"/>
      <c r="G16" s="197"/>
      <c r="H16" s="87"/>
    </row>
    <row r="17" spans="1:10" ht="56.25">
      <c r="A17" s="78" t="s">
        <v>320</v>
      </c>
      <c r="B17" s="7">
        <v>5200</v>
      </c>
      <c r="C17" s="79"/>
      <c r="D17" s="298" t="e">
        <f>'Осн. фін. пок.'!C68/'I. Фін результат'!C98</f>
        <v>#DIV/0!</v>
      </c>
      <c r="E17" s="196"/>
      <c r="F17" s="298" t="e">
        <f>'Осн. фін. пок.'!F68/'I. Фін результат'!E98</f>
        <v>#DIV/0!</v>
      </c>
      <c r="G17" s="195">
        <f>'Осн. фін. пок.'!E68/'I. Фін результат'!I98</f>
        <v>2.0956284153005464</v>
      </c>
      <c r="H17" s="87"/>
    </row>
    <row r="18" spans="1:10" ht="75">
      <c r="A18" s="78" t="s">
        <v>321</v>
      </c>
      <c r="B18" s="7">
        <v>5210</v>
      </c>
      <c r="C18" s="79"/>
      <c r="D18" s="298" t="e">
        <f>'Осн. фін. пок.'!C68/'Осн. фін. пок.'!C38</f>
        <v>#DIV/0!</v>
      </c>
      <c r="E18" s="196"/>
      <c r="F18" s="298" t="e">
        <f>'Осн. фін. пок.'!F68/'Осн. фін. пок.'!F38</f>
        <v>#DIV/0!</v>
      </c>
      <c r="G18" s="195">
        <f>'Осн. фін. пок.'!E68/'Осн. фін. пок.'!E38</f>
        <v>3.0680000000000001</v>
      </c>
      <c r="H18" s="87"/>
    </row>
    <row r="19" spans="1:10" ht="63.95" customHeight="1">
      <c r="A19" s="78" t="s">
        <v>362</v>
      </c>
      <c r="B19" s="7">
        <v>5220</v>
      </c>
      <c r="C19" s="79" t="s">
        <v>347</v>
      </c>
      <c r="D19" s="196"/>
      <c r="E19" s="196"/>
      <c r="F19" s="196"/>
      <c r="G19" s="196"/>
      <c r="H19" s="87" t="s">
        <v>351</v>
      </c>
    </row>
    <row r="20" spans="1:10" ht="20.100000000000001" customHeight="1">
      <c r="A20" s="60" t="s">
        <v>297</v>
      </c>
      <c r="B20" s="7"/>
      <c r="C20" s="79"/>
      <c r="D20" s="197"/>
      <c r="E20" s="196"/>
      <c r="F20" s="197"/>
      <c r="G20" s="197"/>
      <c r="H20" s="87"/>
    </row>
    <row r="21" spans="1:10" ht="112.5">
      <c r="A21" s="89" t="s">
        <v>363</v>
      </c>
      <c r="B21" s="7">
        <v>5300</v>
      </c>
      <c r="C21" s="79"/>
      <c r="D21" s="196"/>
      <c r="E21" s="196"/>
      <c r="F21" s="196"/>
      <c r="G21" s="196"/>
      <c r="H21" s="161"/>
    </row>
    <row r="22" spans="1:10" ht="20.100000000000001" customHeight="1">
      <c r="A22" s="162"/>
      <c r="B22" s="162"/>
      <c r="C22" s="162"/>
      <c r="D22" s="162"/>
      <c r="E22" s="162"/>
      <c r="F22" s="162"/>
      <c r="G22" s="162"/>
      <c r="H22" s="162"/>
    </row>
    <row r="23" spans="1:10" ht="19.899999999999999" customHeight="1">
      <c r="A23" s="162"/>
      <c r="B23" s="162"/>
      <c r="C23" s="162"/>
      <c r="D23" s="162"/>
      <c r="E23" s="162"/>
      <c r="F23" s="162"/>
      <c r="G23" s="162"/>
      <c r="H23" s="162"/>
    </row>
    <row r="24" spans="1:10" ht="1.1499999999999999" customHeight="1">
      <c r="A24" s="162"/>
      <c r="B24" s="162"/>
      <c r="C24" s="162"/>
      <c r="D24" s="162"/>
      <c r="E24" s="162"/>
      <c r="F24" s="162"/>
      <c r="G24" s="162"/>
      <c r="H24" s="162"/>
    </row>
    <row r="25" spans="1:10" s="2" customFormat="1" ht="46.9" customHeight="1">
      <c r="A25" s="139" t="s">
        <v>556</v>
      </c>
      <c r="B25" s="139"/>
      <c r="C25" s="140"/>
      <c r="D25" s="332" t="s">
        <v>120</v>
      </c>
      <c r="E25" s="333"/>
      <c r="F25" s="333"/>
      <c r="G25" s="333"/>
      <c r="H25" s="146" t="s">
        <v>557</v>
      </c>
    </row>
    <row r="26" spans="1:10" s="1" customFormat="1" ht="20.100000000000001" customHeight="1">
      <c r="A26" s="97" t="s">
        <v>275</v>
      </c>
      <c r="B26" s="163"/>
      <c r="C26" s="110"/>
      <c r="D26" s="317" t="s">
        <v>85</v>
      </c>
      <c r="E26" s="317"/>
      <c r="F26" s="317"/>
      <c r="G26" s="317"/>
      <c r="H26" s="147" t="s">
        <v>276</v>
      </c>
      <c r="I26" s="58"/>
      <c r="J26" s="58"/>
    </row>
    <row r="27" spans="1:10">
      <c r="A27" s="162"/>
      <c r="B27" s="162"/>
      <c r="C27" s="162"/>
      <c r="D27" s="162"/>
      <c r="E27" s="162"/>
      <c r="F27" s="162"/>
      <c r="G27" s="162"/>
      <c r="H27" s="162"/>
    </row>
    <row r="28" spans="1:10">
      <c r="A28" s="162"/>
      <c r="B28" s="162"/>
      <c r="C28" s="162"/>
      <c r="D28" s="162"/>
      <c r="E28" s="162"/>
      <c r="F28" s="162"/>
      <c r="G28" s="162"/>
      <c r="H28" s="162"/>
    </row>
    <row r="29" spans="1:10">
      <c r="A29" s="162"/>
      <c r="B29" s="162"/>
      <c r="C29" s="162"/>
      <c r="D29" s="162"/>
      <c r="E29" s="162"/>
      <c r="F29" s="162"/>
      <c r="G29" s="162"/>
      <c r="H29" s="162"/>
    </row>
    <row r="30" spans="1:10">
      <c r="A30" s="162"/>
      <c r="B30" s="162"/>
      <c r="C30" s="162"/>
      <c r="D30" s="162"/>
      <c r="E30" s="162"/>
      <c r="F30" s="162"/>
      <c r="G30" s="162"/>
      <c r="H30" s="162"/>
    </row>
    <row r="31" spans="1:10">
      <c r="A31" s="162"/>
      <c r="B31" s="162"/>
      <c r="C31" s="162"/>
      <c r="D31" s="162"/>
      <c r="E31" s="162"/>
      <c r="F31" s="162"/>
      <c r="G31" s="162"/>
      <c r="H31" s="162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O96"/>
  <sheetViews>
    <sheetView topLeftCell="A58" zoomScale="60" zoomScaleNormal="75" zoomScaleSheetLayoutView="75" workbookViewId="0">
      <selection activeCell="A56" sqref="A56"/>
    </sheetView>
  </sheetViews>
  <sheetFormatPr defaultColWidth="9.140625"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421" t="s">
        <v>138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>
      <c r="A2" s="421" t="s">
        <v>431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</row>
    <row r="3" spans="1:15">
      <c r="A3" s="317" t="s">
        <v>432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20.100000000000001" customHeight="1">
      <c r="A4" s="422" t="s">
        <v>149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5" ht="21.95" customHeight="1">
      <c r="A5" s="423" t="s">
        <v>99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</row>
    <row r="6" spans="1:15" ht="10.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ht="16.5" customHeight="1">
      <c r="A7" s="424" t="s">
        <v>353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</row>
    <row r="8" spans="1:15" ht="10.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s="2" customFormat="1" ht="40.5" customHeight="1">
      <c r="A9" s="319" t="s">
        <v>279</v>
      </c>
      <c r="B9" s="319"/>
      <c r="C9" s="319"/>
      <c r="D9" s="320" t="s">
        <v>151</v>
      </c>
      <c r="E9" s="320"/>
      <c r="F9" s="320" t="s">
        <v>32</v>
      </c>
      <c r="G9" s="320"/>
      <c r="H9" s="320" t="s">
        <v>71</v>
      </c>
      <c r="I9" s="320"/>
      <c r="J9" s="320" t="s">
        <v>152</v>
      </c>
      <c r="K9" s="320"/>
      <c r="L9" s="320" t="s">
        <v>300</v>
      </c>
      <c r="M9" s="320"/>
      <c r="N9" s="320" t="s">
        <v>301</v>
      </c>
      <c r="O9" s="320"/>
    </row>
    <row r="10" spans="1:15" s="2" customFormat="1" ht="18" customHeight="1">
      <c r="A10" s="319">
        <v>1</v>
      </c>
      <c r="B10" s="319"/>
      <c r="C10" s="319"/>
      <c r="D10" s="320">
        <v>2</v>
      </c>
      <c r="E10" s="320"/>
      <c r="F10" s="320">
        <v>3</v>
      </c>
      <c r="G10" s="320"/>
      <c r="H10" s="320">
        <v>4</v>
      </c>
      <c r="I10" s="320"/>
      <c r="J10" s="320">
        <v>5</v>
      </c>
      <c r="K10" s="320"/>
      <c r="L10" s="320">
        <v>6</v>
      </c>
      <c r="M10" s="320"/>
      <c r="N10" s="320">
        <v>7</v>
      </c>
      <c r="O10" s="320"/>
    </row>
    <row r="11" spans="1:15" s="2" customFormat="1" ht="20.100000000000001" customHeight="1">
      <c r="A11" s="324" t="s">
        <v>150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  <c r="L11" s="419"/>
      <c r="M11" s="420"/>
      <c r="N11" s="419"/>
      <c r="O11" s="420"/>
    </row>
    <row r="12" spans="1:15" s="2" customFormat="1" ht="20.100000000000001" customHeight="1">
      <c r="A12" s="379" t="s">
        <v>322</v>
      </c>
      <c r="B12" s="379"/>
      <c r="C12" s="379"/>
      <c r="D12" s="380"/>
      <c r="E12" s="381"/>
      <c r="F12" s="380"/>
      <c r="G12" s="381"/>
      <c r="H12" s="380"/>
      <c r="I12" s="381"/>
      <c r="J12" s="416">
        <v>1</v>
      </c>
      <c r="K12" s="417"/>
      <c r="L12" s="382" t="e">
        <f>J12/H12*100%</f>
        <v>#DIV/0!</v>
      </c>
      <c r="M12" s="383"/>
      <c r="N12" s="382" t="e">
        <f>J12/F12*100%</f>
        <v>#DIV/0!</v>
      </c>
      <c r="O12" s="383"/>
    </row>
    <row r="13" spans="1:15" s="2" customFormat="1" ht="20.100000000000001" customHeight="1">
      <c r="A13" s="379" t="s">
        <v>323</v>
      </c>
      <c r="B13" s="379"/>
      <c r="C13" s="379"/>
      <c r="D13" s="380"/>
      <c r="E13" s="381"/>
      <c r="F13" s="380"/>
      <c r="G13" s="381"/>
      <c r="H13" s="380"/>
      <c r="I13" s="381"/>
      <c r="J13" s="416"/>
      <c r="K13" s="417"/>
      <c r="L13" s="382" t="e">
        <f t="shared" ref="L13:L33" si="0">J13/H13*100%</f>
        <v>#DIV/0!</v>
      </c>
      <c r="M13" s="383"/>
      <c r="N13" s="382" t="e">
        <f t="shared" ref="N13:N33" si="1">J13/F13*100%</f>
        <v>#DIV/0!</v>
      </c>
      <c r="O13" s="383"/>
    </row>
    <row r="14" spans="1:15" s="2" customFormat="1" ht="20.100000000000001" customHeight="1">
      <c r="A14" s="379" t="s">
        <v>324</v>
      </c>
      <c r="B14" s="379"/>
      <c r="C14" s="379"/>
      <c r="D14" s="380"/>
      <c r="E14" s="381"/>
      <c r="F14" s="380"/>
      <c r="G14" s="381"/>
      <c r="H14" s="380"/>
      <c r="I14" s="381"/>
      <c r="J14" s="416">
        <v>11</v>
      </c>
      <c r="K14" s="417"/>
      <c r="L14" s="382" t="e">
        <f t="shared" si="0"/>
        <v>#DIV/0!</v>
      </c>
      <c r="M14" s="383"/>
      <c r="N14" s="382" t="e">
        <f t="shared" si="1"/>
        <v>#DIV/0!</v>
      </c>
      <c r="O14" s="383"/>
    </row>
    <row r="15" spans="1:15" s="2" customFormat="1" ht="20.100000000000001" customHeight="1">
      <c r="A15" s="379" t="s">
        <v>325</v>
      </c>
      <c r="B15" s="379"/>
      <c r="C15" s="379"/>
      <c r="D15" s="380"/>
      <c r="E15" s="381"/>
      <c r="F15" s="380"/>
      <c r="G15" s="381"/>
      <c r="H15" s="380"/>
      <c r="I15" s="381"/>
      <c r="J15" s="416"/>
      <c r="K15" s="417"/>
      <c r="L15" s="382" t="e">
        <f t="shared" si="0"/>
        <v>#DIV/0!</v>
      </c>
      <c r="M15" s="383"/>
      <c r="N15" s="382" t="e">
        <f t="shared" si="1"/>
        <v>#DIV/0!</v>
      </c>
      <c r="O15" s="383"/>
    </row>
    <row r="16" spans="1:15" s="2" customFormat="1" ht="20.100000000000001" customHeight="1">
      <c r="A16" s="379" t="s">
        <v>326</v>
      </c>
      <c r="B16" s="379"/>
      <c r="C16" s="379"/>
      <c r="D16" s="380"/>
      <c r="E16" s="381"/>
      <c r="F16" s="380"/>
      <c r="G16" s="381"/>
      <c r="H16" s="380"/>
      <c r="I16" s="381"/>
      <c r="J16" s="416">
        <v>1</v>
      </c>
      <c r="K16" s="417"/>
      <c r="L16" s="382" t="e">
        <f t="shared" si="0"/>
        <v>#DIV/0!</v>
      </c>
      <c r="M16" s="383"/>
      <c r="N16" s="382" t="e">
        <f t="shared" si="1"/>
        <v>#DIV/0!</v>
      </c>
      <c r="O16" s="383"/>
    </row>
    <row r="17" spans="1:15" s="2" customFormat="1" ht="20.100000000000001" customHeight="1">
      <c r="A17" s="379" t="s">
        <v>327</v>
      </c>
      <c r="B17" s="379"/>
      <c r="C17" s="379"/>
      <c r="D17" s="380"/>
      <c r="E17" s="381"/>
      <c r="F17" s="380"/>
      <c r="G17" s="381"/>
      <c r="H17" s="380"/>
      <c r="I17" s="381"/>
      <c r="J17" s="416"/>
      <c r="K17" s="417"/>
      <c r="L17" s="382" t="e">
        <f t="shared" si="0"/>
        <v>#DIV/0!</v>
      </c>
      <c r="M17" s="383"/>
      <c r="N17" s="382" t="e">
        <f t="shared" si="1"/>
        <v>#DIV/0!</v>
      </c>
      <c r="O17" s="383"/>
    </row>
    <row r="18" spans="1:15" s="2" customFormat="1" ht="20.100000000000001" customHeight="1">
      <c r="A18" s="324" t="s">
        <v>298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6"/>
      <c r="L18" s="382" t="e">
        <f t="shared" si="0"/>
        <v>#DIV/0!</v>
      </c>
      <c r="M18" s="383"/>
      <c r="N18" s="382" t="e">
        <f t="shared" si="1"/>
        <v>#DIV/0!</v>
      </c>
      <c r="O18" s="383"/>
    </row>
    <row r="19" spans="1:15" s="2" customFormat="1" ht="20.100000000000001" customHeight="1">
      <c r="A19" s="379" t="s">
        <v>277</v>
      </c>
      <c r="B19" s="379"/>
      <c r="C19" s="379"/>
      <c r="D19" s="380"/>
      <c r="E19" s="381"/>
      <c r="F19" s="380"/>
      <c r="G19" s="381"/>
      <c r="H19" s="380"/>
      <c r="I19" s="381"/>
      <c r="J19" s="380">
        <f>штатка!M39/1000</f>
        <v>146.244</v>
      </c>
      <c r="K19" s="381"/>
      <c r="L19" s="382" t="e">
        <f t="shared" si="0"/>
        <v>#DIV/0!</v>
      </c>
      <c r="M19" s="383"/>
      <c r="N19" s="382" t="e">
        <f t="shared" si="1"/>
        <v>#DIV/0!</v>
      </c>
      <c r="O19" s="383"/>
    </row>
    <row r="20" spans="1:15" s="2" customFormat="1" ht="20.100000000000001" customHeight="1">
      <c r="A20" s="379" t="s">
        <v>302</v>
      </c>
      <c r="B20" s="379"/>
      <c r="C20" s="379"/>
      <c r="D20" s="380"/>
      <c r="E20" s="381"/>
      <c r="F20" s="380"/>
      <c r="G20" s="381"/>
      <c r="H20" s="380"/>
      <c r="I20" s="381"/>
      <c r="J20" s="380">
        <f>штатка!M40/1000</f>
        <v>511.93700000000001</v>
      </c>
      <c r="K20" s="381"/>
      <c r="L20" s="382" t="e">
        <f t="shared" si="0"/>
        <v>#DIV/0!</v>
      </c>
      <c r="M20" s="383"/>
      <c r="N20" s="382" t="e">
        <f t="shared" si="1"/>
        <v>#DIV/0!</v>
      </c>
      <c r="O20" s="383"/>
    </row>
    <row r="21" spans="1:15" s="2" customFormat="1" ht="20.100000000000001" customHeight="1">
      <c r="A21" s="379" t="s">
        <v>278</v>
      </c>
      <c r="B21" s="379"/>
      <c r="C21" s="379"/>
      <c r="D21" s="380"/>
      <c r="E21" s="381"/>
      <c r="F21" s="380"/>
      <c r="G21" s="381"/>
      <c r="H21" s="380"/>
      <c r="I21" s="381"/>
      <c r="J21" s="380">
        <f>штатка!M41/1000</f>
        <v>1059.3989999999999</v>
      </c>
      <c r="K21" s="381"/>
      <c r="L21" s="382" t="e">
        <f t="shared" si="0"/>
        <v>#DIV/0!</v>
      </c>
      <c r="M21" s="383"/>
      <c r="N21" s="382" t="e">
        <f t="shared" si="1"/>
        <v>#DIV/0!</v>
      </c>
      <c r="O21" s="383"/>
    </row>
    <row r="22" spans="1:15" s="2" customFormat="1" ht="20.100000000000001" customHeight="1">
      <c r="A22" s="324" t="s">
        <v>299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  <c r="L22" s="382" t="e">
        <f t="shared" si="0"/>
        <v>#DIV/0!</v>
      </c>
      <c r="M22" s="383"/>
      <c r="N22" s="382" t="e">
        <f t="shared" si="1"/>
        <v>#DIV/0!</v>
      </c>
      <c r="O22" s="383"/>
    </row>
    <row r="23" spans="1:15" s="2" customFormat="1" ht="20.100000000000001" customHeight="1">
      <c r="A23" s="379" t="s">
        <v>277</v>
      </c>
      <c r="B23" s="379"/>
      <c r="C23" s="379"/>
      <c r="D23" s="380"/>
      <c r="E23" s="381"/>
      <c r="F23" s="380"/>
      <c r="G23" s="381"/>
      <c r="H23" s="380"/>
      <c r="I23" s="381"/>
      <c r="J23" s="380">
        <f>штатка!M44/1000</f>
        <v>158.54312040000002</v>
      </c>
      <c r="K23" s="381"/>
      <c r="L23" s="382" t="e">
        <f t="shared" si="0"/>
        <v>#DIV/0!</v>
      </c>
      <c r="M23" s="383"/>
      <c r="N23" s="382" t="e">
        <f t="shared" si="1"/>
        <v>#DIV/0!</v>
      </c>
      <c r="O23" s="383"/>
    </row>
    <row r="24" spans="1:15" s="2" customFormat="1" ht="20.100000000000001" customHeight="1">
      <c r="A24" s="379" t="s">
        <v>302</v>
      </c>
      <c r="B24" s="379"/>
      <c r="C24" s="379"/>
      <c r="D24" s="380"/>
      <c r="E24" s="381"/>
      <c r="F24" s="380"/>
      <c r="G24" s="381"/>
      <c r="H24" s="380"/>
      <c r="I24" s="381"/>
      <c r="J24" s="380">
        <f>штатка!M45/1000</f>
        <v>624.56313999999998</v>
      </c>
      <c r="K24" s="381"/>
      <c r="L24" s="382" t="e">
        <f t="shared" si="0"/>
        <v>#DIV/0!</v>
      </c>
      <c r="M24" s="383"/>
      <c r="N24" s="382" t="e">
        <f t="shared" si="1"/>
        <v>#DIV/0!</v>
      </c>
      <c r="O24" s="383"/>
    </row>
    <row r="25" spans="1:15" s="2" customFormat="1" ht="20.100000000000001" customHeight="1">
      <c r="A25" s="379" t="s">
        <v>278</v>
      </c>
      <c r="B25" s="379"/>
      <c r="C25" s="379"/>
      <c r="D25" s="380"/>
      <c r="E25" s="381"/>
      <c r="F25" s="380"/>
      <c r="G25" s="381"/>
      <c r="H25" s="380"/>
      <c r="I25" s="381"/>
      <c r="J25" s="380">
        <f>штатка!M46/1000</f>
        <v>1292.46678</v>
      </c>
      <c r="K25" s="381"/>
      <c r="L25" s="382" t="e">
        <f t="shared" si="0"/>
        <v>#DIV/0!</v>
      </c>
      <c r="M25" s="383"/>
      <c r="N25" s="382" t="e">
        <f t="shared" si="1"/>
        <v>#DIV/0!</v>
      </c>
      <c r="O25" s="383"/>
    </row>
    <row r="26" spans="1:15" s="2" customFormat="1" ht="38.25" customHeight="1">
      <c r="A26" s="324" t="s">
        <v>328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6"/>
      <c r="L26" s="382" t="e">
        <f t="shared" si="0"/>
        <v>#DIV/0!</v>
      </c>
      <c r="M26" s="383"/>
      <c r="N26" s="382" t="e">
        <f t="shared" si="1"/>
        <v>#DIV/0!</v>
      </c>
      <c r="O26" s="383"/>
    </row>
    <row r="27" spans="1:15" s="2" customFormat="1" ht="20.100000000000001" customHeight="1">
      <c r="A27" s="379" t="s">
        <v>277</v>
      </c>
      <c r="B27" s="379"/>
      <c r="C27" s="379"/>
      <c r="D27" s="380"/>
      <c r="E27" s="381"/>
      <c r="F27" s="380"/>
      <c r="G27" s="381"/>
      <c r="H27" s="380"/>
      <c r="I27" s="381"/>
      <c r="J27" s="380">
        <f>штатка!M49</f>
        <v>12187</v>
      </c>
      <c r="K27" s="381"/>
      <c r="L27" s="382" t="e">
        <f t="shared" si="0"/>
        <v>#DIV/0!</v>
      </c>
      <c r="M27" s="383"/>
      <c r="N27" s="382" t="e">
        <f t="shared" si="1"/>
        <v>#DIV/0!</v>
      </c>
      <c r="O27" s="383"/>
    </row>
    <row r="28" spans="1:15" s="2" customFormat="1" ht="20.100000000000001" customHeight="1">
      <c r="A28" s="379" t="s">
        <v>302</v>
      </c>
      <c r="B28" s="379"/>
      <c r="C28" s="379"/>
      <c r="D28" s="380"/>
      <c r="E28" s="381"/>
      <c r="F28" s="380"/>
      <c r="G28" s="381"/>
      <c r="H28" s="380"/>
      <c r="I28" s="381"/>
      <c r="J28" s="380">
        <f>штатка!M50</f>
        <v>9952.6666666666661</v>
      </c>
      <c r="K28" s="381"/>
      <c r="L28" s="382" t="e">
        <f t="shared" si="0"/>
        <v>#DIV/0!</v>
      </c>
      <c r="M28" s="383"/>
      <c r="N28" s="382" t="e">
        <f t="shared" si="1"/>
        <v>#DIV/0!</v>
      </c>
      <c r="O28" s="383"/>
    </row>
    <row r="29" spans="1:15" s="2" customFormat="1" ht="20.100000000000001" customHeight="1">
      <c r="A29" s="379" t="s">
        <v>278</v>
      </c>
      <c r="B29" s="379"/>
      <c r="C29" s="379"/>
      <c r="D29" s="380"/>
      <c r="E29" s="381"/>
      <c r="F29" s="380"/>
      <c r="G29" s="381"/>
      <c r="H29" s="380"/>
      <c r="I29" s="381"/>
      <c r="J29" s="380">
        <f>штатка!M51</f>
        <v>4102.7777777777774</v>
      </c>
      <c r="K29" s="381"/>
      <c r="L29" s="382" t="e">
        <f t="shared" si="0"/>
        <v>#DIV/0!</v>
      </c>
      <c r="M29" s="383"/>
      <c r="N29" s="382" t="e">
        <f t="shared" si="1"/>
        <v>#DIV/0!</v>
      </c>
      <c r="O29" s="383"/>
    </row>
    <row r="30" spans="1:15" s="2" customFormat="1" ht="20.100000000000001" customHeight="1">
      <c r="A30" s="324" t="s">
        <v>329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6"/>
      <c r="L30" s="382" t="e">
        <f t="shared" si="0"/>
        <v>#DIV/0!</v>
      </c>
      <c r="M30" s="383"/>
      <c r="N30" s="382" t="e">
        <f t="shared" si="1"/>
        <v>#DIV/0!</v>
      </c>
      <c r="O30" s="383"/>
    </row>
    <row r="31" spans="1:15" s="2" customFormat="1" ht="20.100000000000001" customHeight="1">
      <c r="A31" s="379" t="s">
        <v>277</v>
      </c>
      <c r="B31" s="379"/>
      <c r="C31" s="379"/>
      <c r="D31" s="380"/>
      <c r="E31" s="381"/>
      <c r="F31" s="380"/>
      <c r="G31" s="381"/>
      <c r="H31" s="380"/>
      <c r="I31" s="381"/>
      <c r="J31" s="380">
        <f>штатка!M54</f>
        <v>12187</v>
      </c>
      <c r="K31" s="381"/>
      <c r="L31" s="382" t="e">
        <f t="shared" si="0"/>
        <v>#DIV/0!</v>
      </c>
      <c r="M31" s="383"/>
      <c r="N31" s="382" t="e">
        <f t="shared" si="1"/>
        <v>#DIV/0!</v>
      </c>
      <c r="O31" s="383"/>
    </row>
    <row r="32" spans="1:15" s="2" customFormat="1" ht="20.100000000000001" customHeight="1">
      <c r="A32" s="379" t="s">
        <v>302</v>
      </c>
      <c r="B32" s="379"/>
      <c r="C32" s="379"/>
      <c r="D32" s="380"/>
      <c r="E32" s="381"/>
      <c r="F32" s="380"/>
      <c r="G32" s="381"/>
      <c r="H32" s="380"/>
      <c r="I32" s="381"/>
      <c r="J32" s="380">
        <f>штатка!M55</f>
        <v>13629.333333333334</v>
      </c>
      <c r="K32" s="381"/>
      <c r="L32" s="382" t="e">
        <f t="shared" si="0"/>
        <v>#DIV/0!</v>
      </c>
      <c r="M32" s="383"/>
      <c r="N32" s="382" t="e">
        <f t="shared" si="1"/>
        <v>#DIV/0!</v>
      </c>
      <c r="O32" s="383"/>
    </row>
    <row r="33" spans="1:15" s="2" customFormat="1" ht="20.100000000000001" customHeight="1">
      <c r="A33" s="379" t="s">
        <v>278</v>
      </c>
      <c r="B33" s="379"/>
      <c r="C33" s="379"/>
      <c r="D33" s="380"/>
      <c r="E33" s="381"/>
      <c r="F33" s="380"/>
      <c r="G33" s="381"/>
      <c r="H33" s="380"/>
      <c r="I33" s="381"/>
      <c r="J33" s="380">
        <f>штатка!M56</f>
        <v>11187.888888888889</v>
      </c>
      <c r="K33" s="381"/>
      <c r="L33" s="382" t="e">
        <f t="shared" si="0"/>
        <v>#DIV/0!</v>
      </c>
      <c r="M33" s="383"/>
      <c r="N33" s="382" t="e">
        <f t="shared" si="1"/>
        <v>#DIV/0!</v>
      </c>
      <c r="O33" s="383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418" t="s">
        <v>330</v>
      </c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398" t="s">
        <v>331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</row>
    <row r="38" spans="1:15" ht="10.5" customHeight="1"/>
    <row r="39" spans="1:15" ht="60" customHeight="1">
      <c r="A39" s="37" t="s">
        <v>153</v>
      </c>
      <c r="B39" s="403" t="s">
        <v>332</v>
      </c>
      <c r="C39" s="404"/>
      <c r="D39" s="404"/>
      <c r="E39" s="404"/>
      <c r="F39" s="367" t="s">
        <v>93</v>
      </c>
      <c r="G39" s="367"/>
      <c r="H39" s="367"/>
      <c r="I39" s="367"/>
      <c r="J39" s="367"/>
      <c r="K39" s="367"/>
      <c r="L39" s="367"/>
      <c r="M39" s="367"/>
      <c r="N39" s="367"/>
      <c r="O39" s="367"/>
    </row>
    <row r="40" spans="1:15" ht="18" customHeight="1">
      <c r="A40" s="37">
        <v>1</v>
      </c>
      <c r="B40" s="403">
        <v>2</v>
      </c>
      <c r="C40" s="404"/>
      <c r="D40" s="404"/>
      <c r="E40" s="404"/>
      <c r="F40" s="367">
        <v>3</v>
      </c>
      <c r="G40" s="367"/>
      <c r="H40" s="367"/>
      <c r="I40" s="367"/>
      <c r="J40" s="367"/>
      <c r="K40" s="367"/>
      <c r="L40" s="367"/>
      <c r="M40" s="367"/>
      <c r="N40" s="367"/>
      <c r="O40" s="367"/>
    </row>
    <row r="41" spans="1:15" ht="20.100000000000001" customHeight="1">
      <c r="A41" s="164"/>
      <c r="B41" s="408"/>
      <c r="C41" s="409"/>
      <c r="D41" s="409"/>
      <c r="E41" s="409"/>
      <c r="F41" s="411"/>
      <c r="G41" s="411"/>
      <c r="H41" s="411"/>
      <c r="I41" s="411"/>
      <c r="J41" s="411"/>
      <c r="K41" s="411"/>
      <c r="L41" s="411"/>
      <c r="M41" s="411"/>
      <c r="N41" s="411"/>
      <c r="O41" s="411"/>
    </row>
    <row r="42" spans="1:15" ht="20.100000000000001" customHeight="1">
      <c r="A42" s="164"/>
      <c r="B42" s="408"/>
      <c r="C42" s="409"/>
      <c r="D42" s="409"/>
      <c r="E42" s="409"/>
      <c r="F42" s="411"/>
      <c r="G42" s="411"/>
      <c r="H42" s="411"/>
      <c r="I42" s="411"/>
      <c r="J42" s="411"/>
      <c r="K42" s="411"/>
      <c r="L42" s="411"/>
      <c r="M42" s="411"/>
      <c r="N42" s="411"/>
      <c r="O42" s="411"/>
    </row>
    <row r="43" spans="1:15" ht="20.100000000000001" customHeight="1">
      <c r="A43" s="164"/>
      <c r="B43" s="408"/>
      <c r="C43" s="409"/>
      <c r="D43" s="409"/>
      <c r="E43" s="409"/>
      <c r="F43" s="411"/>
      <c r="G43" s="411"/>
      <c r="H43" s="411"/>
      <c r="I43" s="411"/>
      <c r="J43" s="411"/>
      <c r="K43" s="411"/>
      <c r="L43" s="411"/>
      <c r="M43" s="411"/>
      <c r="N43" s="411"/>
      <c r="O43" s="411"/>
    </row>
    <row r="44" spans="1:15" ht="20.100000000000001" customHeight="1">
      <c r="A44" s="164"/>
      <c r="B44" s="408"/>
      <c r="C44" s="409"/>
      <c r="D44" s="409"/>
      <c r="E44" s="409"/>
      <c r="F44" s="411"/>
      <c r="G44" s="411"/>
      <c r="H44" s="411"/>
      <c r="I44" s="411"/>
      <c r="J44" s="411"/>
      <c r="K44" s="411"/>
      <c r="L44" s="411"/>
      <c r="M44" s="411"/>
      <c r="N44" s="411"/>
      <c r="O44" s="411"/>
    </row>
    <row r="45" spans="1:15" ht="20.100000000000001" customHeight="1">
      <c r="A45" s="164"/>
      <c r="B45" s="408"/>
      <c r="C45" s="409"/>
      <c r="D45" s="409"/>
      <c r="E45" s="409"/>
      <c r="F45" s="411"/>
      <c r="G45" s="411"/>
      <c r="H45" s="411"/>
      <c r="I45" s="411"/>
      <c r="J45" s="411"/>
      <c r="K45" s="411"/>
      <c r="L45" s="411"/>
      <c r="M45" s="411"/>
      <c r="N45" s="411"/>
      <c r="O45" s="411"/>
    </row>
    <row r="46" spans="1:15" ht="20.100000000000001" customHeight="1">
      <c r="A46" s="164"/>
      <c r="B46" s="408"/>
      <c r="C46" s="409"/>
      <c r="D46" s="409"/>
      <c r="E46" s="409"/>
      <c r="F46" s="411"/>
      <c r="G46" s="411"/>
      <c r="H46" s="411"/>
      <c r="I46" s="411"/>
      <c r="J46" s="411"/>
      <c r="K46" s="411"/>
      <c r="L46" s="411"/>
      <c r="M46" s="411"/>
      <c r="N46" s="411"/>
      <c r="O46" s="411"/>
    </row>
    <row r="47" spans="1:15" ht="20.100000000000001" customHeight="1">
      <c r="A47" s="164"/>
      <c r="B47" s="408"/>
      <c r="C47" s="409"/>
      <c r="D47" s="409"/>
      <c r="E47" s="409"/>
      <c r="F47" s="411"/>
      <c r="G47" s="411"/>
      <c r="H47" s="411"/>
      <c r="I47" s="411"/>
      <c r="J47" s="411"/>
      <c r="K47" s="411"/>
      <c r="L47" s="411"/>
      <c r="M47" s="411"/>
      <c r="N47" s="411"/>
      <c r="O47" s="411"/>
    </row>
    <row r="48" spans="1:15" ht="20.100000000000001" customHeight="1">
      <c r="A48" s="164"/>
      <c r="B48" s="408"/>
      <c r="C48" s="409"/>
      <c r="D48" s="409"/>
      <c r="E48" s="409"/>
      <c r="F48" s="408"/>
      <c r="G48" s="409"/>
      <c r="H48" s="409"/>
      <c r="I48" s="409"/>
      <c r="J48" s="409"/>
      <c r="K48" s="409"/>
      <c r="L48" s="409"/>
      <c r="M48" s="409"/>
      <c r="N48" s="409"/>
      <c r="O48" s="410"/>
    </row>
    <row r="49" spans="1:15" ht="20.100000000000001" customHeight="1">
      <c r="A49" s="164"/>
      <c r="B49" s="408"/>
      <c r="C49" s="409"/>
      <c r="D49" s="409"/>
      <c r="E49" s="410"/>
      <c r="F49" s="408"/>
      <c r="G49" s="409"/>
      <c r="H49" s="409"/>
      <c r="I49" s="409"/>
      <c r="J49" s="409"/>
      <c r="K49" s="409"/>
      <c r="L49" s="409"/>
      <c r="M49" s="409"/>
      <c r="N49" s="409"/>
      <c r="O49" s="410"/>
    </row>
    <row r="50" spans="1:15" ht="20.100000000000001" customHeight="1">
      <c r="A50" s="7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412" t="s">
        <v>257</v>
      </c>
      <c r="B51" s="412"/>
      <c r="C51" s="412"/>
      <c r="D51" s="412"/>
      <c r="E51" s="412"/>
      <c r="F51" s="412"/>
      <c r="G51" s="412"/>
      <c r="H51" s="412"/>
      <c r="I51" s="412"/>
      <c r="J51" s="412"/>
    </row>
    <row r="52" spans="1:15" ht="20.100000000000001" customHeight="1">
      <c r="A52" s="16"/>
    </row>
    <row r="53" spans="1:15" ht="63.95" customHeight="1">
      <c r="A53" s="370" t="s">
        <v>279</v>
      </c>
      <c r="B53" s="370" t="s">
        <v>333</v>
      </c>
      <c r="C53" s="370"/>
      <c r="D53" s="397" t="s">
        <v>409</v>
      </c>
      <c r="E53" s="397"/>
      <c r="F53" s="397"/>
      <c r="G53" s="397" t="s">
        <v>410</v>
      </c>
      <c r="H53" s="397"/>
      <c r="I53" s="397"/>
      <c r="J53" s="413" t="s">
        <v>411</v>
      </c>
      <c r="K53" s="414"/>
      <c r="L53" s="415"/>
      <c r="M53" s="397" t="s">
        <v>412</v>
      </c>
      <c r="N53" s="397"/>
      <c r="O53" s="397"/>
    </row>
    <row r="54" spans="1:15" ht="168.75">
      <c r="A54" s="370"/>
      <c r="B54" s="7" t="s">
        <v>79</v>
      </c>
      <c r="C54" s="7" t="s">
        <v>80</v>
      </c>
      <c r="D54" s="7" t="s">
        <v>334</v>
      </c>
      <c r="E54" s="7" t="s">
        <v>335</v>
      </c>
      <c r="F54" s="7" t="s">
        <v>336</v>
      </c>
      <c r="G54" s="7" t="s">
        <v>334</v>
      </c>
      <c r="H54" s="7" t="s">
        <v>335</v>
      </c>
      <c r="I54" s="7" t="s">
        <v>336</v>
      </c>
      <c r="J54" s="7" t="s">
        <v>334</v>
      </c>
      <c r="K54" s="7" t="s">
        <v>335</v>
      </c>
      <c r="L54" s="7" t="s">
        <v>336</v>
      </c>
      <c r="M54" s="7" t="s">
        <v>334</v>
      </c>
      <c r="N54" s="7" t="s">
        <v>335</v>
      </c>
      <c r="O54" s="7" t="s">
        <v>336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37.5">
      <c r="A56" s="165" t="s">
        <v>413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>
        <v>250</v>
      </c>
      <c r="N56" s="109" t="s">
        <v>475</v>
      </c>
      <c r="O56" s="109">
        <v>12500</v>
      </c>
    </row>
    <row r="57" spans="1:15" ht="20.100000000000001" customHeight="1">
      <c r="A57" s="165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1:15" ht="20.100000000000001" customHeight="1">
      <c r="A58" s="166" t="s">
        <v>61</v>
      </c>
      <c r="B58" s="76">
        <v>100</v>
      </c>
      <c r="C58" s="76">
        <v>100</v>
      </c>
      <c r="D58" s="93">
        <f>SUM(D56:D57)</f>
        <v>0</v>
      </c>
      <c r="E58" s="109"/>
      <c r="F58" s="150"/>
      <c r="G58" s="93">
        <f>SUM(G56:G57)</f>
        <v>0</v>
      </c>
      <c r="H58" s="150"/>
      <c r="I58" s="150"/>
      <c r="J58" s="93">
        <f>SUM(J56:J57)</f>
        <v>0</v>
      </c>
      <c r="K58" s="150"/>
      <c r="L58" s="150"/>
      <c r="M58" s="93">
        <f>SUM(M56:M57)</f>
        <v>250</v>
      </c>
      <c r="N58" s="150"/>
      <c r="O58" s="150"/>
    </row>
    <row r="59" spans="1:15" ht="20.100000000000001" customHeight="1">
      <c r="A59" s="18"/>
      <c r="B59" s="19"/>
      <c r="C59" s="19"/>
      <c r="D59" s="19"/>
      <c r="E59" s="19"/>
      <c r="F59" s="10"/>
      <c r="G59" s="10"/>
      <c r="H59" s="10"/>
      <c r="I59" s="5"/>
      <c r="J59" s="5"/>
      <c r="K59" s="5"/>
      <c r="L59" s="5"/>
      <c r="M59" s="5"/>
      <c r="N59" s="5"/>
      <c r="O59" s="5"/>
    </row>
    <row r="60" spans="1:15" ht="21.95" customHeight="1">
      <c r="A60" s="398" t="s">
        <v>81</v>
      </c>
      <c r="B60" s="398"/>
      <c r="C60" s="398"/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8"/>
    </row>
    <row r="61" spans="1:15" ht="20.100000000000001" customHeight="1">
      <c r="A61" s="16"/>
    </row>
    <row r="62" spans="1:15" ht="63.95" customHeight="1">
      <c r="A62" s="7" t="s">
        <v>142</v>
      </c>
      <c r="B62" s="370" t="s">
        <v>78</v>
      </c>
      <c r="C62" s="370"/>
      <c r="D62" s="370" t="s">
        <v>73</v>
      </c>
      <c r="E62" s="370"/>
      <c r="F62" s="370" t="s">
        <v>74</v>
      </c>
      <c r="G62" s="370"/>
      <c r="H62" s="370" t="s">
        <v>337</v>
      </c>
      <c r="I62" s="370"/>
      <c r="J62" s="370"/>
      <c r="K62" s="400" t="s">
        <v>94</v>
      </c>
      <c r="L62" s="402"/>
      <c r="M62" s="400" t="s">
        <v>38</v>
      </c>
      <c r="N62" s="401"/>
      <c r="O62" s="402"/>
    </row>
    <row r="63" spans="1:15" ht="18" customHeight="1">
      <c r="A63" s="6">
        <v>1</v>
      </c>
      <c r="B63" s="367">
        <v>2</v>
      </c>
      <c r="C63" s="367"/>
      <c r="D63" s="367">
        <v>3</v>
      </c>
      <c r="E63" s="367"/>
      <c r="F63" s="406">
        <v>4</v>
      </c>
      <c r="G63" s="406"/>
      <c r="H63" s="367">
        <v>5</v>
      </c>
      <c r="I63" s="367"/>
      <c r="J63" s="367"/>
      <c r="K63" s="367">
        <v>6</v>
      </c>
      <c r="L63" s="367"/>
      <c r="M63" s="403">
        <v>7</v>
      </c>
      <c r="N63" s="404"/>
      <c r="O63" s="405"/>
    </row>
    <row r="64" spans="1:15" ht="20.100000000000001" customHeight="1">
      <c r="A64" s="165"/>
      <c r="B64" s="391"/>
      <c r="C64" s="391"/>
      <c r="D64" s="391"/>
      <c r="E64" s="391"/>
      <c r="F64" s="391"/>
      <c r="G64" s="391"/>
      <c r="H64" s="391"/>
      <c r="I64" s="391"/>
      <c r="J64" s="391"/>
      <c r="K64" s="392"/>
      <c r="L64" s="393"/>
      <c r="M64" s="391"/>
      <c r="N64" s="391"/>
      <c r="O64" s="391"/>
    </row>
    <row r="65" spans="1:15" ht="20.100000000000001" customHeight="1">
      <c r="A65" s="165"/>
      <c r="B65" s="392"/>
      <c r="C65" s="393"/>
      <c r="D65" s="392"/>
      <c r="E65" s="393"/>
      <c r="F65" s="392"/>
      <c r="G65" s="393"/>
      <c r="H65" s="392"/>
      <c r="I65" s="407"/>
      <c r="J65" s="393"/>
      <c r="K65" s="392"/>
      <c r="L65" s="393"/>
      <c r="M65" s="392"/>
      <c r="N65" s="407"/>
      <c r="O65" s="393"/>
    </row>
    <row r="66" spans="1:15" ht="20.100000000000001" customHeight="1">
      <c r="A66" s="165"/>
      <c r="B66" s="391"/>
      <c r="C66" s="391"/>
      <c r="D66" s="391"/>
      <c r="E66" s="391"/>
      <c r="F66" s="391"/>
      <c r="G66" s="391"/>
      <c r="H66" s="391"/>
      <c r="I66" s="391"/>
      <c r="J66" s="391"/>
      <c r="K66" s="392"/>
      <c r="L66" s="393"/>
      <c r="M66" s="391"/>
      <c r="N66" s="391"/>
      <c r="O66" s="391"/>
    </row>
    <row r="67" spans="1:15" ht="20.100000000000001" customHeight="1">
      <c r="A67" s="166" t="s">
        <v>61</v>
      </c>
      <c r="B67" s="396" t="s">
        <v>39</v>
      </c>
      <c r="C67" s="396"/>
      <c r="D67" s="396" t="s">
        <v>39</v>
      </c>
      <c r="E67" s="396"/>
      <c r="F67" s="396" t="s">
        <v>39</v>
      </c>
      <c r="G67" s="396"/>
      <c r="H67" s="391"/>
      <c r="I67" s="391"/>
      <c r="J67" s="391"/>
      <c r="K67" s="394">
        <f>SUM(K64:L66)</f>
        <v>0</v>
      </c>
      <c r="L67" s="395"/>
      <c r="M67" s="391"/>
      <c r="N67" s="391"/>
      <c r="O67" s="391"/>
    </row>
    <row r="68" spans="1:15" ht="20.100000000000001" customHeight="1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"/>
      <c r="L68" s="2"/>
      <c r="M68" s="2"/>
      <c r="N68" s="2"/>
      <c r="O68" s="2"/>
    </row>
    <row r="69" spans="1:15" ht="21.95" customHeight="1">
      <c r="A69" s="398" t="s">
        <v>82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</row>
    <row r="70" spans="1:15" ht="20.100000000000001" customHeight="1">
      <c r="A70" s="5"/>
      <c r="B70" s="14"/>
      <c r="C70" s="5"/>
      <c r="D70" s="5"/>
      <c r="E70" s="5"/>
      <c r="F70" s="5"/>
      <c r="G70" s="5"/>
      <c r="H70" s="5"/>
      <c r="I70" s="13"/>
    </row>
    <row r="71" spans="1:15" ht="63.95" customHeight="1">
      <c r="A71" s="397" t="s">
        <v>72</v>
      </c>
      <c r="B71" s="397"/>
      <c r="C71" s="397"/>
      <c r="D71" s="397" t="s">
        <v>95</v>
      </c>
      <c r="E71" s="397"/>
      <c r="F71" s="397"/>
      <c r="G71" s="397" t="s">
        <v>364</v>
      </c>
      <c r="H71" s="397"/>
      <c r="I71" s="397"/>
      <c r="J71" s="397" t="s">
        <v>358</v>
      </c>
      <c r="K71" s="397"/>
      <c r="L71" s="397"/>
      <c r="M71" s="397" t="s">
        <v>96</v>
      </c>
      <c r="N71" s="397"/>
      <c r="O71" s="397"/>
    </row>
    <row r="72" spans="1:15" ht="18" customHeight="1">
      <c r="A72" s="397">
        <v>1</v>
      </c>
      <c r="B72" s="397"/>
      <c r="C72" s="397"/>
      <c r="D72" s="397">
        <v>2</v>
      </c>
      <c r="E72" s="397"/>
      <c r="F72" s="397"/>
      <c r="G72" s="397">
        <v>3</v>
      </c>
      <c r="H72" s="397"/>
      <c r="I72" s="397"/>
      <c r="J72" s="399">
        <v>4</v>
      </c>
      <c r="K72" s="399"/>
      <c r="L72" s="399"/>
      <c r="M72" s="399">
        <v>5</v>
      </c>
      <c r="N72" s="399"/>
      <c r="O72" s="399"/>
    </row>
    <row r="73" spans="1:15" ht="20.100000000000001" customHeight="1">
      <c r="A73" s="384" t="s">
        <v>338</v>
      </c>
      <c r="B73" s="384"/>
      <c r="C73" s="384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</row>
    <row r="74" spans="1:15" ht="20.100000000000001" customHeight="1">
      <c r="A74" s="384" t="s">
        <v>117</v>
      </c>
      <c r="B74" s="384"/>
      <c r="C74" s="384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</row>
    <row r="75" spans="1:15" ht="20.100000000000001" customHeight="1">
      <c r="A75" s="384"/>
      <c r="B75" s="384"/>
      <c r="C75" s="384"/>
      <c r="D75" s="380"/>
      <c r="E75" s="390"/>
      <c r="F75" s="381"/>
      <c r="G75" s="380"/>
      <c r="H75" s="390"/>
      <c r="I75" s="381"/>
      <c r="J75" s="380"/>
      <c r="K75" s="390"/>
      <c r="L75" s="381"/>
      <c r="M75" s="380"/>
      <c r="N75" s="390"/>
      <c r="O75" s="381"/>
    </row>
    <row r="76" spans="1:15" ht="20.100000000000001" customHeight="1">
      <c r="A76" s="384" t="s">
        <v>339</v>
      </c>
      <c r="B76" s="384"/>
      <c r="C76" s="384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</row>
    <row r="77" spans="1:15" ht="20.100000000000001" customHeight="1">
      <c r="A77" s="384" t="s">
        <v>118</v>
      </c>
      <c r="B77" s="384"/>
      <c r="C77" s="384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</row>
    <row r="78" spans="1:15" ht="20.100000000000001" customHeight="1">
      <c r="A78" s="384"/>
      <c r="B78" s="384"/>
      <c r="C78" s="384"/>
      <c r="D78" s="380"/>
      <c r="E78" s="390"/>
      <c r="F78" s="381"/>
      <c r="G78" s="380"/>
      <c r="H78" s="390"/>
      <c r="I78" s="381"/>
      <c r="J78" s="380"/>
      <c r="K78" s="390"/>
      <c r="L78" s="381"/>
      <c r="M78" s="380"/>
      <c r="N78" s="390"/>
      <c r="O78" s="381"/>
    </row>
    <row r="79" spans="1:15" ht="20.100000000000001" customHeight="1">
      <c r="A79" s="384" t="s">
        <v>340</v>
      </c>
      <c r="B79" s="384"/>
      <c r="C79" s="384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</row>
    <row r="80" spans="1:15" ht="20.100000000000001" customHeight="1">
      <c r="A80" s="384" t="s">
        <v>117</v>
      </c>
      <c r="B80" s="384"/>
      <c r="C80" s="384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8"/>
    </row>
    <row r="81" spans="1:15" ht="20.100000000000001" customHeight="1">
      <c r="A81" s="385"/>
      <c r="B81" s="386"/>
      <c r="C81" s="387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</row>
    <row r="82" spans="1:15" ht="20.100000000000001" customHeight="1">
      <c r="A82" s="385" t="s">
        <v>61</v>
      </c>
      <c r="B82" s="386"/>
      <c r="C82" s="387"/>
      <c r="D82" s="389"/>
      <c r="E82" s="389"/>
      <c r="F82" s="389"/>
      <c r="G82" s="389"/>
      <c r="H82" s="389"/>
      <c r="I82" s="389"/>
      <c r="J82" s="388"/>
      <c r="K82" s="388"/>
      <c r="L82" s="388"/>
      <c r="M82" s="388"/>
      <c r="N82" s="388"/>
      <c r="O82" s="388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  <row r="96" spans="1:15">
      <c r="C96" s="28"/>
      <c r="D96" s="28"/>
      <c r="E96" s="28"/>
    </row>
  </sheetData>
  <sheetProtection insertColumns="0" insertRows="0"/>
  <mergeCells count="290"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B65:C65"/>
    <mergeCell ref="D65:E65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5:G65"/>
    <mergeCell ref="H65:J65"/>
    <mergeCell ref="A72:C72"/>
    <mergeCell ref="M73:O73"/>
    <mergeCell ref="J72:L72"/>
    <mergeCell ref="K65:L65"/>
    <mergeCell ref="F64:G64"/>
    <mergeCell ref="M62:O62"/>
    <mergeCell ref="K63:L63"/>
    <mergeCell ref="M63:O63"/>
    <mergeCell ref="A60:O60"/>
    <mergeCell ref="B62:C62"/>
    <mergeCell ref="D62:E62"/>
    <mergeCell ref="F62:G62"/>
    <mergeCell ref="H62:J62"/>
    <mergeCell ref="K62:L62"/>
    <mergeCell ref="M64:O64"/>
    <mergeCell ref="B63:C63"/>
    <mergeCell ref="F63:G63"/>
    <mergeCell ref="H63:J63"/>
    <mergeCell ref="B64:C64"/>
    <mergeCell ref="H64:J64"/>
    <mergeCell ref="K64:L64"/>
    <mergeCell ref="D63:E63"/>
    <mergeCell ref="D64:E64"/>
    <mergeCell ref="M65:O65"/>
    <mergeCell ref="A74:C74"/>
    <mergeCell ref="D74:F74"/>
    <mergeCell ref="G74:I74"/>
    <mergeCell ref="J73:L73"/>
    <mergeCell ref="B67:C67"/>
    <mergeCell ref="D67:E67"/>
    <mergeCell ref="F67:G67"/>
    <mergeCell ref="B66:C66"/>
    <mergeCell ref="A75:C75"/>
    <mergeCell ref="D75:F75"/>
    <mergeCell ref="A73:C73"/>
    <mergeCell ref="D73:F73"/>
    <mergeCell ref="G75:I75"/>
    <mergeCell ref="J75:L75"/>
    <mergeCell ref="D72:F72"/>
    <mergeCell ref="A69:O69"/>
    <mergeCell ref="A71:C71"/>
    <mergeCell ref="D71:F71"/>
    <mergeCell ref="G71:I71"/>
    <mergeCell ref="J71:L71"/>
    <mergeCell ref="M72:O72"/>
    <mergeCell ref="M71:O71"/>
    <mergeCell ref="G72:I72"/>
    <mergeCell ref="J74:L74"/>
    <mergeCell ref="D66:E66"/>
    <mergeCell ref="H66:J66"/>
    <mergeCell ref="H67:J67"/>
    <mergeCell ref="F66:G66"/>
    <mergeCell ref="J79:L79"/>
    <mergeCell ref="J81:L81"/>
    <mergeCell ref="M79:O79"/>
    <mergeCell ref="J77:L77"/>
    <mergeCell ref="M77:O77"/>
    <mergeCell ref="M78:O78"/>
    <mergeCell ref="J78:L78"/>
    <mergeCell ref="D81:F81"/>
    <mergeCell ref="K66:L66"/>
    <mergeCell ref="M66:O66"/>
    <mergeCell ref="K67:L67"/>
    <mergeCell ref="M67:O67"/>
    <mergeCell ref="G73:I73"/>
    <mergeCell ref="G76:I76"/>
    <mergeCell ref="M76:O76"/>
    <mergeCell ref="J76:L76"/>
    <mergeCell ref="M74:O74"/>
    <mergeCell ref="M75:O75"/>
    <mergeCell ref="J82:L82"/>
    <mergeCell ref="M81:O81"/>
    <mergeCell ref="J80:L80"/>
    <mergeCell ref="M82:O82"/>
    <mergeCell ref="M80:O80"/>
    <mergeCell ref="G78:I78"/>
    <mergeCell ref="D78:F78"/>
    <mergeCell ref="D77:F77"/>
    <mergeCell ref="G77:I77"/>
    <mergeCell ref="A80:C80"/>
    <mergeCell ref="A81:C81"/>
    <mergeCell ref="G81:I81"/>
    <mergeCell ref="D76:F76"/>
    <mergeCell ref="G80:I80"/>
    <mergeCell ref="A76:C76"/>
    <mergeCell ref="D80:F80"/>
    <mergeCell ref="A82:C82"/>
    <mergeCell ref="D82:F82"/>
    <mergeCell ref="G82:I82"/>
    <mergeCell ref="A79:C79"/>
    <mergeCell ref="D79:F79"/>
    <mergeCell ref="G79:I79"/>
    <mergeCell ref="A78:C78"/>
    <mergeCell ref="A77:C77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1200" verticalDpi="1200" r:id="rId1"/>
  <headerFooter alignWithMargins="0"/>
  <rowBreaks count="1" manualBreakCount="1">
    <brk id="49" max="14" man="1"/>
  </rowBreaks>
  <ignoredErrors>
    <ignoredError sqref="E58:M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34"/>
  <sheetViews>
    <sheetView topLeftCell="A85" workbookViewId="0">
      <selection activeCell="Q17" sqref="Q17"/>
    </sheetView>
  </sheetViews>
  <sheetFormatPr defaultRowHeight="12.75"/>
  <cols>
    <col min="2" max="2" width="20.28515625" customWidth="1"/>
    <col min="3" max="3" width="9" bestFit="1" customWidth="1"/>
    <col min="4" max="4" width="8" bestFit="1" customWidth="1"/>
    <col min="5" max="6" width="7.42578125" bestFit="1" customWidth="1"/>
    <col min="7" max="8" width="8.42578125" bestFit="1" customWidth="1"/>
    <col min="9" max="10" width="7.28515625" bestFit="1" customWidth="1"/>
    <col min="11" max="11" width="11.28515625" bestFit="1" customWidth="1"/>
    <col min="12" max="13" width="10.140625" bestFit="1" customWidth="1"/>
    <col min="14" max="15" width="11.28515625" bestFit="1" customWidth="1"/>
    <col min="16" max="16" width="7.42578125" bestFit="1" customWidth="1"/>
  </cols>
  <sheetData>
    <row r="1" spans="1:16" ht="14.25">
      <c r="B1" s="257" t="s">
        <v>476</v>
      </c>
      <c r="C1" s="244"/>
    </row>
    <row r="2" spans="1:16" ht="13.5" thickBot="1">
      <c r="B2" s="258" t="s">
        <v>432</v>
      </c>
      <c r="C2" s="244"/>
    </row>
    <row r="3" spans="1:16" ht="108.75" thickBot="1">
      <c r="A3" s="245" t="s">
        <v>56</v>
      </c>
      <c r="B3" s="242" t="s">
        <v>434</v>
      </c>
      <c r="C3" s="242" t="s">
        <v>436</v>
      </c>
      <c r="D3" s="246" t="s">
        <v>477</v>
      </c>
      <c r="E3" s="242" t="s">
        <v>439</v>
      </c>
      <c r="F3" s="242" t="s">
        <v>478</v>
      </c>
      <c r="G3" s="242" t="s">
        <v>453</v>
      </c>
      <c r="H3" s="246" t="s">
        <v>479</v>
      </c>
      <c r="I3" s="242" t="s">
        <v>435</v>
      </c>
      <c r="J3" s="259" t="s">
        <v>480</v>
      </c>
      <c r="K3" s="260" t="s">
        <v>481</v>
      </c>
      <c r="L3" s="259" t="s">
        <v>482</v>
      </c>
      <c r="M3" s="259" t="s">
        <v>483</v>
      </c>
      <c r="N3" s="259" t="s">
        <v>484</v>
      </c>
      <c r="O3" s="259" t="s">
        <v>154</v>
      </c>
    </row>
    <row r="4" spans="1:16" ht="13.5" thickBot="1">
      <c r="A4" s="261">
        <v>1</v>
      </c>
      <c r="B4" s="243" t="s">
        <v>441</v>
      </c>
      <c r="C4" s="262">
        <v>12187</v>
      </c>
      <c r="D4" s="262"/>
      <c r="E4" s="262"/>
      <c r="F4" s="262"/>
      <c r="G4" s="262"/>
      <c r="H4" s="262">
        <f>C4+D4+E4+F4+G4</f>
        <v>12187</v>
      </c>
      <c r="I4" s="262">
        <v>1</v>
      </c>
      <c r="J4" s="263">
        <v>12</v>
      </c>
      <c r="K4" s="264">
        <f>H4*J4</f>
        <v>146244</v>
      </c>
      <c r="L4" s="264">
        <f>H4*3</f>
        <v>36561</v>
      </c>
      <c r="M4" s="264">
        <f>H4*6</f>
        <v>73122</v>
      </c>
      <c r="N4" s="264">
        <f>H4*9</f>
        <v>109683</v>
      </c>
      <c r="O4" s="264">
        <f>H4*12</f>
        <v>146244</v>
      </c>
    </row>
    <row r="5" spans="1:16" ht="13.5" thickBot="1">
      <c r="A5" s="265"/>
      <c r="B5" s="265"/>
      <c r="C5" s="266"/>
      <c r="D5" s="266"/>
      <c r="E5" s="266"/>
      <c r="F5" s="266"/>
      <c r="G5" s="266"/>
      <c r="H5" s="266"/>
      <c r="I5" s="266"/>
      <c r="J5" s="267"/>
      <c r="K5" s="268"/>
      <c r="L5" s="268"/>
      <c r="M5" s="268"/>
      <c r="N5" s="268"/>
      <c r="O5" s="268"/>
    </row>
    <row r="6" spans="1:16" ht="13.5" thickBot="1">
      <c r="A6" s="261">
        <v>2</v>
      </c>
      <c r="B6" s="243" t="s">
        <v>442</v>
      </c>
      <c r="C6" s="262">
        <v>10968</v>
      </c>
      <c r="D6" s="262">
        <v>2742</v>
      </c>
      <c r="E6" s="262"/>
      <c r="F6" s="262"/>
      <c r="G6" s="262">
        <v>500</v>
      </c>
      <c r="H6" s="262">
        <f t="shared" ref="H6:H13" si="0">C6+D6+E6+F6+G6</f>
        <v>14210</v>
      </c>
      <c r="I6" s="262">
        <v>1</v>
      </c>
      <c r="J6" s="263">
        <v>11</v>
      </c>
      <c r="K6" s="264">
        <f>H6*J6*I6</f>
        <v>156310</v>
      </c>
      <c r="L6" s="264">
        <f>H6*2</f>
        <v>28420</v>
      </c>
      <c r="M6" s="264">
        <f>H6*5</f>
        <v>71050</v>
      </c>
      <c r="N6" s="264">
        <f>H6*8</f>
        <v>113680</v>
      </c>
      <c r="O6" s="264">
        <f>H6*11</f>
        <v>156310</v>
      </c>
    </row>
    <row r="7" spans="1:16" ht="13.5" thickBot="1">
      <c r="A7" s="261">
        <v>3</v>
      </c>
      <c r="B7" s="243" t="s">
        <v>443</v>
      </c>
      <c r="C7" s="262">
        <v>8531</v>
      </c>
      <c r="D7" s="262">
        <v>2133</v>
      </c>
      <c r="E7" s="262"/>
      <c r="F7" s="262"/>
      <c r="G7" s="262">
        <v>2047</v>
      </c>
      <c r="H7" s="262">
        <f t="shared" si="0"/>
        <v>12711</v>
      </c>
      <c r="I7" s="262">
        <v>1</v>
      </c>
      <c r="J7" s="263">
        <v>11</v>
      </c>
      <c r="K7" s="264">
        <f t="shared" ref="K7:K13" si="1">H7*J7*I7</f>
        <v>139821</v>
      </c>
      <c r="L7" s="264">
        <f>H7*2</f>
        <v>25422</v>
      </c>
      <c r="M7" s="264">
        <f>H7*5</f>
        <v>63555</v>
      </c>
      <c r="N7" s="264">
        <f>H7*8</f>
        <v>101688</v>
      </c>
      <c r="O7" s="264">
        <f>H7*11</f>
        <v>139821</v>
      </c>
    </row>
    <row r="8" spans="1:16" ht="13.5" thickBot="1">
      <c r="A8" s="261">
        <v>4</v>
      </c>
      <c r="B8" s="243" t="s">
        <v>444</v>
      </c>
      <c r="C8" s="262">
        <v>10359</v>
      </c>
      <c r="D8" s="262">
        <v>3108</v>
      </c>
      <c r="E8" s="262"/>
      <c r="F8" s="262"/>
      <c r="G8" s="262">
        <v>500</v>
      </c>
      <c r="H8" s="262">
        <f t="shared" si="0"/>
        <v>13967</v>
      </c>
      <c r="I8" s="262">
        <v>1</v>
      </c>
      <c r="J8" s="269">
        <v>12</v>
      </c>
      <c r="K8" s="264">
        <f t="shared" si="1"/>
        <v>167604</v>
      </c>
      <c r="L8" s="264">
        <f>H8*3</f>
        <v>41901</v>
      </c>
      <c r="M8" s="264">
        <f>H8*6</f>
        <v>83802</v>
      </c>
      <c r="N8" s="264">
        <f>H8*9</f>
        <v>125703</v>
      </c>
      <c r="O8" s="264">
        <f>H8*12</f>
        <v>167604</v>
      </c>
    </row>
    <row r="9" spans="1:16" ht="26.25" thickBot="1">
      <c r="A9" s="261">
        <v>5</v>
      </c>
      <c r="B9" s="270" t="s">
        <v>449</v>
      </c>
      <c r="C9" s="262">
        <v>2094</v>
      </c>
      <c r="D9" s="262">
        <v>1047</v>
      </c>
      <c r="E9" s="262">
        <v>209</v>
      </c>
      <c r="F9" s="262">
        <v>1032</v>
      </c>
      <c r="G9" s="262"/>
      <c r="H9" s="262">
        <f t="shared" si="0"/>
        <v>4382</v>
      </c>
      <c r="I9" s="262">
        <v>1</v>
      </c>
      <c r="J9" s="263">
        <v>11</v>
      </c>
      <c r="K9" s="271">
        <f t="shared" si="1"/>
        <v>48202</v>
      </c>
      <c r="L9" s="271">
        <f>H9*2</f>
        <v>8764</v>
      </c>
      <c r="M9" s="271">
        <f>H9*5</f>
        <v>21910</v>
      </c>
      <c r="N9" s="271">
        <f>H9*8</f>
        <v>35056</v>
      </c>
      <c r="O9" s="271">
        <f>H9*11</f>
        <v>48202</v>
      </c>
      <c r="P9" s="272"/>
    </row>
    <row r="10" spans="1:16">
      <c r="A10" s="273"/>
      <c r="B10" s="274" t="s">
        <v>485</v>
      </c>
      <c r="C10" s="275"/>
      <c r="D10" s="275"/>
      <c r="E10" s="275"/>
      <c r="F10" s="275"/>
      <c r="G10" s="275"/>
      <c r="H10" s="275">
        <f>(H6+H7+H8+H9)/4</f>
        <v>11317.5</v>
      </c>
      <c r="I10" s="275"/>
      <c r="J10" s="276"/>
      <c r="K10" s="277">
        <f>SUM(K4:K9)</f>
        <v>658181</v>
      </c>
      <c r="L10" s="277">
        <f>SUM(L4:L9)</f>
        <v>141068</v>
      </c>
      <c r="M10" s="277">
        <f>SUM(M4:M9)</f>
        <v>313439</v>
      </c>
      <c r="N10" s="277">
        <f>SUM(N4:N9)</f>
        <v>485810</v>
      </c>
      <c r="O10" s="277">
        <f>SUM(O4:O9)</f>
        <v>658181</v>
      </c>
      <c r="P10" s="272"/>
    </row>
    <row r="11" spans="1:16" ht="13.5" thickBot="1">
      <c r="A11" s="278"/>
      <c r="B11" s="278"/>
      <c r="C11" s="279"/>
      <c r="D11" s="279"/>
      <c r="E11" s="279"/>
      <c r="F11" s="279"/>
      <c r="G11" s="279"/>
      <c r="H11" s="279"/>
      <c r="I11" s="279"/>
      <c r="J11" s="280"/>
      <c r="K11" s="281"/>
      <c r="L11" s="281"/>
      <c r="M11" s="281"/>
      <c r="N11" s="281"/>
      <c r="O11" s="281"/>
    </row>
    <row r="12" spans="1:16" ht="13.5" thickBot="1">
      <c r="A12" s="261">
        <v>6</v>
      </c>
      <c r="B12" s="243" t="s">
        <v>446</v>
      </c>
      <c r="C12" s="262">
        <v>10359</v>
      </c>
      <c r="D12" s="262">
        <v>2590</v>
      </c>
      <c r="E12" s="262"/>
      <c r="F12" s="262"/>
      <c r="G12" s="262">
        <v>1243</v>
      </c>
      <c r="H12" s="262">
        <f t="shared" si="0"/>
        <v>14192</v>
      </c>
      <c r="I12" s="262">
        <v>1</v>
      </c>
      <c r="J12" s="263">
        <v>11</v>
      </c>
      <c r="K12" s="264">
        <f t="shared" si="1"/>
        <v>156112</v>
      </c>
      <c r="L12" s="264">
        <f>H12*2</f>
        <v>28384</v>
      </c>
      <c r="M12" s="264">
        <f>H12*5</f>
        <v>70960</v>
      </c>
      <c r="N12" s="264">
        <f>H12*8</f>
        <v>113536</v>
      </c>
      <c r="O12" s="264">
        <f>H12*11</f>
        <v>156112</v>
      </c>
    </row>
    <row r="13" spans="1:16" ht="39" thickBot="1">
      <c r="A13" s="261">
        <v>7</v>
      </c>
      <c r="B13" s="243" t="s">
        <v>447</v>
      </c>
      <c r="C13" s="262">
        <v>3496</v>
      </c>
      <c r="D13" s="262">
        <v>1748</v>
      </c>
      <c r="E13" s="262"/>
      <c r="F13" s="262"/>
      <c r="G13" s="262">
        <v>6487</v>
      </c>
      <c r="H13" s="262">
        <f t="shared" si="0"/>
        <v>11731</v>
      </c>
      <c r="I13" s="262">
        <v>7</v>
      </c>
      <c r="J13" s="263">
        <v>11</v>
      </c>
      <c r="K13" s="282">
        <f t="shared" si="1"/>
        <v>903287</v>
      </c>
      <c r="L13" s="271">
        <f>H13*2*7</f>
        <v>164234</v>
      </c>
      <c r="M13" s="271">
        <f>H13*5*7</f>
        <v>410585</v>
      </c>
      <c r="N13" s="271">
        <f>H13*8*7</f>
        <v>656936</v>
      </c>
      <c r="O13" s="271">
        <f>H13*11*7</f>
        <v>903287</v>
      </c>
    </row>
    <row r="14" spans="1:16">
      <c r="B14" s="283" t="s">
        <v>486</v>
      </c>
      <c r="K14" s="284">
        <f>K13+K12</f>
        <v>1059399</v>
      </c>
      <c r="L14" s="284">
        <f>L13+L12</f>
        <v>192618</v>
      </c>
      <c r="M14" s="284">
        <f>M13+M12</f>
        <v>481545</v>
      </c>
      <c r="N14" s="284">
        <f>N13+N12</f>
        <v>770472</v>
      </c>
      <c r="O14" s="284">
        <f>O13+O12</f>
        <v>1059399</v>
      </c>
    </row>
    <row r="16" spans="1:16" ht="13.5">
      <c r="B16" s="285" t="s">
        <v>487</v>
      </c>
      <c r="C16" s="286"/>
      <c r="D16" s="286"/>
      <c r="E16" s="286"/>
      <c r="F16" s="286"/>
      <c r="G16" s="286"/>
      <c r="H16" s="286"/>
      <c r="I16" s="286"/>
      <c r="J16" s="286"/>
      <c r="K16" s="284">
        <f>K14+K10</f>
        <v>1717580</v>
      </c>
      <c r="L16" s="284">
        <f>L14+L10</f>
        <v>333686</v>
      </c>
      <c r="M16" s="284">
        <f>M14+M10</f>
        <v>794984</v>
      </c>
      <c r="N16" s="284">
        <f>N14+N10</f>
        <v>1256282</v>
      </c>
      <c r="O16" s="284">
        <f>O14+O10</f>
        <v>1717580</v>
      </c>
    </row>
    <row r="17" spans="1:15" ht="13.5">
      <c r="B17" s="285"/>
      <c r="C17" s="286"/>
      <c r="D17" s="286"/>
      <c r="E17" s="286"/>
      <c r="F17" s="286"/>
      <c r="G17" s="286"/>
      <c r="H17" s="286"/>
      <c r="I17" s="286"/>
      <c r="J17" s="286" t="s">
        <v>401</v>
      </c>
      <c r="K17" s="284"/>
      <c r="L17" s="284">
        <f>L16*18%</f>
        <v>60063.479999999996</v>
      </c>
      <c r="M17" s="284">
        <f>M16*18%</f>
        <v>143097.12</v>
      </c>
      <c r="N17" s="284">
        <f>N16*18%</f>
        <v>226130.75999999998</v>
      </c>
      <c r="O17" s="284" t="s">
        <v>515</v>
      </c>
    </row>
    <row r="18" spans="1:15" ht="13.5">
      <c r="B18" s="285"/>
      <c r="C18" s="286"/>
      <c r="D18" s="286"/>
      <c r="E18" s="286"/>
      <c r="F18" s="286"/>
      <c r="G18" s="286"/>
      <c r="H18" s="286"/>
      <c r="I18" s="286"/>
      <c r="J18" s="286" t="s">
        <v>488</v>
      </c>
      <c r="K18" s="284"/>
      <c r="L18" s="284">
        <f>L16*0.015</f>
        <v>5005.29</v>
      </c>
      <c r="M18" s="284">
        <f>M16*0.015</f>
        <v>11924.76</v>
      </c>
      <c r="N18" s="284">
        <f>N16*0.015</f>
        <v>18844.23</v>
      </c>
      <c r="O18" s="284">
        <f>O16*0.015</f>
        <v>25763.7</v>
      </c>
    </row>
    <row r="20" spans="1:15" ht="19.5" thickBot="1">
      <c r="B20" s="287" t="s">
        <v>460</v>
      </c>
    </row>
    <row r="21" spans="1:15" ht="48.75" thickBot="1">
      <c r="A21" s="245" t="s">
        <v>56</v>
      </c>
      <c r="B21" s="242" t="s">
        <v>434</v>
      </c>
      <c r="C21" s="246" t="s">
        <v>479</v>
      </c>
      <c r="D21" s="288">
        <v>8.4099999999999994E-2</v>
      </c>
      <c r="E21" s="289">
        <v>0.22</v>
      </c>
      <c r="F21" s="290"/>
      <c r="G21" s="291"/>
      <c r="H21" s="292"/>
      <c r="I21" s="242" t="s">
        <v>435</v>
      </c>
      <c r="J21" s="259" t="s">
        <v>480</v>
      </c>
      <c r="K21" s="260" t="s">
        <v>489</v>
      </c>
      <c r="L21" s="259" t="s">
        <v>482</v>
      </c>
      <c r="M21" s="259" t="s">
        <v>483</v>
      </c>
      <c r="N21" s="259" t="s">
        <v>484</v>
      </c>
      <c r="O21" s="259" t="s">
        <v>154</v>
      </c>
    </row>
    <row r="22" spans="1:15" ht="13.5" thickBot="1">
      <c r="A22" s="261">
        <v>1</v>
      </c>
      <c r="B22" s="243" t="s">
        <v>441</v>
      </c>
      <c r="C22" s="262">
        <v>12187</v>
      </c>
      <c r="D22" s="262">
        <f>C22*8.41%</f>
        <v>1024.9267000000002</v>
      </c>
      <c r="E22" s="279"/>
      <c r="F22" s="293"/>
      <c r="G22" s="294"/>
      <c r="H22" s="295"/>
      <c r="I22" s="262">
        <v>1</v>
      </c>
      <c r="J22" s="263">
        <v>12</v>
      </c>
      <c r="K22" s="264">
        <f>D22*I22*J22</f>
        <v>12299.120400000003</v>
      </c>
      <c r="L22" s="264">
        <f>D22*3</f>
        <v>3074.7801000000009</v>
      </c>
      <c r="M22" s="264">
        <f>D22*6</f>
        <v>6149.5602000000017</v>
      </c>
      <c r="N22" s="264">
        <f>D22*9</f>
        <v>9224.3403000000017</v>
      </c>
      <c r="O22" s="264">
        <f>D22*12</f>
        <v>12299.120400000003</v>
      </c>
    </row>
    <row r="23" spans="1:15" ht="13.5" thickBot="1">
      <c r="A23" s="265"/>
      <c r="B23" s="265"/>
      <c r="C23" s="266"/>
      <c r="D23" s="266"/>
      <c r="E23" s="266"/>
      <c r="F23" s="294"/>
      <c r="G23" s="294"/>
      <c r="H23" s="296"/>
      <c r="I23" s="266"/>
      <c r="J23" s="267"/>
      <c r="K23" s="268"/>
      <c r="L23" s="268"/>
      <c r="M23" s="268"/>
      <c r="N23" s="268"/>
      <c r="O23" s="268"/>
    </row>
    <row r="24" spans="1:15" ht="13.5" thickBot="1">
      <c r="A24" s="261">
        <v>2</v>
      </c>
      <c r="B24" s="243" t="s">
        <v>442</v>
      </c>
      <c r="C24" s="262">
        <f>H6</f>
        <v>14210</v>
      </c>
      <c r="D24" s="262"/>
      <c r="E24" s="279">
        <f>C24*22%</f>
        <v>3126.2</v>
      </c>
      <c r="F24" s="293"/>
      <c r="G24" s="294"/>
      <c r="H24" s="295"/>
      <c r="I24" s="262">
        <v>1</v>
      </c>
      <c r="J24" s="263">
        <v>11</v>
      </c>
      <c r="K24" s="264">
        <f>E24*I24*J24</f>
        <v>34388.199999999997</v>
      </c>
      <c r="L24" s="264">
        <f>E24*2</f>
        <v>6252.4</v>
      </c>
      <c r="M24" s="264">
        <f>E24*5</f>
        <v>15631</v>
      </c>
      <c r="N24" s="264">
        <f>E24*8</f>
        <v>25009.599999999999</v>
      </c>
      <c r="O24" s="264">
        <f>E24*11</f>
        <v>34388.199999999997</v>
      </c>
    </row>
    <row r="25" spans="1:15" ht="13.5" thickBot="1">
      <c r="A25" s="261">
        <v>3</v>
      </c>
      <c r="B25" s="243" t="s">
        <v>443</v>
      </c>
      <c r="C25" s="262">
        <f>H7</f>
        <v>12711</v>
      </c>
      <c r="D25" s="262"/>
      <c r="E25" s="279">
        <f>C25*22%</f>
        <v>2796.42</v>
      </c>
      <c r="F25" s="293"/>
      <c r="G25" s="294"/>
      <c r="H25" s="295"/>
      <c r="I25" s="262">
        <v>1</v>
      </c>
      <c r="J25" s="263">
        <v>11</v>
      </c>
      <c r="K25" s="264">
        <f>E25*I25*J25</f>
        <v>30760.620000000003</v>
      </c>
      <c r="L25" s="264">
        <f>E25*2</f>
        <v>5592.84</v>
      </c>
      <c r="M25" s="264">
        <f>E25*5</f>
        <v>13982.1</v>
      </c>
      <c r="N25" s="264">
        <f>E25*8</f>
        <v>22371.360000000001</v>
      </c>
      <c r="O25" s="264">
        <f>E25*11</f>
        <v>30760.620000000003</v>
      </c>
    </row>
    <row r="26" spans="1:15" ht="13.5" thickBot="1">
      <c r="A26" s="261">
        <v>4</v>
      </c>
      <c r="B26" s="243" t="s">
        <v>444</v>
      </c>
      <c r="C26" s="262">
        <f>H8</f>
        <v>13967</v>
      </c>
      <c r="D26" s="262"/>
      <c r="E26" s="279">
        <f>C26*22%</f>
        <v>3072.7400000000002</v>
      </c>
      <c r="F26" s="293"/>
      <c r="G26" s="294"/>
      <c r="H26" s="295"/>
      <c r="I26" s="262">
        <v>1</v>
      </c>
      <c r="J26" s="269">
        <v>12</v>
      </c>
      <c r="K26" s="264">
        <f>E26*I26*J26</f>
        <v>36872.880000000005</v>
      </c>
      <c r="L26" s="264">
        <f>E26*3</f>
        <v>9218.2200000000012</v>
      </c>
      <c r="M26" s="264">
        <f>E26*6</f>
        <v>18436.440000000002</v>
      </c>
      <c r="N26" s="264">
        <f>E26*9</f>
        <v>27654.660000000003</v>
      </c>
      <c r="O26" s="264">
        <f>E26*12</f>
        <v>36872.880000000005</v>
      </c>
    </row>
    <row r="27" spans="1:15" ht="26.25" thickBot="1">
      <c r="A27" s="261">
        <v>5</v>
      </c>
      <c r="B27" s="270" t="s">
        <v>449</v>
      </c>
      <c r="C27" s="262">
        <v>4382</v>
      </c>
      <c r="D27" s="262"/>
      <c r="E27" s="279">
        <f>C27*22%</f>
        <v>964.04</v>
      </c>
      <c r="F27" s="293"/>
      <c r="G27" s="294"/>
      <c r="H27" s="295"/>
      <c r="I27" s="262">
        <v>1</v>
      </c>
      <c r="J27" s="263">
        <v>11</v>
      </c>
      <c r="K27" s="271">
        <f>E27*I27*J27</f>
        <v>10604.439999999999</v>
      </c>
      <c r="L27" s="271">
        <f>E27*2</f>
        <v>1928.08</v>
      </c>
      <c r="M27" s="271">
        <f>E27*5</f>
        <v>4820.2</v>
      </c>
      <c r="N27" s="271">
        <f>E27*8</f>
        <v>7712.32</v>
      </c>
      <c r="O27" s="271">
        <f>E27*11</f>
        <v>10604.439999999999</v>
      </c>
    </row>
    <row r="28" spans="1:15">
      <c r="A28" s="273"/>
      <c r="B28" s="274" t="s">
        <v>485</v>
      </c>
      <c r="C28" s="275"/>
      <c r="D28" s="275"/>
      <c r="E28" s="275"/>
      <c r="F28" s="294"/>
      <c r="G28" s="294"/>
      <c r="H28" s="296"/>
      <c r="I28" s="275"/>
      <c r="J28" s="276"/>
      <c r="K28" s="277">
        <f>SUM(K22:K27)</f>
        <v>124925.2604</v>
      </c>
      <c r="L28" s="277">
        <f>SUM(L22:L27)</f>
        <v>26066.320100000004</v>
      </c>
      <c r="M28" s="277">
        <f>SUM(M22:M27)</f>
        <v>59019.300199999998</v>
      </c>
      <c r="N28" s="277">
        <f>SUM(N22:N27)</f>
        <v>91972.280300000013</v>
      </c>
      <c r="O28" s="277">
        <f>SUM(O22:O27)</f>
        <v>124925.2604</v>
      </c>
    </row>
    <row r="29" spans="1:15" ht="13.5" thickBot="1">
      <c r="A29" s="278"/>
      <c r="B29" s="278"/>
      <c r="C29" s="279"/>
      <c r="D29" s="279"/>
      <c r="E29" s="279"/>
      <c r="F29" s="294"/>
      <c r="G29" s="294"/>
      <c r="H29" s="296"/>
      <c r="I29" s="279"/>
      <c r="J29" s="280"/>
      <c r="K29" s="281"/>
      <c r="L29" s="281"/>
      <c r="M29" s="281"/>
      <c r="N29" s="281"/>
      <c r="O29" s="281"/>
    </row>
    <row r="30" spans="1:15" ht="13.5" thickBot="1">
      <c r="A30" s="261">
        <v>6</v>
      </c>
      <c r="B30" s="243" t="s">
        <v>446</v>
      </c>
      <c r="C30" s="262">
        <v>14192</v>
      </c>
      <c r="D30" s="262"/>
      <c r="E30" s="279">
        <f>C30*22%</f>
        <v>3122.2400000000002</v>
      </c>
      <c r="F30" s="293"/>
      <c r="G30" s="294"/>
      <c r="H30" s="295"/>
      <c r="I30" s="262">
        <v>1</v>
      </c>
      <c r="J30" s="263">
        <v>11</v>
      </c>
      <c r="K30" s="264">
        <f>E30*I30*J30</f>
        <v>34344.639999999999</v>
      </c>
      <c r="L30" s="264">
        <f>E30*2</f>
        <v>6244.4800000000005</v>
      </c>
      <c r="M30" s="264">
        <f>E30*5</f>
        <v>15611.2</v>
      </c>
      <c r="N30" s="264">
        <f>E30*8</f>
        <v>24977.920000000002</v>
      </c>
      <c r="O30" s="264">
        <f>E30*11</f>
        <v>34344.639999999999</v>
      </c>
    </row>
    <row r="31" spans="1:15" ht="39" thickBot="1">
      <c r="A31" s="261">
        <v>7</v>
      </c>
      <c r="B31" s="243" t="s">
        <v>447</v>
      </c>
      <c r="C31" s="262">
        <v>11731</v>
      </c>
      <c r="D31" s="262"/>
      <c r="E31" s="279">
        <f>C31*22%</f>
        <v>2580.8200000000002</v>
      </c>
      <c r="F31" s="293"/>
      <c r="G31" s="294"/>
      <c r="H31" s="295"/>
      <c r="I31" s="262">
        <v>7</v>
      </c>
      <c r="J31" s="263">
        <v>11</v>
      </c>
      <c r="K31" s="282">
        <f>E31*I31*J31</f>
        <v>198723.14</v>
      </c>
      <c r="L31" s="271">
        <f>E31*2*7</f>
        <v>36131.480000000003</v>
      </c>
      <c r="M31" s="271">
        <f>E31*5*7</f>
        <v>90328.7</v>
      </c>
      <c r="N31" s="271">
        <f>E31*8*7</f>
        <v>144525.92000000001</v>
      </c>
      <c r="O31" s="271">
        <f>E31*11*7</f>
        <v>198723.14</v>
      </c>
    </row>
    <row r="32" spans="1:15">
      <c r="B32" s="283" t="s">
        <v>486</v>
      </c>
      <c r="K32" s="284">
        <f>K31+K30</f>
        <v>233067.78000000003</v>
      </c>
      <c r="L32" s="284">
        <f>L31+L30</f>
        <v>42375.960000000006</v>
      </c>
      <c r="M32" s="284">
        <f>M31+M30</f>
        <v>105939.9</v>
      </c>
      <c r="N32" s="284">
        <f>N31+N30</f>
        <v>169503.84000000003</v>
      </c>
      <c r="O32" s="284">
        <f>O31+O30</f>
        <v>233067.78000000003</v>
      </c>
    </row>
    <row r="34" spans="2:15">
      <c r="B34" s="283" t="s">
        <v>487</v>
      </c>
      <c r="C34" s="286"/>
      <c r="D34" s="286"/>
      <c r="E34" s="286"/>
      <c r="F34" s="286"/>
      <c r="G34" s="286"/>
      <c r="H34" s="286"/>
      <c r="I34" s="286"/>
      <c r="J34" s="286"/>
      <c r="K34" s="284">
        <f>K32+K28</f>
        <v>357993.04040000006</v>
      </c>
      <c r="L34" s="284">
        <f>L32+L28</f>
        <v>68442.280100000004</v>
      </c>
      <c r="M34" s="284">
        <f>M32+M28</f>
        <v>164959.20019999999</v>
      </c>
      <c r="N34" s="284">
        <f>N32+N28</f>
        <v>261476.12030000004</v>
      </c>
      <c r="O34" s="284">
        <f>O32+O28</f>
        <v>357993.04040000006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14</vt:i4>
      </vt:variant>
    </vt:vector>
  </HeadingPairs>
  <TitlesOfParts>
    <vt:vector size="25" baseType="lpstr">
      <vt:lpstr>Лист1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Исправления по ЗП</vt:lpstr>
      <vt:lpstr>штатка</vt:lpstr>
      <vt:lpstr>6.2. Інша інфо_2</vt:lpstr>
      <vt:lpstr>штатка!_GoBack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Master</cp:lastModifiedBy>
  <cp:lastPrinted>2019-04-19T11:03:54Z</cp:lastPrinted>
  <dcterms:created xsi:type="dcterms:W3CDTF">2003-03-13T16:00:22Z</dcterms:created>
  <dcterms:modified xsi:type="dcterms:W3CDTF">2020-01-08T09:44:18Z</dcterms:modified>
</cp:coreProperties>
</file>