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КП    КОНТАКТ\КП\Отчеты\Управление єконом. ДМР\Планування\на 2020г\"/>
    </mc:Choice>
  </mc:AlternateContent>
  <bookViews>
    <workbookView xWindow="0" yWindow="0" windowWidth="20415" windowHeight="7620" tabRatio="837" activeTab="4"/>
  </bookViews>
  <sheets>
    <sheet name="Лист1" sheetId="20" r:id="rId1"/>
    <sheet name="Осн. фін. пок." sheetId="14" r:id="rId2"/>
    <sheet name="I. Фін результат" sheetId="2" r:id="rId3"/>
    <sheet name="ІІ. Розр. з бюджетом" sheetId="19" r:id="rId4"/>
    <sheet name="ІІІ. Рух грош. коштів" sheetId="18" r:id="rId5"/>
    <sheet name="IV. Кап. інвестиції" sheetId="3" r:id="rId6"/>
    <sheet name=" V. Коефіцієнти" sheetId="11" r:id="rId7"/>
    <sheet name="6.1. Інша інфо_1" sheetId="10" r:id="rId8"/>
    <sheet name="штатка" sheetId="22" r:id="rId9"/>
    <sheet name="6.2. Інша інфо_2" sheetId="9" r:id="rId10"/>
    <sheet name="Лист2" sheetId="2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6">' V. Коефіцієнти'!$5:$5</definedName>
    <definedName name="_xlnm.Print_Titles" localSheetId="2">'I. Фін результат'!$5:$5</definedName>
    <definedName name="_xlnm.Print_Titles" localSheetId="3">'ІІ. Розр. з бюджетом'!$5:$5</definedName>
    <definedName name="_xlnm.Print_Titles" localSheetId="4">'ІІІ. Рух грош. коштів'!$5:$5</definedName>
    <definedName name="_xlnm.Print_Titles" localSheetId="1">'Осн. фін. пок.'!$37:$37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6">' V. Коефіцієнти'!$A$1:$H$26</definedName>
    <definedName name="_xlnm.Print_Area" localSheetId="7">'6.1. Інша інфо_1'!$A$1:$O$82</definedName>
    <definedName name="_xlnm.Print_Area" localSheetId="9">'6.2. Інша інфо_2'!$A$1:$AE$59</definedName>
    <definedName name="_xlnm.Print_Area" localSheetId="2">'I. Фін результат'!$A$1:$J$110</definedName>
    <definedName name="_xlnm.Print_Area" localSheetId="5">'IV. Кап. інвестиції'!$A$1:$I$16</definedName>
    <definedName name="_xlnm.Print_Area" localSheetId="3">'ІІ. Розр. з бюджетом'!$A$1:$I$41</definedName>
    <definedName name="_xlnm.Print_Area" localSheetId="4">'ІІІ. Рух грош. коштів'!$A$1:$I$76</definedName>
    <definedName name="_xlnm.Print_Area" localSheetId="1">'Осн. фін. пок.'!$A$1:$J$88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</workbook>
</file>

<file path=xl/calcChain.xml><?xml version="1.0" encoding="utf-8"?>
<calcChain xmlns="http://schemas.openxmlformats.org/spreadsheetml/2006/main">
  <c r="J28" i="10" l="1"/>
  <c r="I62" i="22"/>
  <c r="I67" i="22" s="1"/>
  <c r="J32" i="10" s="1"/>
  <c r="I11" i="22"/>
  <c r="I24" i="22"/>
  <c r="O11" i="22"/>
  <c r="M11" i="22"/>
  <c r="K11" i="22"/>
  <c r="I9" i="22"/>
  <c r="I10" i="22"/>
  <c r="G11" i="22"/>
  <c r="D99" i="2" l="1"/>
  <c r="E99" i="2"/>
  <c r="F99" i="2"/>
  <c r="G99" i="2"/>
  <c r="H99" i="2"/>
  <c r="I99" i="2"/>
  <c r="D100" i="2"/>
  <c r="E100" i="2"/>
  <c r="F100" i="2"/>
  <c r="G100" i="2"/>
  <c r="H100" i="2"/>
  <c r="I100" i="2"/>
  <c r="C99" i="2"/>
  <c r="C100" i="2"/>
  <c r="C55" i="2"/>
  <c r="C102" i="2"/>
  <c r="E55" i="2"/>
  <c r="F55" i="2"/>
  <c r="G55" i="2"/>
  <c r="H55" i="2"/>
  <c r="I55" i="2"/>
  <c r="D55" i="2"/>
  <c r="I21" i="2"/>
  <c r="F17" i="2"/>
  <c r="G17" i="2"/>
  <c r="H17" i="2"/>
  <c r="I17" i="2"/>
  <c r="E17" i="2"/>
  <c r="D12" i="18"/>
  <c r="E12" i="18"/>
  <c r="E18" i="18"/>
  <c r="E16" i="18"/>
  <c r="K9" i="22" l="1"/>
  <c r="M9" i="22"/>
  <c r="O9" i="22"/>
  <c r="K10" i="22"/>
  <c r="M10" i="22"/>
  <c r="O10" i="22"/>
  <c r="I12" i="22"/>
  <c r="K12" i="22"/>
  <c r="M12" i="22"/>
  <c r="O12" i="22"/>
  <c r="I13" i="22"/>
  <c r="K13" i="22"/>
  <c r="M13" i="22"/>
  <c r="O13" i="22"/>
  <c r="I14" i="22"/>
  <c r="K14" i="22"/>
  <c r="M14" i="22"/>
  <c r="O14" i="22"/>
  <c r="I16" i="22"/>
  <c r="K16" i="22"/>
  <c r="M16" i="22"/>
  <c r="O16" i="22"/>
  <c r="I17" i="22"/>
  <c r="K17" i="22"/>
  <c r="M17" i="22"/>
  <c r="O17" i="22"/>
  <c r="I18" i="22"/>
  <c r="K18" i="22"/>
  <c r="M18" i="22"/>
  <c r="O18" i="22"/>
  <c r="I19" i="22"/>
  <c r="K19" i="22"/>
  <c r="M19" i="22"/>
  <c r="O19" i="22"/>
  <c r="I20" i="22"/>
  <c r="K20" i="22"/>
  <c r="M20" i="22"/>
  <c r="O20" i="22"/>
  <c r="I21" i="22"/>
  <c r="K21" i="22"/>
  <c r="M21" i="22"/>
  <c r="O21" i="22"/>
  <c r="I22" i="22"/>
  <c r="K22" i="22"/>
  <c r="M22" i="22"/>
  <c r="O22" i="22"/>
  <c r="I23" i="22"/>
  <c r="K23" i="22"/>
  <c r="M23" i="22"/>
  <c r="O23" i="22"/>
  <c r="K24" i="22"/>
  <c r="M24" i="22"/>
  <c r="O24" i="22"/>
  <c r="I25" i="22"/>
  <c r="I42" i="22" s="1"/>
  <c r="C12" i="20" s="1"/>
  <c r="K25" i="22"/>
  <c r="J42" i="22" s="1"/>
  <c r="D12" i="20" s="1"/>
  <c r="M25" i="22"/>
  <c r="K42" i="22" s="1"/>
  <c r="E12" i="20" s="1"/>
  <c r="O25" i="22"/>
  <c r="L42" i="22" s="1"/>
  <c r="F12" i="20" s="1"/>
  <c r="I26" i="22"/>
  <c r="K26" i="22"/>
  <c r="M26" i="22"/>
  <c r="O26" i="22"/>
  <c r="I27" i="22"/>
  <c r="K27" i="22"/>
  <c r="M27" i="22"/>
  <c r="O27" i="22"/>
  <c r="O8" i="22"/>
  <c r="M8" i="22"/>
  <c r="K8" i="22"/>
  <c r="J37" i="22" s="1"/>
  <c r="I8" i="22"/>
  <c r="I37" i="22" s="1"/>
  <c r="D28" i="22"/>
  <c r="D30" i="22" s="1"/>
  <c r="E27" i="22"/>
  <c r="G27" i="22" s="1"/>
  <c r="E26" i="22"/>
  <c r="G26" i="22" s="1"/>
  <c r="E25" i="22"/>
  <c r="G25" i="22" s="1"/>
  <c r="E24" i="22"/>
  <c r="G24" i="22" s="1"/>
  <c r="E23" i="22"/>
  <c r="G23" i="22" s="1"/>
  <c r="E22" i="22"/>
  <c r="E18" i="22"/>
  <c r="G18" i="22" s="1"/>
  <c r="E17" i="22"/>
  <c r="G17" i="22" s="1"/>
  <c r="E16" i="22"/>
  <c r="G16" i="22" s="1"/>
  <c r="C15" i="22"/>
  <c r="I15" i="22" s="1"/>
  <c r="I35" i="22" s="1"/>
  <c r="G10" i="22"/>
  <c r="E9" i="22"/>
  <c r="G9" i="22" s="1"/>
  <c r="E8" i="22"/>
  <c r="I61" i="22" s="1"/>
  <c r="D34" i="19"/>
  <c r="E34" i="19"/>
  <c r="C34" i="19"/>
  <c r="K13" i="2" l="1"/>
  <c r="I36" i="22"/>
  <c r="L32" i="2"/>
  <c r="J38" i="22"/>
  <c r="L33" i="2" s="1"/>
  <c r="I51" i="22"/>
  <c r="L37" i="22"/>
  <c r="L39" i="22"/>
  <c r="J39" i="22"/>
  <c r="I66" i="22"/>
  <c r="J31" i="10" s="1"/>
  <c r="J27" i="10"/>
  <c r="K32" i="2"/>
  <c r="I38" i="22"/>
  <c r="K33" i="2" s="1"/>
  <c r="K37" i="22"/>
  <c r="K39" i="22"/>
  <c r="I39" i="22"/>
  <c r="E12" i="22"/>
  <c r="E15" i="22"/>
  <c r="K15" i="22"/>
  <c r="J35" i="22" s="1"/>
  <c r="O15" i="22"/>
  <c r="L35" i="22" s="1"/>
  <c r="E28" i="22"/>
  <c r="M15" i="22"/>
  <c r="K35" i="22" s="1"/>
  <c r="G8" i="22"/>
  <c r="G12" i="22" s="1"/>
  <c r="G15" i="22"/>
  <c r="G19" i="22" s="1"/>
  <c r="G22" i="22"/>
  <c r="G28" i="22" s="1"/>
  <c r="C16" i="18"/>
  <c r="C12" i="18"/>
  <c r="C64" i="18"/>
  <c r="C18" i="18"/>
  <c r="C30" i="19"/>
  <c r="C101" i="2"/>
  <c r="D101" i="2"/>
  <c r="E101" i="2"/>
  <c r="F101" i="2"/>
  <c r="G101" i="2"/>
  <c r="H101" i="2"/>
  <c r="D102" i="2"/>
  <c r="E102" i="2"/>
  <c r="F102" i="2"/>
  <c r="G102" i="2"/>
  <c r="H102" i="2"/>
  <c r="C103" i="2"/>
  <c r="D103" i="2"/>
  <c r="E103" i="2"/>
  <c r="F103" i="2"/>
  <c r="G103" i="2"/>
  <c r="H103" i="2"/>
  <c r="I103" i="2"/>
  <c r="E75" i="14" s="1"/>
  <c r="M13" i="2" l="1"/>
  <c r="K45" i="22"/>
  <c r="M106" i="2" s="1"/>
  <c r="K36" i="22"/>
  <c r="N13" i="2"/>
  <c r="L45" i="22"/>
  <c r="N106" i="2" s="1"/>
  <c r="L36" i="22"/>
  <c r="I53" i="22"/>
  <c r="J21" i="10" s="1"/>
  <c r="E19" i="22"/>
  <c r="I63" i="22"/>
  <c r="K52" i="2"/>
  <c r="I40" i="22"/>
  <c r="K56" i="2" s="1"/>
  <c r="M32" i="2"/>
  <c r="K38" i="22"/>
  <c r="M33" i="2" s="1"/>
  <c r="N52" i="2"/>
  <c r="L40" i="22"/>
  <c r="N56" i="2" s="1"/>
  <c r="I56" i="22"/>
  <c r="J23" i="10" s="1"/>
  <c r="J19" i="10"/>
  <c r="I45" i="22"/>
  <c r="K106" i="2" s="1"/>
  <c r="L13" i="2"/>
  <c r="J45" i="22"/>
  <c r="L106" i="2" s="1"/>
  <c r="J36" i="22"/>
  <c r="K40" i="22"/>
  <c r="M56" i="2" s="1"/>
  <c r="M52" i="2"/>
  <c r="L52" i="2"/>
  <c r="J40" i="22"/>
  <c r="L56" i="2" s="1"/>
  <c r="N32" i="2"/>
  <c r="I52" i="22"/>
  <c r="J20" i="10" s="1"/>
  <c r="L38" i="22"/>
  <c r="N33" i="2" s="1"/>
  <c r="I57" i="22"/>
  <c r="J24" i="10" s="1"/>
  <c r="K14" i="2"/>
  <c r="I46" i="22"/>
  <c r="K107" i="2" s="1"/>
  <c r="E30" i="22"/>
  <c r="G98" i="2"/>
  <c r="E98" i="2"/>
  <c r="C98" i="2"/>
  <c r="H98" i="2"/>
  <c r="F98" i="2"/>
  <c r="D98" i="2"/>
  <c r="G30" i="22"/>
  <c r="L14" i="2" l="1"/>
  <c r="J46" i="22"/>
  <c r="L107" i="2" s="1"/>
  <c r="J29" i="10"/>
  <c r="I68" i="22"/>
  <c r="J33" i="10" s="1"/>
  <c r="N14" i="2"/>
  <c r="L46" i="22"/>
  <c r="N107" i="2" s="1"/>
  <c r="I58" i="22"/>
  <c r="J25" i="10" s="1"/>
  <c r="M14" i="2"/>
  <c r="K46" i="22"/>
  <c r="M107" i="2" s="1"/>
  <c r="D11" i="20"/>
  <c r="D19" i="20" s="1"/>
  <c r="G35" i="19" s="1"/>
  <c r="G34" i="19" s="1"/>
  <c r="I101" i="2"/>
  <c r="F11" i="20" s="1"/>
  <c r="I102" i="2"/>
  <c r="M56" i="10"/>
  <c r="N56" i="10" s="1"/>
  <c r="N28" i="10"/>
  <c r="D7" i="2"/>
  <c r="D39" i="14" s="1"/>
  <c r="E7" i="2"/>
  <c r="E88" i="2" s="1"/>
  <c r="F7" i="2"/>
  <c r="F88" i="2" s="1"/>
  <c r="G7" i="2"/>
  <c r="G88" i="2" s="1"/>
  <c r="H7" i="2"/>
  <c r="H88" i="2" s="1"/>
  <c r="I7" i="2"/>
  <c r="C7" i="2"/>
  <c r="N13" i="10"/>
  <c r="N14" i="10"/>
  <c r="N15" i="10"/>
  <c r="N16" i="10"/>
  <c r="N19" i="10"/>
  <c r="N20" i="10"/>
  <c r="N21" i="10"/>
  <c r="N23" i="10"/>
  <c r="N24" i="10"/>
  <c r="N25" i="10"/>
  <c r="N27" i="10"/>
  <c r="N29" i="10"/>
  <c r="N31" i="10"/>
  <c r="N32" i="10"/>
  <c r="N33" i="10"/>
  <c r="N12" i="10"/>
  <c r="L13" i="10"/>
  <c r="L14" i="10"/>
  <c r="L15" i="10"/>
  <c r="L16" i="10"/>
  <c r="L19" i="10"/>
  <c r="L20" i="10"/>
  <c r="L21" i="10"/>
  <c r="L23" i="10"/>
  <c r="L24" i="10"/>
  <c r="L25" i="10"/>
  <c r="L27" i="10"/>
  <c r="L29" i="10"/>
  <c r="L31" i="10"/>
  <c r="L32" i="10"/>
  <c r="L33" i="10"/>
  <c r="L12" i="10"/>
  <c r="V22" i="9"/>
  <c r="D78" i="14"/>
  <c r="F78" i="14"/>
  <c r="C78" i="14"/>
  <c r="V20" i="9"/>
  <c r="V21" i="9"/>
  <c r="V19" i="9"/>
  <c r="D9" i="2"/>
  <c r="D40" i="14" s="1"/>
  <c r="D24" i="2"/>
  <c r="D42" i="14" s="1"/>
  <c r="D49" i="2"/>
  <c r="D43" i="14" s="1"/>
  <c r="D59" i="2"/>
  <c r="D85" i="2" s="1"/>
  <c r="D44" i="14" s="1"/>
  <c r="E24" i="2"/>
  <c r="F42" i="14" s="1"/>
  <c r="F24" i="2"/>
  <c r="G24" i="2"/>
  <c r="H24" i="2"/>
  <c r="I24" i="2"/>
  <c r="E42" i="14" s="1"/>
  <c r="G42" i="14" s="1"/>
  <c r="H42" i="14" s="1"/>
  <c r="I42" i="14" s="1"/>
  <c r="J42" i="14" s="1"/>
  <c r="C24" i="2"/>
  <c r="C42" i="14" s="1"/>
  <c r="E9" i="2"/>
  <c r="F40" i="14" s="1"/>
  <c r="E49" i="2"/>
  <c r="F43" i="14" s="1"/>
  <c r="E59" i="2"/>
  <c r="I9" i="2"/>
  <c r="I49" i="2"/>
  <c r="E43" i="14" s="1"/>
  <c r="G43" i="14" s="1"/>
  <c r="H43" i="14" s="1"/>
  <c r="I43" i="14" s="1"/>
  <c r="J43" i="14" s="1"/>
  <c r="I59" i="2"/>
  <c r="I85" i="2" s="1"/>
  <c r="E44" i="14" s="1"/>
  <c r="G44" i="14" s="1"/>
  <c r="H44" i="14" s="1"/>
  <c r="I44" i="14" s="1"/>
  <c r="J44" i="14" s="1"/>
  <c r="M7" i="9"/>
  <c r="C11" i="20"/>
  <c r="C17" i="20" s="1"/>
  <c r="K102" i="2" s="1"/>
  <c r="K103" i="2" s="1"/>
  <c r="E11" i="20"/>
  <c r="E18" i="20" s="1"/>
  <c r="H29" i="19" s="1"/>
  <c r="C49" i="2"/>
  <c r="C9" i="2"/>
  <c r="C59" i="2"/>
  <c r="C85" i="2" s="1"/>
  <c r="C44" i="14" s="1"/>
  <c r="F59" i="2"/>
  <c r="F85" i="2" s="1"/>
  <c r="G59" i="2"/>
  <c r="G85" i="2" s="1"/>
  <c r="H59" i="2"/>
  <c r="F9" i="2"/>
  <c r="F49" i="2"/>
  <c r="G9" i="2"/>
  <c r="G49" i="2"/>
  <c r="H9" i="2"/>
  <c r="H49" i="2"/>
  <c r="D92" i="2"/>
  <c r="E92" i="2"/>
  <c r="F92" i="2"/>
  <c r="G92" i="2"/>
  <c r="H92" i="2"/>
  <c r="I92" i="2"/>
  <c r="D93" i="2"/>
  <c r="E93" i="2"/>
  <c r="F93" i="2"/>
  <c r="G93" i="2"/>
  <c r="H93" i="2"/>
  <c r="I93" i="2"/>
  <c r="D94" i="2"/>
  <c r="E94" i="2"/>
  <c r="F94" i="2"/>
  <c r="G94" i="2"/>
  <c r="H94" i="2"/>
  <c r="I94" i="2"/>
  <c r="C88" i="2"/>
  <c r="D87" i="2"/>
  <c r="E87" i="2"/>
  <c r="F87" i="2"/>
  <c r="G87" i="2"/>
  <c r="H87" i="2"/>
  <c r="I87" i="2"/>
  <c r="E49" i="14" s="1"/>
  <c r="G49" i="14" s="1"/>
  <c r="H49" i="14" s="1"/>
  <c r="I49" i="14" s="1"/>
  <c r="J49" i="14" s="1"/>
  <c r="D86" i="2"/>
  <c r="E86" i="2"/>
  <c r="F86" i="2"/>
  <c r="G86" i="2"/>
  <c r="H86" i="2"/>
  <c r="I86" i="2"/>
  <c r="E48" i="14" s="1"/>
  <c r="G48" i="14" s="1"/>
  <c r="H48" i="14" s="1"/>
  <c r="I48" i="14" s="1"/>
  <c r="J48" i="14" s="1"/>
  <c r="E85" i="2"/>
  <c r="F44" i="14" s="1"/>
  <c r="H85" i="2"/>
  <c r="C9" i="18"/>
  <c r="C21" i="18"/>
  <c r="C54" i="18"/>
  <c r="C55" i="18"/>
  <c r="C39" i="18"/>
  <c r="C64" i="14" s="1"/>
  <c r="E9" i="18"/>
  <c r="E39" i="18"/>
  <c r="F64" i="14"/>
  <c r="I9" i="18"/>
  <c r="I39" i="18"/>
  <c r="E64" i="14" s="1"/>
  <c r="G64" i="14" s="1"/>
  <c r="H64" i="14" s="1"/>
  <c r="I64" i="14" s="1"/>
  <c r="J64" i="14" s="1"/>
  <c r="C21" i="19"/>
  <c r="C20" i="19"/>
  <c r="C19" i="19" s="1"/>
  <c r="C81" i="14"/>
  <c r="K53" i="9"/>
  <c r="O53" i="9"/>
  <c r="M47" i="9"/>
  <c r="M48" i="9"/>
  <c r="M49" i="9"/>
  <c r="Z35" i="9"/>
  <c r="Y32" i="9"/>
  <c r="X32" i="9"/>
  <c r="W32" i="9"/>
  <c r="G36" i="9"/>
  <c r="D58" i="10"/>
  <c r="C39" i="14"/>
  <c r="G15" i="11"/>
  <c r="F15" i="11"/>
  <c r="D15" i="11"/>
  <c r="F14" i="11"/>
  <c r="F73" i="14" s="1"/>
  <c r="D14" i="11"/>
  <c r="C73" i="14" s="1"/>
  <c r="C92" i="2"/>
  <c r="C93" i="2"/>
  <c r="C94" i="2"/>
  <c r="C6" i="3"/>
  <c r="C69" i="14" s="1"/>
  <c r="D9" i="18"/>
  <c r="D21" i="18"/>
  <c r="D54" i="18"/>
  <c r="D55" i="18"/>
  <c r="D39" i="18"/>
  <c r="D64" i="14" s="1"/>
  <c r="F9" i="18"/>
  <c r="F21" i="18"/>
  <c r="F39" i="18"/>
  <c r="G9" i="18"/>
  <c r="G21" i="18"/>
  <c r="G39" i="18"/>
  <c r="H9" i="18"/>
  <c r="H21" i="18"/>
  <c r="H39" i="18"/>
  <c r="D73" i="14"/>
  <c r="E66" i="14"/>
  <c r="G66" i="14" s="1"/>
  <c r="H66" i="14" s="1"/>
  <c r="I66" i="14" s="1"/>
  <c r="J66" i="14" s="1"/>
  <c r="E57" i="14"/>
  <c r="G57" i="14" s="1"/>
  <c r="H57" i="14" s="1"/>
  <c r="I57" i="14" s="1"/>
  <c r="J57" i="14" s="1"/>
  <c r="C22" i="19"/>
  <c r="C25" i="19"/>
  <c r="C58" i="14" s="1"/>
  <c r="D22" i="19"/>
  <c r="D56" i="14" s="1"/>
  <c r="F22" i="19"/>
  <c r="G22" i="19"/>
  <c r="H22" i="19"/>
  <c r="D21" i="19"/>
  <c r="D20" i="19"/>
  <c r="D8" i="19"/>
  <c r="C8" i="19"/>
  <c r="C87" i="2"/>
  <c r="C49" i="14" s="1"/>
  <c r="C86" i="2"/>
  <c r="C48" i="14" s="1"/>
  <c r="F81" i="14"/>
  <c r="E81" i="14"/>
  <c r="D81" i="14"/>
  <c r="D25" i="19"/>
  <c r="D58" i="14" s="1"/>
  <c r="E25" i="19"/>
  <c r="F58" i="14" s="1"/>
  <c r="M58" i="10"/>
  <c r="J58" i="10"/>
  <c r="G58" i="10"/>
  <c r="E53" i="9"/>
  <c r="AC11" i="9"/>
  <c r="Z11" i="9"/>
  <c r="W11" i="9"/>
  <c r="T11" i="9"/>
  <c r="Q11" i="9"/>
  <c r="I6" i="3"/>
  <c r="E69" i="14" s="1"/>
  <c r="E78" i="14"/>
  <c r="H6" i="3"/>
  <c r="G6" i="3"/>
  <c r="F6" i="3"/>
  <c r="F57" i="14"/>
  <c r="D57" i="14"/>
  <c r="C57" i="14"/>
  <c r="M52" i="9"/>
  <c r="M51" i="9"/>
  <c r="M50" i="9"/>
  <c r="M46" i="9"/>
  <c r="M53" i="9"/>
  <c r="S53" i="9"/>
  <c r="Q53" i="9"/>
  <c r="I53" i="9"/>
  <c r="G53" i="9"/>
  <c r="Y35" i="9"/>
  <c r="X35" i="9"/>
  <c r="W35" i="9"/>
  <c r="Z34" i="9"/>
  <c r="Y34" i="9"/>
  <c r="X34" i="9"/>
  <c r="W34" i="9"/>
  <c r="Z33" i="9"/>
  <c r="Z32" i="9"/>
  <c r="Z36" i="9"/>
  <c r="Y33" i="9"/>
  <c r="X33" i="9"/>
  <c r="W33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AD23" i="9"/>
  <c r="V23" i="9"/>
  <c r="AB23" i="9"/>
  <c r="Z23" i="9"/>
  <c r="X23" i="9"/>
  <c r="M10" i="9"/>
  <c r="M9" i="9"/>
  <c r="M11" i="9"/>
  <c r="M8" i="9"/>
  <c r="K67" i="10"/>
  <c r="E6" i="3"/>
  <c r="F69" i="14"/>
  <c r="F17" i="11" s="1"/>
  <c r="D6" i="3"/>
  <c r="D69" i="14"/>
  <c r="C43" i="14"/>
  <c r="F66" i="14"/>
  <c r="D66" i="14"/>
  <c r="C66" i="14"/>
  <c r="D62" i="14"/>
  <c r="C62" i="14"/>
  <c r="F59" i="14"/>
  <c r="D59" i="14"/>
  <c r="C59" i="14"/>
  <c r="C56" i="14"/>
  <c r="D51" i="14"/>
  <c r="C51" i="14"/>
  <c r="F49" i="14"/>
  <c r="D49" i="14"/>
  <c r="F48" i="14"/>
  <c r="D48" i="14"/>
  <c r="B49" i="14"/>
  <c r="B73" i="14"/>
  <c r="B72" i="14"/>
  <c r="B71" i="14"/>
  <c r="B69" i="14"/>
  <c r="B66" i="14"/>
  <c r="B65" i="14"/>
  <c r="B64" i="14"/>
  <c r="B63" i="14"/>
  <c r="B67" i="14"/>
  <c r="B62" i="14"/>
  <c r="B60" i="14"/>
  <c r="B59" i="14"/>
  <c r="B58" i="14"/>
  <c r="B56" i="14"/>
  <c r="B55" i="14"/>
  <c r="B53" i="14"/>
  <c r="B52" i="14"/>
  <c r="B51" i="14"/>
  <c r="B50" i="14"/>
  <c r="B48" i="14"/>
  <c r="B47" i="14"/>
  <c r="B46" i="14"/>
  <c r="B45" i="14"/>
  <c r="B44" i="14"/>
  <c r="B42" i="14"/>
  <c r="B43" i="14"/>
  <c r="B41" i="14"/>
  <c r="B40" i="14"/>
  <c r="B39" i="14"/>
  <c r="W36" i="9"/>
  <c r="Y36" i="9"/>
  <c r="E39" i="14"/>
  <c r="G39" i="14" s="1"/>
  <c r="H39" i="14" s="1"/>
  <c r="I39" i="14" s="1"/>
  <c r="J39" i="14" s="1"/>
  <c r="E20" i="2"/>
  <c r="F39" i="14"/>
  <c r="F18" i="11" s="1"/>
  <c r="D19" i="19"/>
  <c r="D37" i="19" s="1"/>
  <c r="D60" i="14" s="1"/>
  <c r="C19" i="20"/>
  <c r="F35" i="19" s="1"/>
  <c r="F34" i="19" s="1"/>
  <c r="I98" i="2"/>
  <c r="X36" i="9"/>
  <c r="E40" i="14"/>
  <c r="G40" i="14" s="1"/>
  <c r="H40" i="14" s="1"/>
  <c r="I40" i="14" s="1"/>
  <c r="J40" i="14" s="1"/>
  <c r="L28" i="10"/>
  <c r="F20" i="2"/>
  <c r="D88" i="2"/>
  <c r="E67" i="2" l="1"/>
  <c r="E91" i="2" s="1"/>
  <c r="E96" i="2" s="1"/>
  <c r="F46" i="14" s="1"/>
  <c r="F13" i="11" s="1"/>
  <c r="C37" i="19"/>
  <c r="C60" i="14" s="1"/>
  <c r="C55" i="14"/>
  <c r="D18" i="20"/>
  <c r="G29" i="19" s="1"/>
  <c r="G25" i="19" s="1"/>
  <c r="D17" i="20"/>
  <c r="L102" i="2" s="1"/>
  <c r="L103" i="2" s="1"/>
  <c r="C18" i="20"/>
  <c r="F29" i="19" s="1"/>
  <c r="G20" i="2"/>
  <c r="G67" i="2" s="1"/>
  <c r="C66" i="18"/>
  <c r="C65" i="14" s="1"/>
  <c r="F41" i="14"/>
  <c r="F7" i="11" s="1"/>
  <c r="G89" i="2"/>
  <c r="G104" i="2" s="1"/>
  <c r="G105" i="2" s="1"/>
  <c r="F89" i="2"/>
  <c r="F104" i="2" s="1"/>
  <c r="F105" i="2" s="1"/>
  <c r="C89" i="2"/>
  <c r="C105" i="2" s="1"/>
  <c r="C20" i="2"/>
  <c r="C41" i="14" s="1"/>
  <c r="D7" i="11" s="1"/>
  <c r="F67" i="2"/>
  <c r="F91" i="2" s="1"/>
  <c r="F96" i="2" s="1"/>
  <c r="C67" i="2"/>
  <c r="D20" i="2"/>
  <c r="C40" i="14"/>
  <c r="I20" i="2"/>
  <c r="E41" i="14" s="1"/>
  <c r="G7" i="11" s="1"/>
  <c r="E17" i="20"/>
  <c r="H36" i="19" s="1"/>
  <c r="I88" i="2"/>
  <c r="J41" i="14"/>
  <c r="J45" i="14" s="1"/>
  <c r="J50" i="14" s="1"/>
  <c r="J51" i="14" s="1"/>
  <c r="J56" i="14" s="1"/>
  <c r="G36" i="19"/>
  <c r="F25" i="19"/>
  <c r="E19" i="20"/>
  <c r="H35" i="19" s="1"/>
  <c r="H34" i="19" s="1"/>
  <c r="D89" i="2"/>
  <c r="D104" i="2" s="1"/>
  <c r="D105" i="2" s="1"/>
  <c r="H89" i="2"/>
  <c r="H104" i="2" s="1"/>
  <c r="H105" i="2" s="1"/>
  <c r="G69" i="14"/>
  <c r="H69" i="14" s="1"/>
  <c r="I69" i="14" s="1"/>
  <c r="J69" i="14" s="1"/>
  <c r="G18" i="11"/>
  <c r="G17" i="11"/>
  <c r="F19" i="20"/>
  <c r="I35" i="19" s="1"/>
  <c r="I34" i="19" s="1"/>
  <c r="F17" i="20"/>
  <c r="F18" i="20"/>
  <c r="I29" i="19" s="1"/>
  <c r="I25" i="19" s="1"/>
  <c r="E58" i="14" s="1"/>
  <c r="G58" i="14" s="1"/>
  <c r="H58" i="14" s="1"/>
  <c r="I58" i="14" s="1"/>
  <c r="J58" i="14" s="1"/>
  <c r="D18" i="11"/>
  <c r="D17" i="11"/>
  <c r="D66" i="18"/>
  <c r="D65" i="14" s="1"/>
  <c r="H20" i="2"/>
  <c r="H67" i="2" s="1"/>
  <c r="I41" i="14"/>
  <c r="I45" i="14" s="1"/>
  <c r="I50" i="14" s="1"/>
  <c r="I51" i="14" s="1"/>
  <c r="I56" i="14" s="1"/>
  <c r="H25" i="19"/>
  <c r="G41" i="14"/>
  <c r="G45" i="14" s="1"/>
  <c r="G50" i="14" s="1"/>
  <c r="G51" i="14" s="1"/>
  <c r="G56" i="14" s="1"/>
  <c r="H41" i="14"/>
  <c r="H45" i="14" s="1"/>
  <c r="H50" i="14" s="1"/>
  <c r="H51" i="14" s="1"/>
  <c r="H56" i="14" s="1"/>
  <c r="F36" i="19"/>
  <c r="D55" i="14"/>
  <c r="F45" i="14" l="1"/>
  <c r="E77" i="2"/>
  <c r="F50" i="14" s="1"/>
  <c r="F8" i="11"/>
  <c r="F47" i="14" s="1"/>
  <c r="F77" i="2"/>
  <c r="F7" i="18" s="1"/>
  <c r="F15" i="18" s="1"/>
  <c r="F20" i="18" s="1"/>
  <c r="F22" i="18" s="1"/>
  <c r="M102" i="2"/>
  <c r="M103" i="2" s="1"/>
  <c r="I67" i="2"/>
  <c r="I77" i="2" s="1"/>
  <c r="D41" i="14"/>
  <c r="D67" i="2"/>
  <c r="C45" i="14"/>
  <c r="C91" i="2"/>
  <c r="C96" i="2" s="1"/>
  <c r="C46" i="14" s="1"/>
  <c r="C77" i="2"/>
  <c r="H52" i="14"/>
  <c r="H55" i="14" s="1"/>
  <c r="G91" i="2"/>
  <c r="G96" i="2" s="1"/>
  <c r="G77" i="2"/>
  <c r="H91" i="2"/>
  <c r="H96" i="2" s="1"/>
  <c r="H77" i="2"/>
  <c r="N102" i="2"/>
  <c r="N103" i="2" s="1"/>
  <c r="I36" i="19"/>
  <c r="E59" i="14" s="1"/>
  <c r="G59" i="14" s="1"/>
  <c r="H59" i="14" s="1"/>
  <c r="I59" i="14" s="1"/>
  <c r="J59" i="14" s="1"/>
  <c r="I52" i="14"/>
  <c r="J52" i="14"/>
  <c r="G52" i="14"/>
  <c r="E78" i="2" l="1"/>
  <c r="E21" i="18" s="1"/>
  <c r="E7" i="18"/>
  <c r="E15" i="18" s="1"/>
  <c r="E20" i="18" s="1"/>
  <c r="F51" i="14"/>
  <c r="E80" i="2"/>
  <c r="E82" i="2" s="1"/>
  <c r="H53" i="14"/>
  <c r="E45" i="14"/>
  <c r="F80" i="2"/>
  <c r="F82" i="2" s="1"/>
  <c r="I91" i="2"/>
  <c r="I96" i="2" s="1"/>
  <c r="E46" i="14" s="1"/>
  <c r="G46" i="14" s="1"/>
  <c r="D13" i="11"/>
  <c r="D8" i="11"/>
  <c r="C47" i="14" s="1"/>
  <c r="D91" i="2"/>
  <c r="D96" i="2" s="1"/>
  <c r="D46" i="14" s="1"/>
  <c r="D47" i="14" s="1"/>
  <c r="D45" i="14"/>
  <c r="D77" i="2"/>
  <c r="C50" i="14"/>
  <c r="C7" i="18"/>
  <c r="C15" i="18" s="1"/>
  <c r="C20" i="18" s="1"/>
  <c r="C22" i="18" s="1"/>
  <c r="C80" i="2"/>
  <c r="C17" i="19" s="1"/>
  <c r="H60" i="14"/>
  <c r="G80" i="2"/>
  <c r="G7" i="18"/>
  <c r="G15" i="18" s="1"/>
  <c r="G20" i="18" s="1"/>
  <c r="G22" i="18" s="1"/>
  <c r="I78" i="2"/>
  <c r="I80" i="2" s="1"/>
  <c r="E50" i="14"/>
  <c r="I7" i="18"/>
  <c r="I15" i="18" s="1"/>
  <c r="I20" i="18" s="1"/>
  <c r="J53" i="14"/>
  <c r="J55" i="14"/>
  <c r="J60" i="14" s="1"/>
  <c r="G53" i="14"/>
  <c r="G55" i="14"/>
  <c r="G60" i="14" s="1"/>
  <c r="I53" i="14"/>
  <c r="I55" i="14"/>
  <c r="I60" i="14" s="1"/>
  <c r="H80" i="2"/>
  <c r="H7" i="18"/>
  <c r="H15" i="18" s="1"/>
  <c r="H20" i="18" s="1"/>
  <c r="H22" i="18" s="1"/>
  <c r="F81" i="2"/>
  <c r="F9" i="19" s="1"/>
  <c r="E22" i="19" l="1"/>
  <c r="F56" i="14" s="1"/>
  <c r="E22" i="18"/>
  <c r="F63" i="14" s="1"/>
  <c r="F52" i="14"/>
  <c r="F10" i="11" s="1"/>
  <c r="F72" i="14" s="1"/>
  <c r="E89" i="2"/>
  <c r="E104" i="2" s="1"/>
  <c r="E105" i="2" s="1"/>
  <c r="E81" i="2"/>
  <c r="E9" i="19" s="1"/>
  <c r="E54" i="18" s="1"/>
  <c r="G8" i="11"/>
  <c r="E47" i="14" s="1"/>
  <c r="G13" i="11"/>
  <c r="C81" i="2"/>
  <c r="C82" i="2"/>
  <c r="E7" i="19"/>
  <c r="C52" i="14"/>
  <c r="C71" i="18"/>
  <c r="C70" i="18"/>
  <c r="C63" i="14"/>
  <c r="D80" i="2"/>
  <c r="D7" i="18"/>
  <c r="D15" i="18" s="1"/>
  <c r="D20" i="18" s="1"/>
  <c r="D22" i="18" s="1"/>
  <c r="D50" i="14"/>
  <c r="I81" i="2"/>
  <c r="E52" i="14"/>
  <c r="I82" i="2"/>
  <c r="G47" i="14"/>
  <c r="H46" i="14"/>
  <c r="G81" i="2"/>
  <c r="G9" i="19" s="1"/>
  <c r="G82" i="2"/>
  <c r="I21" i="18"/>
  <c r="I22" i="18" s="1"/>
  <c r="E63" i="14" s="1"/>
  <c r="G63" i="14" s="1"/>
  <c r="H63" i="14" s="1"/>
  <c r="I63" i="14" s="1"/>
  <c r="J63" i="14" s="1"/>
  <c r="I22" i="19"/>
  <c r="E56" i="14" s="1"/>
  <c r="E51" i="14"/>
  <c r="I89" i="2"/>
  <c r="I104" i="2" s="1"/>
  <c r="I105" i="2" s="1"/>
  <c r="F10" i="19"/>
  <c r="F8" i="19" s="1"/>
  <c r="F20" i="19"/>
  <c r="F54" i="18"/>
  <c r="H81" i="2"/>
  <c r="H9" i="19" s="1"/>
  <c r="H82" i="2"/>
  <c r="E20" i="19" l="1"/>
  <c r="F11" i="11"/>
  <c r="F53" i="14" s="1"/>
  <c r="F9" i="11"/>
  <c r="F71" i="14" s="1"/>
  <c r="E10" i="19"/>
  <c r="E55" i="18" s="1"/>
  <c r="E66" i="18" s="1"/>
  <c r="E21" i="19"/>
  <c r="D71" i="18"/>
  <c r="D70" i="18"/>
  <c r="D63" i="14"/>
  <c r="D82" i="2"/>
  <c r="D17" i="19"/>
  <c r="D81" i="2"/>
  <c r="D52" i="14"/>
  <c r="C67" i="14"/>
  <c r="E68" i="18"/>
  <c r="C77" i="14"/>
  <c r="D11" i="11"/>
  <c r="C53" i="14" s="1"/>
  <c r="D10" i="11"/>
  <c r="C72" i="14" s="1"/>
  <c r="D9" i="11"/>
  <c r="C71" i="14" s="1"/>
  <c r="I46" i="14"/>
  <c r="H47" i="14"/>
  <c r="G10" i="19"/>
  <c r="G54" i="18"/>
  <c r="G20" i="19"/>
  <c r="G9" i="11"/>
  <c r="E71" i="14" s="1"/>
  <c r="G11" i="11"/>
  <c r="E53" i="14" s="1"/>
  <c r="H10" i="19"/>
  <c r="H8" i="19" s="1"/>
  <c r="H54" i="18"/>
  <c r="H20" i="19"/>
  <c r="F21" i="19"/>
  <c r="F55" i="18"/>
  <c r="F66" i="18" s="1"/>
  <c r="F71" i="18" s="1"/>
  <c r="F19" i="19"/>
  <c r="F37" i="19" s="1"/>
  <c r="E19" i="19" l="1"/>
  <c r="E8" i="19"/>
  <c r="E17" i="19" s="1"/>
  <c r="I7" i="19" s="1"/>
  <c r="F55" i="14"/>
  <c r="E37" i="19"/>
  <c r="F60" i="14" s="1"/>
  <c r="F65" i="14"/>
  <c r="E71" i="18"/>
  <c r="E70" i="18"/>
  <c r="F62" i="14"/>
  <c r="D71" i="14"/>
  <c r="D72" i="14"/>
  <c r="D53" i="14"/>
  <c r="D67" i="14"/>
  <c r="D77" i="14"/>
  <c r="G55" i="18"/>
  <c r="G66" i="18" s="1"/>
  <c r="G21" i="19"/>
  <c r="G19" i="19" s="1"/>
  <c r="G37" i="19" s="1"/>
  <c r="G8" i="19"/>
  <c r="I47" i="14"/>
  <c r="J46" i="14"/>
  <c r="J47" i="14" s="1"/>
  <c r="I20" i="19"/>
  <c r="I54" i="18"/>
  <c r="H21" i="19"/>
  <c r="H19" i="19" s="1"/>
  <c r="H37" i="19" s="1"/>
  <c r="H55" i="18"/>
  <c r="H66" i="18" s="1"/>
  <c r="G7" i="19" l="1"/>
  <c r="G17" i="19" s="1"/>
  <c r="F7" i="19"/>
  <c r="F17" i="19" s="1"/>
  <c r="H7" i="19"/>
  <c r="H17" i="19" s="1"/>
  <c r="H68" i="18"/>
  <c r="H70" i="18" s="1"/>
  <c r="F67" i="14"/>
  <c r="F68" i="18"/>
  <c r="F70" i="18" s="1"/>
  <c r="G68" i="18"/>
  <c r="I68" i="18"/>
  <c r="E62" i="14" s="1"/>
  <c r="F77" i="14"/>
  <c r="G71" i="18"/>
  <c r="G70" i="18"/>
  <c r="H71" i="18"/>
  <c r="I21" i="19"/>
  <c r="I19" i="19" s="1"/>
  <c r="I55" i="18"/>
  <c r="I66" i="18" s="1"/>
  <c r="I8" i="19"/>
  <c r="I17" i="19" s="1"/>
  <c r="E65" i="14" l="1"/>
  <c r="G65" i="14" s="1"/>
  <c r="H65" i="14" s="1"/>
  <c r="I65" i="14" s="1"/>
  <c r="J65" i="14" s="1"/>
  <c r="I71" i="18"/>
  <c r="I70" i="18"/>
  <c r="E55" i="14"/>
  <c r="E84" i="14" s="1"/>
  <c r="I37" i="19"/>
  <c r="E60" i="14" s="1"/>
  <c r="G14" i="11" l="1"/>
  <c r="E73" i="14" s="1"/>
  <c r="G10" i="11"/>
  <c r="E72" i="14" s="1"/>
  <c r="E67" i="14"/>
  <c r="G62" i="14" s="1"/>
  <c r="G67" i="14" s="1"/>
  <c r="H62" i="14" s="1"/>
  <c r="H67" i="14" s="1"/>
  <c r="I62" i="14" s="1"/>
  <c r="I67" i="14" s="1"/>
  <c r="J62" i="14" s="1"/>
  <c r="J67" i="14" s="1"/>
  <c r="E77" i="14"/>
</calcChain>
</file>

<file path=xl/comments1.xml><?xml version="1.0" encoding="utf-8"?>
<comments xmlns="http://schemas.openxmlformats.org/spreadsheetml/2006/main">
  <authors>
    <author>1235</author>
  </authors>
  <commentList>
    <comment ref="C17" authorId="0" shapeId="0">
      <text>
        <r>
          <rPr>
            <b/>
            <sz val="20"/>
            <color indexed="81"/>
            <rFont val="Tahoma"/>
            <family val="2"/>
            <charset val="204"/>
          </rPr>
          <t>-161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<sst xmlns="http://schemas.openxmlformats.org/spreadsheetml/2006/main" count="769" uniqueCount="524">
  <si>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</si>
  <si>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</si>
  <si>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</si>
  <si>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</si>
  <si>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</si>
  <si>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</si>
  <si>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</si>
  <si>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</si>
  <si>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</si>
  <si>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</si>
  <si>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</si>
  <si>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</si>
  <si>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</si>
  <si>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</si>
  <si>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</si>
  <si>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</si>
  <si>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</si>
  <si>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</si>
  <si>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</si>
  <si>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Додаток 1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</si>
  <si>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</si>
  <si>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</si>
  <si>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</si>
  <si>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</si>
  <si>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</si>
  <si>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</si>
  <si>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</si>
  <si>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</si>
  <si>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</si>
  <si>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</si>
  <si>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</si>
  <si>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</si>
  <si>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</si>
  <si>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</si>
  <si>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</si>
  <si>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Грошові кошти:</t>
  </si>
  <si>
    <t>на початок періоду</t>
  </si>
  <si>
    <t>Чистий грошовий потік</t>
  </si>
  <si>
    <t>Забезпечення</t>
  </si>
  <si>
    <t>х</t>
  </si>
  <si>
    <t>Фінансовий план поточного року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</si>
  <si>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</si>
  <si>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</si>
  <si>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</si>
  <si>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</si>
  <si>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</si>
  <si>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</si>
  <si>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</si>
  <si>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</si>
  <si>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</si>
  <si>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</si>
  <si>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</si>
  <si>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</si>
  <si>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</si>
  <si>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</si>
  <si>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</si>
  <si>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</si>
  <si>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</si>
  <si>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</si>
  <si>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</si>
  <si>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</si>
  <si>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</si>
  <si>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</si>
  <si>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</si>
  <si>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</si>
  <si>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</si>
  <si>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</si>
  <si>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</si>
  <si>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</si>
  <si>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>консультаційні та інформаційні послуги</t>
  </si>
  <si>
    <t>План поточного року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</si>
  <si>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</si>
  <si>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</si>
  <si>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</si>
  <si>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</si>
  <si>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</si>
  <si>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</si>
  <si>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</si>
  <si>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>за минулий рік</t>
  </si>
  <si>
    <t>за плановий рік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</si>
  <si>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</si>
  <si>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</si>
  <si>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</si>
  <si>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</si>
  <si>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</si>
  <si>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</si>
  <si>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рік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</si>
  <si>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</si>
  <si>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</si>
  <si>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</si>
  <si>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</si>
  <si>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</si>
  <si>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</si>
  <si>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</si>
  <si>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Заборгованість за кредитами на початок ______ року</t>
  </si>
  <si>
    <t>Заборгованість за кредитами на кінець ______ року</t>
  </si>
  <si>
    <t>Бюджетне фінансування</t>
  </si>
  <si>
    <t>інші платежі (розшифрувати)</t>
  </si>
  <si>
    <t xml:space="preserve">      1. Дані про підприємство, персонал та фонд заробітної плати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</si>
  <si>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</si>
  <si>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</si>
  <si>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</si>
  <si>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</si>
  <si>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</si>
  <si>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</si>
  <si>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у тому числі за кварталами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</si>
  <si>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</si>
  <si>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</si>
  <si>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</si>
  <si>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</si>
  <si>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</si>
  <si>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Факт за звітний період поточного року на останню дату</t>
  </si>
  <si>
    <t>Планові показники</t>
  </si>
  <si>
    <t>Примітки</t>
  </si>
  <si>
    <t>&gt; 0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</si>
  <si>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</si>
  <si>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</si>
  <si>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</si>
  <si>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</si>
  <si>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</si>
  <si>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</si>
  <si>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</si>
  <si>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</si>
  <si>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</si>
  <si>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</si>
  <si>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</si>
  <si>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</si>
  <si>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</si>
  <si>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</si>
  <si>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</si>
  <si>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</si>
  <si>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</si>
  <si>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</si>
  <si>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</si>
  <si>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</si>
  <si>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</si>
  <si>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</si>
  <si>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</si>
  <si>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</si>
  <si>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</si>
  <si>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</si>
  <si>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</si>
  <si>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</si>
  <si>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</si>
  <si>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</si>
  <si>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</si>
  <si>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</si>
  <si>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</si>
  <si>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r>
      <t>Керівник</t>
    </r>
    <r>
      <rPr>
        <sz val="14"/>
        <rFont val="Times New Roman"/>
        <family val="1"/>
        <charset val="204"/>
      </rPr>
      <t xml:space="preserve">   _____________________________________</t>
    </r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</si>
  <si>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</si>
  <si>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</si>
  <si>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</si>
  <si>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Плановий рік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</si>
  <si>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</si>
  <si>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</si>
  <si>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</si>
  <si>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</si>
  <si>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</si>
  <si>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</si>
  <si>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</si>
  <si>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</si>
  <si>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</si>
  <si>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</si>
  <si>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</si>
  <si>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</si>
  <si>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</si>
  <si>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</si>
  <si>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</si>
  <si>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</si>
  <si>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</si>
  <si>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</si>
  <si>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</si>
  <si>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</si>
  <si>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</si>
  <si>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</si>
  <si>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</si>
  <si>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</si>
  <si>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</si>
  <si>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</si>
  <si>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</si>
  <si>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</si>
  <si>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</si>
  <si>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</si>
  <si>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</si>
  <si>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</si>
  <si>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Прогноз на поточний рік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</si>
  <si>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</si>
  <si>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</si>
  <si>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</si>
  <si>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</si>
  <si>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</si>
  <si>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</si>
  <si>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</si>
  <si>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</si>
  <si>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</si>
  <si>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</si>
  <si>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</si>
  <si>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</si>
  <si>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</si>
  <si>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</si>
  <si>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</si>
  <si>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</si>
  <si>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</si>
  <si>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</si>
  <si>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</si>
  <si>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</si>
  <si>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</si>
  <si>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</si>
  <si>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</si>
  <si>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</si>
  <si>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</si>
  <si>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</si>
  <si>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</si>
  <si>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</si>
  <si>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</si>
  <si>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</si>
  <si>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</si>
  <si>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</si>
  <si>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</si>
  <si>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</si>
  <si>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</si>
  <si>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</si>
  <si>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</si>
  <si>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Усього на рік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</si>
  <si>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</si>
  <si>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</si>
  <si>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</si>
  <si>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</si>
  <si>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</si>
  <si>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</si>
  <si>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</si>
  <si>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</si>
  <si>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</si>
  <si>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 xml:space="preserve">IV. Капітальні інвестиції 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</si>
  <si>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</si>
  <si>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</si>
  <si>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</si>
  <si>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</si>
  <si>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</si>
  <si>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</si>
  <si>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</si>
  <si>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</si>
  <si>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</si>
  <si>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</si>
  <si>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x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</si>
  <si>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</si>
  <si>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</si>
  <si>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</si>
  <si>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</si>
  <si>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</si>
  <si>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2120 / 2130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</si>
  <si>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</si>
  <si>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</si>
  <si>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</si>
  <si>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Пояснення та обґрунтування до запланованого рівня доходів/витрат</t>
  </si>
  <si>
    <t>Елементи операційних витрат</t>
  </si>
  <si>
    <t>тис. гривень (без ПДВ)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</si>
  <si>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</si>
  <si>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</si>
  <si>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</si>
  <si>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</si>
  <si>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</si>
  <si>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</si>
  <si>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</si>
  <si>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 xml:space="preserve">                                (посада)</t>
  </si>
  <si>
    <t>_________________________</t>
  </si>
  <si>
    <r>
      <t>Керівник ______________________________________</t>
    </r>
    <r>
      <rPr>
        <sz val="14"/>
        <rFont val="Times New Roman"/>
        <family val="1"/>
        <charset val="204"/>
      </rPr>
      <t xml:space="preserve"> </t>
    </r>
  </si>
  <si>
    <t>____________________________________________</t>
  </si>
  <si>
    <t>Коди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</si>
  <si>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</si>
  <si>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</si>
  <si>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</si>
  <si>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>плановий рік +1 рік</t>
  </si>
  <si>
    <t>плановий рік +2 роки</t>
  </si>
  <si>
    <t>плановий рік +3 роки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</si>
  <si>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</si>
  <si>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r>
      <t xml:space="preserve">                             Керівник </t>
    </r>
    <r>
      <rPr>
        <sz val="14"/>
        <rFont val="Times New Roman"/>
        <family val="1"/>
        <charset val="204"/>
      </rPr>
      <t xml:space="preserve"> _____________________________________</t>
    </r>
  </si>
  <si>
    <t xml:space="preserve">                (ініціали, прізвище)    </t>
  </si>
  <si>
    <t>директор</t>
  </si>
  <si>
    <t>працівники</t>
  </si>
  <si>
    <t>Найменування показника</t>
  </si>
  <si>
    <t>Інформація згідно із стратегічним планом розвитку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</si>
  <si>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</si>
  <si>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</si>
  <si>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</si>
  <si>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Усього зобов'язання і забезпечення</t>
  </si>
  <si>
    <t>Усього активи</t>
  </si>
  <si>
    <t>Доходи і витрати (деталізація)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</si>
  <si>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</si>
  <si>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</si>
  <si>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 (рядок 1100)</t>
  </si>
  <si>
    <t>плюс амортизація (рядок 1530)</t>
  </si>
  <si>
    <t>мінус операційні доходи від курсових різниць (рядок 1031)</t>
  </si>
  <si>
    <t>плюс операційні витрати від курсових різниць (рядок 1084)</t>
  </si>
  <si>
    <t>Інші операційні доходи/витрати
(рядок 1030 - рядок 1080)</t>
  </si>
  <si>
    <t>Надходження</t>
  </si>
  <si>
    <t xml:space="preserve">Надходження </t>
  </si>
  <si>
    <t>Витрати</t>
  </si>
  <si>
    <t>Ковенанти/обмежувальні коефіцієнти</t>
  </si>
  <si>
    <t>Фонд оплати праці, тис. гривень, у тому числі:</t>
  </si>
  <si>
    <t>Витрати на оплату праці, тис. гривень, у тому числі:</t>
  </si>
  <si>
    <t>Плановий рік до плану поточного року, %</t>
  </si>
  <si>
    <t>Плановий рік до факту минулого року, %</t>
  </si>
  <si>
    <t>адміністративно-управлінський персонал</t>
  </si>
  <si>
    <t>Незавершене будівництво на початок планового року</t>
  </si>
  <si>
    <t>власні кошти</t>
  </si>
  <si>
    <t>кредитні кошти</t>
  </si>
  <si>
    <t>інші джерела (зазначити джерело)</t>
  </si>
  <si>
    <t>Документ, яким затверджений титул будови, із зазначенням органу, який його погодив</t>
  </si>
  <si>
    <t>У тому числі за їх видами</t>
  </si>
  <si>
    <t xml:space="preserve">                    (підпис)</t>
  </si>
  <si>
    <r>
      <t xml:space="preserve">Керівник </t>
    </r>
    <r>
      <rPr>
        <sz val="14"/>
        <rFont val="Times New Roman"/>
        <family val="1"/>
        <charset val="204"/>
      </rPr>
      <t>______________________________</t>
    </r>
  </si>
  <si>
    <t xml:space="preserve">                                     (посада)</t>
  </si>
  <si>
    <r>
      <t xml:space="preserve">Керівник </t>
    </r>
    <r>
      <rPr>
        <sz val="14"/>
        <rFont val="Times New Roman"/>
        <family val="1"/>
        <charset val="204"/>
      </rPr>
      <t>_______________________________</t>
    </r>
  </si>
  <si>
    <t xml:space="preserve">Найменування об’єктів </t>
  </si>
  <si>
    <t>Власні кошти (розшифрувати)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</si>
  <si>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</si>
  <si>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</si>
  <si>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</si>
  <si>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</si>
  <si>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Коефіцієнт відношення боргу до EBITDA
(довгострокові зобов'язання, рядок 6040 + поточні зобов'язання, рядок 6050 / EBITDA, рядок 1410)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</si>
  <si>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</si>
  <si>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</si>
  <si>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</si>
  <si>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Коефіцієнт відношення капітальних інвестицій до чистого доходу (виручки) від реалізації продукції (товарів, робіт, послуг)
(рядок 4000 / рядок 1000)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</si>
  <si>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</si>
  <si>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</si>
  <si>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</si>
  <si>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</si>
  <si>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</si>
  <si>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</si>
  <si>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</si>
  <si>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</si>
  <si>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 xml:space="preserve"> У разі збільшення витрат на оплату праці в плановому році порівняно з установленим рівнем поточного року та фактом попереднього року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</si>
  <si>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</si>
  <si>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Найменування підприємства</t>
  </si>
  <si>
    <t>Питома вага в загальному обсязі реалізації, %</t>
  </si>
  <si>
    <t>чистий дохід  від реалізації продукції (товарів, робіт, послуг),     тис. гривень</t>
  </si>
  <si>
    <t>кількість продукції/             наданих послуг, одиниця виміру</t>
  </si>
  <si>
    <t>ціна одиниці     (вартість  продукції/     наданих послуг), гривень</t>
  </si>
  <si>
    <t>Дата видачі/погашення (графік)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</si>
  <si>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</si>
  <si>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</si>
  <si>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</si>
  <si>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 xml:space="preserve">у тому числі </t>
  </si>
  <si>
    <t>Рік початку                і закінчення будівництва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</si>
  <si>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</si>
  <si>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 xml:space="preserve">               (підпис)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</si>
  <si>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</si>
  <si>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</si>
  <si>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</si>
  <si>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</si>
  <si>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</si>
  <si>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</si>
  <si>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</si>
  <si>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</si>
  <si>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 xml:space="preserve">      Загальна інформація про підприємство (резюме)</t>
  </si>
  <si>
    <t>Мета використання</t>
  </si>
  <si>
    <t>освоєння капітальних вкладень</t>
  </si>
  <si>
    <t>фінансування капітальних інвестицій (оплата грошовими коштами), усього</t>
  </si>
  <si>
    <t>М. П.</t>
  </si>
  <si>
    <t>План з повернення коштів</t>
  </si>
  <si>
    <t>мінус/плюс значні нетипові операційні доходи/витрати (розшифрувати)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</si>
  <si>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</si>
  <si>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</si>
  <si>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</si>
  <si>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</si>
  <si>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План із залучення коштів</t>
  </si>
  <si>
    <t>плановий рік
+4 роки</t>
  </si>
  <si>
    <t>Податок на додану вартість нарахований/до відшкодування
(з мінусом)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</si>
  <si>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</si>
  <si>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</si>
  <si>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</si>
  <si>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Відрахування частини чистого прибутку</t>
  </si>
  <si>
    <t>Сплата інших податків, зборів, обов'язкових платежів до державного та місцевих бюджетів</t>
  </si>
  <si>
    <t>Усього виплат</t>
  </si>
  <si>
    <t>Усього доходів (рядок 1000 + рядок 1030 + рядок 1110 + рядок 1120+ рядок 1150)</t>
  </si>
  <si>
    <t>Усього витрат (рядок 1010 + рядок 1040 + рядок 1070 + рядок 1080 + рядок 1130 + рядок 1140 + рядок 1160 + рядок 1180 + рядок 1190)</t>
  </si>
  <si>
    <t>План</t>
  </si>
  <si>
    <t>І   квартал</t>
  </si>
  <si>
    <t>півріччя</t>
  </si>
  <si>
    <t>9 місяців</t>
  </si>
  <si>
    <t>Таблиця IІ. Розрахунки з бюджетом</t>
  </si>
  <si>
    <t>Таблиця I. Формування фінансових результатів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</si>
  <si>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</si>
  <si>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</si>
  <si>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Таблиця ІІІ. Рух грошових коштів</t>
  </si>
  <si>
    <t>І  квартал</t>
  </si>
  <si>
    <t>І квартал</t>
  </si>
  <si>
    <t xml:space="preserve">І квартал </t>
  </si>
  <si>
    <t>РОЗГЛЯНУТО __________________________________________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</si>
  <si>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</si>
  <si>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 xml:space="preserve">(прізвище, ініціали та підпис керівника виконавчого органу міської ради відповідно до підпорядкованості, який розглянув фінансовий план) </t>
  </si>
  <si>
    <t>ЗАТВЕРДЖЕНО ______________________________</t>
  </si>
  <si>
    <t xml:space="preserve">(дата та номер рішення виконавчого </t>
  </si>
  <si>
    <t>комітету міської ради)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</si>
  <si>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</si>
  <si>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Одиниця виміру, тис. гривень без десяткових знаків</t>
  </si>
  <si>
    <t xml:space="preserve">                      (посада)</t>
  </si>
  <si>
    <t>військовий збір</t>
  </si>
  <si>
    <t>Ставка ЄСВ</t>
  </si>
  <si>
    <t>Ставка ЄСВ для інвалідів</t>
  </si>
  <si>
    <t>Відрахування</t>
  </si>
  <si>
    <t>Утримання</t>
  </si>
  <si>
    <t>ПДФО</t>
  </si>
  <si>
    <t>Військовий збір</t>
  </si>
  <si>
    <t>ФОП інвалідів</t>
  </si>
  <si>
    <t>ФОП (загальний)</t>
  </si>
  <si>
    <t>Податок на доходи фізичних осіб</t>
  </si>
  <si>
    <t>2147/1</t>
  </si>
  <si>
    <t>1000/1</t>
  </si>
  <si>
    <t>1076/1</t>
  </si>
  <si>
    <t>Фактичний показник за 2018 рік</t>
  </si>
  <si>
    <t>Плановий показник поточного 2019 року</t>
  </si>
  <si>
    <t>Фактичний показник поточного року за останній звітний період 2019 року</t>
  </si>
  <si>
    <t>Плановий 2020 рік</t>
  </si>
  <si>
    <t xml:space="preserve"> (посада)</t>
  </si>
  <si>
    <r>
      <t xml:space="preserve">Керівник </t>
    </r>
    <r>
      <rPr>
        <sz val="14"/>
        <rFont val="Times New Roman"/>
        <family val="1"/>
        <charset val="204"/>
      </rPr>
      <t xml:space="preserve"> ________________________________</t>
    </r>
  </si>
  <si>
    <r>
      <t xml:space="preserve">Керівник </t>
    </r>
    <r>
      <rPr>
        <sz val="14"/>
        <rFont val="Times New Roman"/>
        <family val="1"/>
        <charset val="204"/>
      </rPr>
      <t>__________________________________</t>
    </r>
  </si>
  <si>
    <t>___________________________</t>
  </si>
  <si>
    <r>
      <t xml:space="preserve">ФІНАНСОВИЙ ПЛАН ПІДПРИЄМСТВА НА </t>
    </r>
    <r>
      <rPr>
        <b/>
        <u/>
        <sz val="14"/>
        <rFont val="Times New Roman"/>
        <family val="1"/>
        <charset val="204"/>
      </rPr>
      <t>2020</t>
    </r>
    <r>
      <rPr>
        <b/>
        <sz val="14"/>
        <rFont val="Times New Roman"/>
        <family val="1"/>
        <charset val="204"/>
      </rPr>
      <t xml:space="preserve">  рік</t>
    </r>
  </si>
  <si>
    <t xml:space="preserve">Комунальне підприємство "Контакт" </t>
  </si>
  <si>
    <t xml:space="preserve">Комунальне підприємство </t>
  </si>
  <si>
    <t>м. Дніпро , Шевченківський  район</t>
  </si>
  <si>
    <t>Міські,районні у містах ради  та їх виконавчі комітети</t>
  </si>
  <si>
    <t>Сфера послуг і споживчого ринку</t>
  </si>
  <si>
    <t>Постачання інших готових страв</t>
  </si>
  <si>
    <t>комунальна</t>
  </si>
  <si>
    <t>49000, м. Дніпро ,пр.Дмитра Яворницького ,75</t>
  </si>
  <si>
    <t>(056)744-62-80, (097)361-84-11</t>
  </si>
  <si>
    <t>Мусатова Олена Сергіївна</t>
  </si>
  <si>
    <t>56.29</t>
  </si>
  <si>
    <t>Реалізація продукції власного виробництва</t>
  </si>
  <si>
    <t>до фінансового плану на   2020   рік</t>
  </si>
  <si>
    <t>КП "Контакт" ДМР</t>
  </si>
  <si>
    <r>
      <rPr>
        <u/>
        <sz val="14"/>
        <rFont val="Times New Roman"/>
        <family val="1"/>
        <charset val="204"/>
      </rPr>
      <t xml:space="preserve">_   </t>
    </r>
    <r>
      <rPr>
        <i/>
        <u/>
        <sz val="14"/>
        <rFont val="Times New Roman"/>
        <family val="1"/>
        <charset val="204"/>
      </rPr>
      <t xml:space="preserve">Мусатова О.С.  </t>
    </r>
  </si>
  <si>
    <r>
      <t>_</t>
    </r>
    <r>
      <rPr>
        <i/>
        <u/>
        <sz val="14"/>
        <rFont val="Times New Roman"/>
        <family val="1"/>
        <charset val="204"/>
      </rPr>
      <t xml:space="preserve">   Мусатова  О.С.   </t>
    </r>
  </si>
  <si>
    <t xml:space="preserve">__Мусатова О.С.   </t>
  </si>
  <si>
    <t>1030/1</t>
  </si>
  <si>
    <t>1018/1</t>
  </si>
  <si>
    <t>1018/2</t>
  </si>
  <si>
    <t>1085/1</t>
  </si>
  <si>
    <t>1085/2</t>
  </si>
  <si>
    <t>3050/1</t>
  </si>
  <si>
    <t>3060/1</t>
  </si>
  <si>
    <t>поточна кредиторська заборгованість, доходи майбутніх періодів, інші поточні зобовязання</t>
  </si>
  <si>
    <t>коригування суми непокритого збитку</t>
  </si>
  <si>
    <t>3030/1</t>
  </si>
  <si>
    <t>3570/1</t>
  </si>
  <si>
    <t>зменшення додаткового капіталу</t>
  </si>
  <si>
    <t>3030/2</t>
  </si>
  <si>
    <t>коригування суми амортизаційних відрахувань</t>
  </si>
  <si>
    <t>запаси, дебіторська заборгованість, витрати майбутніх періодів, інші оборотні активи</t>
  </si>
  <si>
    <t>1062/1</t>
  </si>
  <si>
    <t>1062/2</t>
  </si>
  <si>
    <t>1076/2</t>
  </si>
  <si>
    <t>1076/3</t>
  </si>
  <si>
    <t>1150/1</t>
  </si>
  <si>
    <t xml:space="preserve">Кількість </t>
  </si>
  <si>
    <t>Місячний</t>
  </si>
  <si>
    <t>штатних</t>
  </si>
  <si>
    <t>фонд</t>
  </si>
  <si>
    <t>Доплата</t>
  </si>
  <si>
    <t>Всего</t>
  </si>
  <si>
    <t>п/п</t>
  </si>
  <si>
    <t xml:space="preserve">      Посада</t>
  </si>
  <si>
    <t>Оклад</t>
  </si>
  <si>
    <t>одиниць</t>
  </si>
  <si>
    <t>оплати</t>
  </si>
  <si>
    <t>Адміністрація :</t>
  </si>
  <si>
    <t>1.</t>
  </si>
  <si>
    <t>Директор</t>
  </si>
  <si>
    <t>2.</t>
  </si>
  <si>
    <t>Гол.бухгалтер</t>
  </si>
  <si>
    <t>3.</t>
  </si>
  <si>
    <t>Інженер по охрані праці</t>
  </si>
  <si>
    <t>Ітого :</t>
  </si>
  <si>
    <t>Производство:</t>
  </si>
  <si>
    <t>Зав.производством</t>
  </si>
  <si>
    <t>Бухгалтер</t>
  </si>
  <si>
    <t>Кухар 5 розряду</t>
  </si>
  <si>
    <t>Кухар 4 розряду</t>
  </si>
  <si>
    <t>Кухар 3 розряду</t>
  </si>
  <si>
    <t>Торговый зал :</t>
  </si>
  <si>
    <t>9.</t>
  </si>
  <si>
    <t xml:space="preserve">Адміністратор </t>
  </si>
  <si>
    <t>Касир</t>
  </si>
  <si>
    <t>Мойщик посуду</t>
  </si>
  <si>
    <t>Прибиральщик приміщень</t>
  </si>
  <si>
    <t>Підготовник харчової сировини</t>
  </si>
  <si>
    <t>Разнорабочая</t>
  </si>
  <si>
    <t>Ітого:</t>
  </si>
  <si>
    <t>Всього :</t>
  </si>
  <si>
    <t>надбавки</t>
  </si>
  <si>
    <t>Іквартал</t>
  </si>
  <si>
    <t>9місяців</t>
  </si>
  <si>
    <t>собівартість</t>
  </si>
  <si>
    <t>єсв</t>
  </si>
  <si>
    <t>адмін</t>
  </si>
  <si>
    <t>збут</t>
  </si>
  <si>
    <t>інваліди</t>
  </si>
  <si>
    <t>фоп</t>
  </si>
  <si>
    <t>есв</t>
  </si>
  <si>
    <t>таблиця 6.1</t>
  </si>
  <si>
    <t>Фонд оплати праці</t>
  </si>
  <si>
    <t>АУП</t>
  </si>
  <si>
    <t>Витрати з оплати праці</t>
  </si>
  <si>
    <t>Середньомісячна ЗП</t>
  </si>
  <si>
    <t>Середньомісячний дохід</t>
  </si>
  <si>
    <t>витрати на водопостачання і водовідведення</t>
  </si>
  <si>
    <t>додаткові матеріали /упаковка/</t>
  </si>
  <si>
    <t>фінансова підтримка з бюджету (поповнення обігових коштів) для сплати за ком.послуги (ел.енергія, вода,</t>
  </si>
  <si>
    <t>програмне забезпечення, канцтовари,бланки</t>
  </si>
  <si>
    <t>серветки,миючі засоби, кас.стрічка</t>
  </si>
  <si>
    <t>утримання і опалення приміщення</t>
  </si>
  <si>
    <t>дохід від безоплатно отриманого обладнання</t>
  </si>
  <si>
    <t>відсотки банку за операції по терміналу</t>
  </si>
  <si>
    <t>витрати на паливо</t>
  </si>
  <si>
    <t>Середньооблікова кількість штатних працівників  18</t>
  </si>
  <si>
    <t>Керуючий справами виконавчого комітету міської ради</t>
  </si>
  <si>
    <t>директор департаменту забезпечення діяльності виконавчих</t>
  </si>
  <si>
    <t>виконавчих органів Дніпровської міської ради</t>
  </si>
  <si>
    <t>_____________________ А.В. Кучеренко</t>
  </si>
  <si>
    <r>
      <t>ПОГОДЖЕНО                                                                            Секретар міської ради _______________ О.О. Санжара (</t>
    </r>
    <r>
      <rPr>
        <sz val="9"/>
        <rFont val="Times New Roman"/>
        <family val="1"/>
        <charset val="204"/>
      </rPr>
      <t>прізвище та ініціали та підпис заступника міського голови за напрямом діяльності  підприємства)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</si>
</sst>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  <numFmt numFmtId="179" formatCode="0.000"/>
    <numFmt numFmtId="180" formatCode="_-* #,##0_₴_-;\-* #,##0_₴_-;_-* &quot;-&quot;??_₴_-;_-@_-"/>
  </numFmts>
  <fonts count="8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u/>
      <sz val="14"/>
      <name val="Times New Roman"/>
      <family val="1"/>
      <charset val="204"/>
    </font>
    <font>
      <i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20"/>
      <color indexed="81"/>
      <name val="Tahoma"/>
      <family val="2"/>
      <charset val="204"/>
    </font>
    <font>
      <sz val="14"/>
      <color theme="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54"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3" fillId="2" borderId="0" applyNumberFormat="0" applyBorder="0" applyAlignment="0" applyProtection="0"/>
    <xf numFmtId="0" fontId="1" fillId="2" borderId="0" applyNumberFormat="0" applyBorder="0" applyAlignment="0" applyProtection="0"/>
    <xf numFmtId="0" fontId="33" fillId="3" borderId="0" applyNumberFormat="0" applyBorder="0" applyAlignment="0" applyProtection="0"/>
    <xf numFmtId="0" fontId="1" fillId="3" borderId="0" applyNumberFormat="0" applyBorder="0" applyAlignment="0" applyProtection="0"/>
    <xf numFmtId="0" fontId="33" fillId="4" borderId="0" applyNumberFormat="0" applyBorder="0" applyAlignment="0" applyProtection="0"/>
    <xf numFmtId="0" fontId="1" fillId="4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6" borderId="0" applyNumberFormat="0" applyBorder="0" applyAlignment="0" applyProtection="0"/>
    <xf numFmtId="0" fontId="1" fillId="6" borderId="0" applyNumberFormat="0" applyBorder="0" applyAlignment="0" applyProtection="0"/>
    <xf numFmtId="0" fontId="33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9" borderId="0" applyNumberFormat="0" applyBorder="0" applyAlignment="0" applyProtection="0"/>
    <xf numFmtId="0" fontId="1" fillId="9" borderId="0" applyNumberFormat="0" applyBorder="0" applyAlignment="0" applyProtection="0"/>
    <xf numFmtId="0" fontId="33" fillId="10" borderId="0" applyNumberFormat="0" applyBorder="0" applyAlignment="0" applyProtection="0"/>
    <xf numFmtId="0" fontId="1" fillId="10" borderId="0" applyNumberFormat="0" applyBorder="0" applyAlignment="0" applyProtection="0"/>
    <xf numFmtId="0" fontId="33" fillId="5" borderId="0" applyNumberFormat="0" applyBorder="0" applyAlignment="0" applyProtection="0"/>
    <xf numFmtId="0" fontId="1" fillId="5" borderId="0" applyNumberFormat="0" applyBorder="0" applyAlignment="0" applyProtection="0"/>
    <xf numFmtId="0" fontId="33" fillId="8" borderId="0" applyNumberFormat="0" applyBorder="0" applyAlignment="0" applyProtection="0"/>
    <xf numFmtId="0" fontId="1" fillId="8" borderId="0" applyNumberFormat="0" applyBorder="0" applyAlignment="0" applyProtection="0"/>
    <xf numFmtId="0" fontId="33" fillId="11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16" fillId="12" borderId="0" applyNumberFormat="0" applyBorder="0" applyAlignment="0" applyProtection="0"/>
    <xf numFmtId="0" fontId="34" fillId="9" borderId="0" applyNumberFormat="0" applyBorder="0" applyAlignment="0" applyProtection="0"/>
    <xf numFmtId="0" fontId="16" fillId="9" borderId="0" applyNumberFormat="0" applyBorder="0" applyAlignment="0" applyProtection="0"/>
    <xf numFmtId="0" fontId="34" fillId="10" borderId="0" applyNumberFormat="0" applyBorder="0" applyAlignment="0" applyProtection="0"/>
    <xf numFmtId="0" fontId="16" fillId="10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27" fillId="3" borderId="0" applyNumberFormat="0" applyBorder="0" applyAlignment="0" applyProtection="0"/>
    <xf numFmtId="0" fontId="19" fillId="20" borderId="1" applyNumberFormat="0" applyAlignment="0" applyProtection="0"/>
    <xf numFmtId="0" fontId="24" fillId="21" borderId="2" applyNumberFormat="0" applyAlignment="0" applyProtection="0"/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49" fontId="35" fillId="0" borderId="3">
      <alignment horizontal="center" vertical="center"/>
      <protection locked="0"/>
    </xf>
    <xf numFmtId="168" fontId="13" fillId="0" borderId="0" applyFont="0" applyFill="0" applyBorder="0" applyAlignment="0" applyProtection="0"/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49" fontId="13" fillId="0" borderId="3">
      <alignment horizontal="left" vertical="center"/>
      <protection locked="0"/>
    </xf>
    <xf numFmtId="0" fontId="28" fillId="0" borderId="0" applyNumberFormat="0" applyFill="0" applyBorder="0" applyAlignment="0" applyProtection="0"/>
    <xf numFmtId="171" fontId="36" fillId="0" borderId="0" applyAlignment="0">
      <alignment wrapText="1"/>
    </xf>
    <xf numFmtId="0" fontId="31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13" fillId="0" borderId="0" applyNumberFormat="0" applyFont="0" applyAlignment="0">
      <alignment vertical="top" wrapText="1"/>
      <protection locked="0"/>
    </xf>
    <xf numFmtId="49" fontId="38" fillId="22" borderId="7">
      <alignment horizontal="left" vertical="center"/>
      <protection locked="0"/>
    </xf>
    <xf numFmtId="49" fontId="38" fillId="22" borderId="7">
      <alignment horizontal="left" vertical="center"/>
    </xf>
    <xf numFmtId="4" fontId="38" fillId="22" borderId="7">
      <alignment horizontal="right" vertical="center"/>
      <protection locked="0"/>
    </xf>
    <xf numFmtId="4" fontId="38" fillId="22" borderId="7">
      <alignment horizontal="right" vertical="center"/>
    </xf>
    <xf numFmtId="4" fontId="39" fillId="22" borderId="7">
      <alignment horizontal="right" vertical="center"/>
      <protection locked="0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" fontId="40" fillId="22" borderId="3">
      <alignment horizontal="right" vertical="center"/>
      <protection locked="0"/>
    </xf>
    <xf numFmtId="4" fontId="40" fillId="22" borderId="3">
      <alignment horizontal="right" vertical="center"/>
    </xf>
    <xf numFmtId="4" fontId="42" fillId="22" borderId="3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5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5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3" fillId="22" borderId="3">
      <alignment horizontal="left" vertical="center"/>
      <protection locked="0"/>
    </xf>
    <xf numFmtId="49" fontId="43" fillId="22" borderId="3">
      <alignment horizontal="left" vertical="center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" fontId="43" fillId="22" borderId="3">
      <alignment horizontal="right" vertical="center"/>
      <protection locked="0"/>
    </xf>
    <xf numFmtId="4" fontId="43" fillId="22" borderId="3">
      <alignment horizontal="right" vertical="center"/>
    </xf>
    <xf numFmtId="4" fontId="45" fillId="22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" fontId="47" fillId="0" borderId="3">
      <alignment horizontal="right" vertical="center"/>
      <protection locked="0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" fontId="48" fillId="0" borderId="3">
      <alignment horizontal="right" vertical="center"/>
      <protection locked="0"/>
    </xf>
    <xf numFmtId="4" fontId="48" fillId="0" borderId="3">
      <alignment horizontal="right" vertical="center"/>
    </xf>
    <xf numFmtId="49" fontId="46" fillId="0" borderId="3">
      <alignment horizontal="left" vertical="center"/>
      <protection locked="0"/>
    </xf>
    <xf numFmtId="49" fontId="47" fillId="0" borderId="3">
      <alignment horizontal="left" vertical="center"/>
      <protection locked="0"/>
    </xf>
    <xf numFmtId="4" fontId="46" fillId="0" borderId="3">
      <alignment horizontal="right" vertical="center"/>
      <protection locked="0"/>
    </xf>
    <xf numFmtId="0" fontId="29" fillId="0" borderId="8" applyNumberFormat="0" applyFill="0" applyAlignment="0" applyProtection="0"/>
    <xf numFmtId="0" fontId="26" fillId="23" borderId="0" applyNumberFormat="0" applyBorder="0" applyAlignment="0" applyProtection="0"/>
    <xf numFmtId="0" fontId="13" fillId="0" borderId="0"/>
    <xf numFmtId="0" fontId="13" fillId="0" borderId="0"/>
    <xf numFmtId="0" fontId="13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0" fillId="26" borderId="3">
      <alignment horizontal="right" vertical="center"/>
      <protection locked="0"/>
    </xf>
    <xf numFmtId="4" fontId="50" fillId="27" borderId="3">
      <alignment horizontal="right" vertical="center"/>
      <protection locked="0"/>
    </xf>
    <xf numFmtId="4" fontId="50" fillId="28" borderId="3">
      <alignment horizontal="right" vertical="center"/>
      <protection locked="0"/>
    </xf>
    <xf numFmtId="0" fontId="18" fillId="20" borderId="10" applyNumberFormat="0" applyAlignment="0" applyProtection="0"/>
    <xf numFmtId="49" fontId="35" fillId="0" borderId="3">
      <alignment horizontal="left" vertical="center" wrapText="1"/>
      <protection locked="0"/>
    </xf>
    <xf numFmtId="49" fontId="35" fillId="0" borderId="3">
      <alignment horizontal="left" vertical="center" wrapText="1"/>
      <protection locked="0"/>
    </xf>
    <xf numFmtId="0" fontId="25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30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16" fillId="16" borderId="0" applyNumberFormat="0" applyBorder="0" applyAlignment="0" applyProtection="0"/>
    <xf numFmtId="0" fontId="34" fillId="17" borderId="0" applyNumberFormat="0" applyBorder="0" applyAlignment="0" applyProtection="0"/>
    <xf numFmtId="0" fontId="16" fillId="17" borderId="0" applyNumberFormat="0" applyBorder="0" applyAlignment="0" applyProtection="0"/>
    <xf numFmtId="0" fontId="34" fillId="18" borderId="0" applyNumberFormat="0" applyBorder="0" applyAlignment="0" applyProtection="0"/>
    <xf numFmtId="0" fontId="16" fillId="18" borderId="0" applyNumberFormat="0" applyBorder="0" applyAlignment="0" applyProtection="0"/>
    <xf numFmtId="0" fontId="34" fillId="13" borderId="0" applyNumberFormat="0" applyBorder="0" applyAlignment="0" applyProtection="0"/>
    <xf numFmtId="0" fontId="16" fillId="13" borderId="0" applyNumberFormat="0" applyBorder="0" applyAlignment="0" applyProtection="0"/>
    <xf numFmtId="0" fontId="34" fillId="14" borderId="0" applyNumberFormat="0" applyBorder="0" applyAlignment="0" applyProtection="0"/>
    <xf numFmtId="0" fontId="16" fillId="14" borderId="0" applyNumberFormat="0" applyBorder="0" applyAlignment="0" applyProtection="0"/>
    <xf numFmtId="0" fontId="34" fillId="19" borderId="0" applyNumberFormat="0" applyBorder="0" applyAlignment="0" applyProtection="0"/>
    <xf numFmtId="0" fontId="16" fillId="19" borderId="0" applyNumberFormat="0" applyBorder="0" applyAlignment="0" applyProtection="0"/>
    <xf numFmtId="0" fontId="51" fillId="7" borderId="1" applyNumberFormat="0" applyAlignment="0" applyProtection="0"/>
    <xf numFmtId="0" fontId="17" fillId="7" borderId="1" applyNumberFormat="0" applyAlignment="0" applyProtection="0"/>
    <xf numFmtId="0" fontId="52" fillId="20" borderId="10" applyNumberFormat="0" applyAlignment="0" applyProtection="0"/>
    <xf numFmtId="0" fontId="18" fillId="20" borderId="10" applyNumberFormat="0" applyAlignment="0" applyProtection="0"/>
    <xf numFmtId="0" fontId="53" fillId="20" borderId="1" applyNumberFormat="0" applyAlignment="0" applyProtection="0"/>
    <xf numFmtId="0" fontId="19" fillId="20" borderId="1" applyNumberFormat="0" applyAlignment="0" applyProtection="0"/>
    <xf numFmtId="172" fontId="13" fillId="0" borderId="0" applyFont="0" applyFill="0" applyBorder="0" applyAlignment="0" applyProtection="0"/>
    <xf numFmtId="0" fontId="54" fillId="0" borderId="4" applyNumberFormat="0" applyFill="0" applyAlignment="0" applyProtection="0"/>
    <xf numFmtId="0" fontId="20" fillId="0" borderId="4" applyNumberFormat="0" applyFill="0" applyAlignment="0" applyProtection="0"/>
    <xf numFmtId="0" fontId="55" fillId="0" borderId="5" applyNumberFormat="0" applyFill="0" applyAlignment="0" applyProtection="0"/>
    <xf numFmtId="0" fontId="21" fillId="0" borderId="5" applyNumberFormat="0" applyFill="0" applyAlignment="0" applyProtection="0"/>
    <xf numFmtId="0" fontId="56" fillId="0" borderId="6" applyNumberFormat="0" applyFill="0" applyAlignment="0" applyProtection="0"/>
    <xf numFmtId="0" fontId="22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7" fillId="0" borderId="11" applyNumberFormat="0" applyFill="0" applyAlignment="0" applyProtection="0"/>
    <xf numFmtId="0" fontId="23" fillId="0" borderId="11" applyNumberFormat="0" applyFill="0" applyAlignment="0" applyProtection="0"/>
    <xf numFmtId="0" fontId="58" fillId="21" borderId="2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9" fillId="23" borderId="0" applyNumberFormat="0" applyBorder="0" applyAlignment="0" applyProtection="0"/>
    <xf numFmtId="0" fontId="26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" fillId="0" borderId="0"/>
    <xf numFmtId="0" fontId="80" fillId="0" borderId="0"/>
    <xf numFmtId="0" fontId="13" fillId="0" borderId="0"/>
    <xf numFmtId="0" fontId="2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 applyNumberFormat="0" applyFont="0" applyFill="0" applyBorder="0" applyAlignment="0" applyProtection="0">
      <alignment vertical="top"/>
    </xf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60" fillId="3" borderId="0" applyNumberFormat="0" applyBorder="0" applyAlignment="0" applyProtection="0"/>
    <xf numFmtId="0" fontId="27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2" fillId="25" borderId="9" applyNumberFormat="0" applyFont="0" applyAlignment="0" applyProtection="0"/>
    <xf numFmtId="0" fontId="13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3" fillId="0" borderId="8" applyNumberFormat="0" applyFill="0" applyAlignment="0" applyProtection="0"/>
    <xf numFmtId="0" fontId="29" fillId="0" borderId="8" applyNumberFormat="0" applyFill="0" applyAlignment="0" applyProtection="0"/>
    <xf numFmtId="0" fontId="32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3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7" fillId="4" borderId="0" applyNumberFormat="0" applyBorder="0" applyAlignment="0" applyProtection="0"/>
    <xf numFmtId="0" fontId="31" fillId="4" borderId="0" applyNumberFormat="0" applyBorder="0" applyAlignment="0" applyProtection="0"/>
    <xf numFmtId="176" fontId="68" fillId="22" borderId="12" applyFill="0" applyBorder="0">
      <alignment horizontal="center" vertical="center" wrapText="1"/>
      <protection locked="0"/>
    </xf>
    <xf numFmtId="171" fontId="69" fillId="0" borderId="0">
      <alignment wrapText="1"/>
    </xf>
    <xf numFmtId="171" fontId="36" fillId="0" borderId="0">
      <alignment wrapText="1"/>
    </xf>
  </cellStyleXfs>
  <cellXfs count="464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69" fontId="4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70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170" fontId="5" fillId="0" borderId="0" xfId="0" applyNumberFormat="1" applyFont="1" applyFill="1" applyAlignment="1">
      <alignment vertical="center"/>
    </xf>
    <xf numFmtId="0" fontId="12" fillId="0" borderId="0" xfId="0" applyFont="1" applyFill="1"/>
    <xf numFmtId="170" fontId="5" fillId="0" borderId="0" xfId="0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69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70" fontId="4" fillId="0" borderId="0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15" fillId="0" borderId="0" xfId="245" applyFont="1" applyFill="1"/>
    <xf numFmtId="0" fontId="6" fillId="0" borderId="0" xfId="0" applyFont="1" applyFill="1" applyAlignment="1">
      <alignment vertical="center"/>
    </xf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4" fillId="0" borderId="3" xfId="237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9" fontId="5" fillId="0" borderId="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237" applyNumberFormat="1" applyFont="1" applyFill="1" applyBorder="1" applyAlignment="1">
      <alignment horizontal="left" vertical="center" wrapText="1"/>
    </xf>
    <xf numFmtId="17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29" borderId="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182" applyFont="1" applyFill="1" applyBorder="1" applyAlignment="1" applyProtection="1">
      <alignment vertical="center" wrapText="1"/>
    </xf>
    <xf numFmtId="173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182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5" fillId="0" borderId="3" xfId="245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17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70" fillId="0" borderId="0" xfId="0" applyFont="1" applyAlignment="1" applyProtection="1">
      <alignment vertical="top" wrapText="1"/>
      <protection locked="0"/>
    </xf>
    <xf numFmtId="0" fontId="71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 applyProtection="1">
      <alignment horizontal="right" vertical="center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71" fillId="0" borderId="0" xfId="0" applyFont="1" applyFill="1" applyBorder="1" applyAlignment="1" applyProtection="1">
      <alignment horizontal="right" vertical="center" wrapText="1"/>
      <protection locked="0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Alignment="1" applyProtection="1">
      <alignment horizontal="center" vertical="center"/>
      <protection locked="0"/>
    </xf>
    <xf numFmtId="0" fontId="71" fillId="0" borderId="0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vertical="center"/>
      <protection locked="0"/>
    </xf>
    <xf numFmtId="0" fontId="71" fillId="0" borderId="15" xfId="0" applyFont="1" applyFill="1" applyBorder="1" applyAlignment="1" applyProtection="1">
      <alignment vertical="center"/>
      <protection locked="0"/>
    </xf>
    <xf numFmtId="0" fontId="71" fillId="0" borderId="16" xfId="0" applyFont="1" applyFill="1" applyBorder="1" applyAlignment="1" applyProtection="1">
      <alignment vertical="center"/>
      <protection locked="0"/>
    </xf>
    <xf numFmtId="0" fontId="71" fillId="0" borderId="3" xfId="0" applyFont="1" applyFill="1" applyBorder="1" applyAlignment="1" applyProtection="1">
      <alignment horizontal="left" vertical="center"/>
      <protection locked="0"/>
    </xf>
    <xf numFmtId="0" fontId="71" fillId="0" borderId="3" xfId="0" applyFont="1" applyFill="1" applyBorder="1" applyAlignment="1" applyProtection="1">
      <alignment horizontal="center" vertical="center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71" fillId="0" borderId="15" xfId="0" applyFont="1" applyFill="1" applyBorder="1" applyAlignment="1" applyProtection="1">
      <alignment vertical="center" wrapText="1"/>
      <protection locked="0"/>
    </xf>
    <xf numFmtId="0" fontId="71" fillId="0" borderId="16" xfId="0" applyFont="1" applyFill="1" applyBorder="1" applyAlignment="1" applyProtection="1">
      <alignment vertical="center" wrapText="1"/>
      <protection locked="0"/>
    </xf>
    <xf numFmtId="0" fontId="71" fillId="0" borderId="3" xfId="0" applyFont="1" applyFill="1" applyBorder="1" applyAlignment="1" applyProtection="1">
      <alignment vertical="center"/>
      <protection locked="0"/>
    </xf>
    <xf numFmtId="0" fontId="71" fillId="0" borderId="17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71" fillId="0" borderId="18" xfId="0" applyFont="1" applyFill="1" applyBorder="1" applyAlignment="1" applyProtection="1">
      <alignment vertical="center"/>
      <protection locked="0"/>
    </xf>
    <xf numFmtId="0" fontId="71" fillId="0" borderId="3" xfId="0" applyFont="1" applyFill="1" applyBorder="1" applyAlignment="1" applyProtection="1">
      <alignment vertical="center" wrapText="1"/>
      <protection locked="0"/>
    </xf>
    <xf numFmtId="17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quotePrefix="1" applyFont="1" applyFill="1" applyBorder="1" applyAlignment="1" applyProtection="1">
      <alignment horizontal="center" vertical="center"/>
      <protection locked="0"/>
    </xf>
    <xf numFmtId="170" fontId="6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 applyProtection="1">
      <alignment horizontal="center"/>
      <protection locked="0"/>
    </xf>
    <xf numFmtId="170" fontId="4" fillId="0" borderId="0" xfId="0" quotePrefix="1" applyNumberFormat="1" applyFont="1" applyFill="1" applyBorder="1" applyAlignment="1" applyProtection="1">
      <alignment horizontal="center"/>
      <protection locked="0"/>
    </xf>
    <xf numFmtId="17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45" applyFont="1" applyFill="1" applyBorder="1" applyAlignment="1" applyProtection="1">
      <alignment horizontal="left" vertical="center" wrapText="1"/>
      <protection locked="0"/>
    </xf>
    <xf numFmtId="0" fontId="5" fillId="0" borderId="0" xfId="245" applyFont="1" applyFill="1" applyBorder="1" applyAlignment="1" applyProtection="1">
      <alignment horizontal="center" vertical="center"/>
      <protection locked="0"/>
    </xf>
    <xf numFmtId="170" fontId="5" fillId="0" borderId="0" xfId="245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245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quotePrefix="1" applyFont="1" applyFill="1" applyBorder="1" applyAlignment="1" applyProtection="1">
      <alignment horizontal="center" vertical="center"/>
      <protection locked="0"/>
    </xf>
    <xf numFmtId="16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6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70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237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13" fillId="0" borderId="3" xfId="0" applyFont="1" applyFill="1" applyBorder="1" applyAlignment="1">
      <alignment horizontal="left" vertical="center" wrapText="1"/>
    </xf>
    <xf numFmtId="0" fontId="13" fillId="0" borderId="3" xfId="245" applyFont="1" applyFill="1" applyBorder="1" applyAlignment="1">
      <alignment horizontal="left" vertical="center" wrapText="1"/>
    </xf>
    <xf numFmtId="1" fontId="0" fillId="0" borderId="3" xfId="0" applyNumberFormat="1" applyBorder="1"/>
    <xf numFmtId="0" fontId="0" fillId="0" borderId="3" xfId="0" applyBorder="1"/>
    <xf numFmtId="0" fontId="75" fillId="0" borderId="3" xfId="0" applyFont="1" applyBorder="1" applyAlignment="1">
      <alignment horizontal="center"/>
    </xf>
    <xf numFmtId="0" fontId="0" fillId="0" borderId="3" xfId="0" applyBorder="1" applyAlignment="1">
      <alignment horizontal="left" vertical="center" wrapText="1"/>
    </xf>
    <xf numFmtId="10" fontId="0" fillId="0" borderId="3" xfId="0" applyNumberForma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30" borderId="3" xfId="0" applyFont="1" applyFill="1" applyBorder="1" applyAlignment="1">
      <alignment horizontal="left" wrapText="1"/>
    </xf>
    <xf numFmtId="0" fontId="75" fillId="31" borderId="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5" fillId="0" borderId="3" xfId="245" applyFont="1" applyFill="1" applyBorder="1" applyAlignment="1" applyProtection="1">
      <alignment horizontal="left" vertical="center" wrapText="1"/>
      <protection locked="0"/>
    </xf>
    <xf numFmtId="0" fontId="5" fillId="0" borderId="3" xfId="245" applyFont="1" applyFill="1" applyBorder="1" applyAlignment="1" applyProtection="1">
      <alignment horizontal="center" vertical="center" wrapText="1"/>
      <protection locked="0"/>
    </xf>
    <xf numFmtId="0" fontId="4" fillId="0" borderId="3" xfId="245" applyFont="1" applyFill="1" applyBorder="1" applyAlignment="1" applyProtection="1">
      <alignment horizontal="left" vertical="center" wrapText="1"/>
      <protection locked="0"/>
    </xf>
    <xf numFmtId="0" fontId="4" fillId="0" borderId="3" xfId="245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>
      <alignment horizontal="center" vertical="center" wrapText="1"/>
    </xf>
    <xf numFmtId="1" fontId="5" fillId="29" borderId="3" xfId="0" applyNumberFormat="1" applyFont="1" applyFill="1" applyBorder="1" applyAlignment="1" applyProtection="1">
      <alignment horizontal="center" vertical="center" wrapText="1"/>
    </xf>
    <xf numFmtId="2" fontId="5" fillId="29" borderId="3" xfId="0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2" fontId="5" fillId="29" borderId="3" xfId="237" applyNumberFormat="1" applyFont="1" applyFill="1" applyBorder="1" applyAlignment="1">
      <alignment horizontal="center" vertical="center" wrapText="1"/>
    </xf>
    <xf numFmtId="2" fontId="5" fillId="0" borderId="3" xfId="237" applyNumberFormat="1" applyFont="1" applyFill="1" applyBorder="1" applyAlignment="1" applyProtection="1">
      <alignment horizontal="center" vertical="center" wrapText="1"/>
      <protection locked="0"/>
    </xf>
    <xf numFmtId="2" fontId="5" fillId="0" borderId="3" xfId="237" applyNumberFormat="1" applyFont="1" applyFill="1" applyBorder="1" applyAlignment="1">
      <alignment horizontal="center" vertical="center" wrapText="1"/>
    </xf>
    <xf numFmtId="1" fontId="0" fillId="0" borderId="3" xfId="0" applyNumberFormat="1" applyFill="1" applyBorder="1"/>
    <xf numFmtId="0" fontId="0" fillId="0" borderId="3" xfId="0" applyFill="1" applyBorder="1" applyProtection="1">
      <protection locked="0"/>
    </xf>
    <xf numFmtId="10" fontId="76" fillId="30" borderId="3" xfId="0" applyNumberFormat="1" applyFont="1" applyFill="1" applyBorder="1" applyAlignment="1" applyProtection="1">
      <alignment horizontal="center" vertical="center" wrapText="1"/>
      <protection locked="0"/>
    </xf>
    <xf numFmtId="2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>
      <alignment vertical="center"/>
    </xf>
    <xf numFmtId="1" fontId="5" fillId="3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  <xf numFmtId="10" fontId="0" fillId="0" borderId="0" xfId="0" applyNumberFormat="1" applyBorder="1" applyAlignment="1">
      <alignment horizontal="center" vertical="center" wrapText="1"/>
    </xf>
    <xf numFmtId="0" fontId="75" fillId="32" borderId="0" xfId="0" applyFont="1" applyFill="1" applyBorder="1" applyAlignment="1">
      <alignment horizontal="left" wrapText="1"/>
    </xf>
    <xf numFmtId="0" fontId="0" fillId="0" borderId="0" xfId="0" applyFill="1" applyBorder="1" applyProtection="1">
      <protection locked="0"/>
    </xf>
    <xf numFmtId="10" fontId="76" fillId="31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5" fillId="0" borderId="3" xfId="0" quotePrefix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182" applyFont="1" applyFill="1" applyBorder="1" applyAlignment="1" applyProtection="1">
      <alignment horizontal="left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quotePrefix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horizontal="center" vertical="center" wrapText="1" shrinkToFit="1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3" xfId="0" applyNumberFormat="1" applyFont="1" applyFill="1" applyBorder="1" applyAlignment="1" applyProtection="1">
      <alignment horizontal="left" vertical="center" wrapText="1"/>
      <protection locked="0"/>
    </xf>
    <xf numFmtId="0" fontId="4" fillId="0" borderId="3" xfId="0" quotePrefix="1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left" vertical="center" wrapText="1" shrinkToFit="1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1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0" fillId="22" borderId="3" xfId="0" applyFont="1" applyFill="1" applyBorder="1" applyAlignment="1" applyProtection="1">
      <alignment horizontal="left" vertical="center" wrapText="1"/>
      <protection locked="0"/>
    </xf>
    <xf numFmtId="0" fontId="5" fillId="22" borderId="3" xfId="0" applyFont="1" applyFill="1" applyBorder="1" applyAlignment="1" applyProtection="1">
      <alignment horizontal="center" vertical="center"/>
      <protection locked="0"/>
    </xf>
    <xf numFmtId="0" fontId="5" fillId="22" borderId="3" xfId="0" applyNumberFormat="1" applyFont="1" applyFill="1" applyBorder="1" applyAlignment="1" applyProtection="1">
      <alignment horizontal="center" vertical="center" wrapText="1"/>
      <protection locked="0"/>
    </xf>
    <xf numFmtId="17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applyNumberFormat="1" applyFont="1" applyFill="1" applyBorder="1" applyAlignment="1" applyProtection="1">
      <alignment horizontal="center"/>
      <protection locked="0"/>
    </xf>
    <xf numFmtId="1" fontId="5" fillId="33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33" borderId="3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4" xfId="0" applyBorder="1" applyAlignment="1">
      <alignment horizontal="center"/>
    </xf>
    <xf numFmtId="0" fontId="0" fillId="0" borderId="26" xfId="0" applyBorder="1"/>
    <xf numFmtId="0" fontId="75" fillId="0" borderId="25" xfId="0" applyFont="1" applyBorder="1"/>
    <xf numFmtId="2" fontId="0" fillId="0" borderId="24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75" fillId="22" borderId="25" xfId="0" applyFont="1" applyFill="1" applyBorder="1"/>
    <xf numFmtId="2" fontId="75" fillId="0" borderId="24" xfId="0" applyNumberFormat="1" applyFont="1" applyBorder="1" applyAlignment="1">
      <alignment horizontal="center"/>
    </xf>
    <xf numFmtId="0" fontId="75" fillId="0" borderId="24" xfId="0" applyNumberFormat="1" applyFont="1" applyBorder="1" applyAlignment="1">
      <alignment horizontal="center"/>
    </xf>
    <xf numFmtId="2" fontId="75" fillId="0" borderId="24" xfId="0" applyNumberFormat="1" applyFont="1" applyBorder="1"/>
    <xf numFmtId="2" fontId="0" fillId="0" borderId="24" xfId="0" applyNumberFormat="1" applyBorder="1"/>
    <xf numFmtId="0" fontId="0" fillId="22" borderId="24" xfId="0" applyFill="1" applyBorder="1" applyAlignment="1">
      <alignment horizontal="center"/>
    </xf>
    <xf numFmtId="180" fontId="0" fillId="0" borderId="0" xfId="323" applyNumberFormat="1" applyFont="1"/>
    <xf numFmtId="180" fontId="0" fillId="0" borderId="0" xfId="0" applyNumberFormat="1"/>
    <xf numFmtId="0" fontId="0" fillId="32" borderId="24" xfId="0" applyFill="1" applyBorder="1" applyAlignment="1">
      <alignment horizontal="center"/>
    </xf>
    <xf numFmtId="2" fontId="0" fillId="32" borderId="24" xfId="0" applyNumberFormat="1" applyFill="1" applyBorder="1" applyAlignment="1">
      <alignment horizontal="center"/>
    </xf>
    <xf numFmtId="0" fontId="0" fillId="32" borderId="24" xfId="0" applyNumberFormat="1" applyFill="1" applyBorder="1" applyAlignment="1">
      <alignment horizontal="center"/>
    </xf>
    <xf numFmtId="0" fontId="0" fillId="32" borderId="0" xfId="0" applyFill="1"/>
    <xf numFmtId="0" fontId="75" fillId="32" borderId="25" xfId="0" applyFont="1" applyFill="1" applyBorder="1"/>
    <xf numFmtId="2" fontId="75" fillId="32" borderId="24" xfId="0" applyNumberFormat="1" applyFont="1" applyFill="1" applyBorder="1" applyAlignment="1">
      <alignment horizontal="center"/>
    </xf>
    <xf numFmtId="0" fontId="75" fillId="32" borderId="24" xfId="0" applyNumberFormat="1" applyFont="1" applyFill="1" applyBorder="1" applyAlignment="1">
      <alignment horizontal="center"/>
    </xf>
    <xf numFmtId="0" fontId="0" fillId="32" borderId="3" xfId="0" applyFill="1" applyBorder="1"/>
    <xf numFmtId="180" fontId="0" fillId="32" borderId="3" xfId="323" applyNumberFormat="1" applyFont="1" applyFill="1" applyBorder="1"/>
    <xf numFmtId="180" fontId="0" fillId="32" borderId="0" xfId="323" applyNumberFormat="1" applyFont="1" applyFill="1"/>
    <xf numFmtId="0" fontId="5" fillId="0" borderId="3" xfId="0" applyFont="1" applyFill="1" applyBorder="1" applyAlignment="1" applyProtection="1">
      <alignment horizontal="center" vertical="center"/>
      <protection locked="0"/>
    </xf>
    <xf numFmtId="0" fontId="0" fillId="34" borderId="25" xfId="0" applyFill="1" applyBorder="1" applyAlignment="1">
      <alignment wrapText="1"/>
    </xf>
    <xf numFmtId="0" fontId="5" fillId="32" borderId="3" xfId="0" applyFont="1" applyFill="1" applyBorder="1" applyAlignment="1" applyProtection="1">
      <alignment horizontal="left" vertical="center" wrapText="1"/>
      <protection locked="0"/>
    </xf>
    <xf numFmtId="49" fontId="5" fillId="32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5" borderId="3" xfId="0" applyFill="1" applyBorder="1"/>
    <xf numFmtId="180" fontId="0" fillId="35" borderId="3" xfId="323" applyNumberFormat="1" applyFont="1" applyFill="1" applyBorder="1"/>
    <xf numFmtId="0" fontId="0" fillId="37" borderId="3" xfId="0" applyFill="1" applyBorder="1"/>
    <xf numFmtId="180" fontId="0" fillId="37" borderId="3" xfId="323" applyNumberFormat="1" applyFont="1" applyFill="1" applyBorder="1"/>
    <xf numFmtId="0" fontId="0" fillId="38" borderId="3" xfId="0" applyFill="1" applyBorder="1"/>
    <xf numFmtId="180" fontId="0" fillId="38" borderId="3" xfId="323" applyNumberFormat="1" applyFont="1" applyFill="1" applyBorder="1"/>
    <xf numFmtId="0" fontId="0" fillId="39" borderId="25" xfId="0" applyFill="1" applyBorder="1"/>
    <xf numFmtId="2" fontId="0" fillId="39" borderId="24" xfId="0" applyNumberFormat="1" applyFill="1" applyBorder="1" applyAlignment="1">
      <alignment horizontal="center"/>
    </xf>
    <xf numFmtId="0" fontId="0" fillId="39" borderId="24" xfId="0" applyNumberFormat="1" applyFill="1" applyBorder="1" applyAlignment="1">
      <alignment horizontal="center"/>
    </xf>
    <xf numFmtId="2" fontId="0" fillId="39" borderId="24" xfId="0" applyNumberFormat="1" applyFill="1" applyBorder="1"/>
    <xf numFmtId="0" fontId="0" fillId="39" borderId="0" xfId="0" applyFill="1"/>
    <xf numFmtId="0" fontId="0" fillId="40" borderId="25" xfId="0" applyFont="1" applyFill="1" applyBorder="1"/>
    <xf numFmtId="2" fontId="0" fillId="40" borderId="24" xfId="0" applyNumberFormat="1" applyFill="1" applyBorder="1" applyAlignment="1">
      <alignment horizontal="center"/>
    </xf>
    <xf numFmtId="0" fontId="0" fillId="40" borderId="24" xfId="0" applyNumberFormat="1" applyFill="1" applyBorder="1" applyAlignment="1">
      <alignment horizontal="center"/>
    </xf>
    <xf numFmtId="2" fontId="0" fillId="40" borderId="24" xfId="0" applyNumberFormat="1" applyFill="1" applyBorder="1"/>
    <xf numFmtId="0" fontId="0" fillId="40" borderId="0" xfId="0" applyFill="1"/>
    <xf numFmtId="0" fontId="0" fillId="40" borderId="25" xfId="0" applyFill="1" applyBorder="1"/>
    <xf numFmtId="0" fontId="0" fillId="36" borderId="25" xfId="0" applyFill="1" applyBorder="1"/>
    <xf numFmtId="2" fontId="0" fillId="36" borderId="24" xfId="0" applyNumberFormat="1" applyFill="1" applyBorder="1" applyAlignment="1">
      <alignment horizontal="center"/>
    </xf>
    <xf numFmtId="0" fontId="2" fillId="36" borderId="24" xfId="0" applyNumberFormat="1" applyFont="1" applyFill="1" applyBorder="1" applyAlignment="1">
      <alignment horizontal="center"/>
    </xf>
    <xf numFmtId="2" fontId="0" fillId="36" borderId="24" xfId="0" applyNumberFormat="1" applyFill="1" applyBorder="1"/>
    <xf numFmtId="0" fontId="0" fillId="36" borderId="0" xfId="0" applyFill="1"/>
    <xf numFmtId="0" fontId="0" fillId="36" borderId="25" xfId="0" applyFill="1" applyBorder="1" applyAlignment="1">
      <alignment wrapText="1"/>
    </xf>
    <xf numFmtId="1" fontId="4" fillId="0" borderId="0" xfId="0" applyNumberFormat="1" applyFont="1" applyFill="1" applyAlignment="1">
      <alignment vertical="center"/>
    </xf>
    <xf numFmtId="169" fontId="4" fillId="0" borderId="0" xfId="0" applyNumberFormat="1" applyFont="1" applyFill="1" applyAlignment="1">
      <alignment vertical="center"/>
    </xf>
    <xf numFmtId="1" fontId="4" fillId="0" borderId="0" xfId="0" applyNumberFormat="1" applyFont="1" applyFill="1" applyBorder="1" applyAlignment="1">
      <alignment vertical="center"/>
    </xf>
    <xf numFmtId="0" fontId="5" fillId="22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vertical="center"/>
    </xf>
    <xf numFmtId="1" fontId="4" fillId="0" borderId="3" xfId="0" applyNumberFormat="1" applyFont="1" applyFill="1" applyBorder="1" applyAlignment="1" applyProtection="1">
      <alignment horizontal="left" vertical="center" wrapText="1"/>
      <protection locked="0"/>
    </xf>
    <xf numFmtId="1" fontId="4" fillId="33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33" borderId="3" xfId="0" applyNumberFormat="1" applyFont="1" applyFill="1" applyBorder="1" applyAlignment="1">
      <alignment horizontal="center" vertical="center" wrapText="1"/>
    </xf>
    <xf numFmtId="1" fontId="4" fillId="33" borderId="3" xfId="0" applyNumberFormat="1" applyFont="1" applyFill="1" applyBorder="1" applyAlignment="1" applyProtection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 wrapText="1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70" fillId="0" borderId="0" xfId="0" applyFont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72" fillId="0" borderId="0" xfId="0" applyFont="1" applyAlignment="1" applyProtection="1">
      <alignment horizontal="left" vertical="top" wrapText="1"/>
      <protection locked="0"/>
    </xf>
    <xf numFmtId="0" fontId="71" fillId="0" borderId="0" xfId="0" applyFont="1" applyFill="1" applyBorder="1" applyAlignment="1" applyProtection="1">
      <alignment horizontal="left" vertical="center"/>
      <protection locked="0"/>
    </xf>
    <xf numFmtId="0" fontId="71" fillId="0" borderId="0" xfId="0" applyFont="1" applyFill="1" applyBorder="1" applyAlignment="1" applyProtection="1">
      <alignment horizontal="left" vertical="center" wrapText="1"/>
      <protection locked="0"/>
    </xf>
    <xf numFmtId="0" fontId="86" fillId="0" borderId="0" xfId="0" applyFont="1" applyFill="1" applyBorder="1" applyAlignment="1" applyProtection="1">
      <alignment horizontal="left" vertical="center" wrapText="1"/>
      <protection locked="0"/>
    </xf>
    <xf numFmtId="0" fontId="84" fillId="0" borderId="0" xfId="0" applyFont="1" applyAlignment="1" applyProtection="1">
      <alignment horizontal="left" vertical="top" wrapText="1"/>
      <protection locked="0"/>
    </xf>
    <xf numFmtId="0" fontId="71" fillId="0" borderId="15" xfId="0" applyFont="1" applyFill="1" applyBorder="1" applyAlignment="1" applyProtection="1">
      <alignment horizontal="left" vertical="center" wrapText="1"/>
      <protection locked="0"/>
    </xf>
    <xf numFmtId="0" fontId="74" fillId="0" borderId="15" xfId="0" applyFont="1" applyBorder="1" applyAlignment="1" applyProtection="1">
      <alignment horizontal="left" vertical="center" wrapText="1"/>
      <protection locked="0"/>
    </xf>
    <xf numFmtId="0" fontId="74" fillId="0" borderId="16" xfId="0" applyFont="1" applyBorder="1" applyAlignment="1" applyProtection="1">
      <alignment horizontal="left" vertical="center" wrapText="1"/>
      <protection locked="0"/>
    </xf>
    <xf numFmtId="0" fontId="71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4" xfId="237" applyNumberFormat="1" applyFont="1" applyFill="1" applyBorder="1" applyAlignment="1" applyProtection="1">
      <alignment horizontal="center" vertical="center" wrapText="1"/>
    </xf>
    <xf numFmtId="0" fontId="4" fillId="0" borderId="15" xfId="237" applyNumberFormat="1" applyFont="1" applyFill="1" applyBorder="1" applyAlignment="1" applyProtection="1">
      <alignment horizontal="center" vertical="center" wrapText="1"/>
    </xf>
    <xf numFmtId="0" fontId="4" fillId="0" borderId="16" xfId="237" applyNumberFormat="1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170" fontId="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 shrinkToFit="1"/>
    </xf>
    <xf numFmtId="0" fontId="5" fillId="0" borderId="19" xfId="0" applyFont="1" applyFill="1" applyBorder="1" applyAlignment="1" applyProtection="1">
      <alignment horizontal="center" vertical="center" wrapText="1" shrinkToFit="1"/>
    </xf>
    <xf numFmtId="0" fontId="79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horizontal="center"/>
    </xf>
    <xf numFmtId="0" fontId="0" fillId="0" borderId="15" xfId="0" applyBorder="1"/>
    <xf numFmtId="0" fontId="0" fillId="0" borderId="16" xfId="0" applyBorder="1"/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7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 shrinkToFit="1"/>
    </xf>
    <xf numFmtId="0" fontId="8" fillId="0" borderId="3" xfId="0" applyFont="1" applyFill="1" applyBorder="1" applyAlignment="1" applyProtection="1">
      <alignment horizontal="center" vertical="center" wrapText="1"/>
    </xf>
    <xf numFmtId="0" fontId="4" fillId="0" borderId="0" xfId="24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5" xfId="245" applyFont="1" applyFill="1" applyBorder="1" applyAlignment="1">
      <alignment horizontal="center" vertical="center" wrapText="1"/>
    </xf>
    <xf numFmtId="0" fontId="4" fillId="0" borderId="16" xfId="245" applyFont="1" applyFill="1" applyBorder="1" applyAlignment="1">
      <alignment horizontal="center" vertical="center" wrapText="1"/>
    </xf>
    <xf numFmtId="170" fontId="5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5" fillId="0" borderId="18" xfId="245" applyFont="1" applyFill="1" applyBorder="1" applyAlignment="1">
      <alignment horizontal="center" vertical="center" wrapText="1"/>
    </xf>
    <xf numFmtId="0" fontId="5" fillId="0" borderId="19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18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>
      <alignment vertical="center" wrapText="1"/>
    </xf>
    <xf numFmtId="178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0" fontId="5" fillId="29" borderId="14" xfId="0" applyNumberFormat="1" applyFont="1" applyFill="1" applyBorder="1" applyAlignment="1" applyProtection="1">
      <alignment horizontal="center" vertical="center" wrapText="1"/>
    </xf>
    <xf numFmtId="10" fontId="5" fillId="29" borderId="16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10" fontId="83" fillId="29" borderId="14" xfId="0" applyNumberFormat="1" applyFont="1" applyFill="1" applyBorder="1" applyAlignment="1" applyProtection="1">
      <alignment horizontal="center" vertical="center" wrapText="1"/>
    </xf>
    <xf numFmtId="10" fontId="83" fillId="29" borderId="16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 shrinkToFit="1"/>
    </xf>
    <xf numFmtId="3" fontId="5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NumberFormat="1" applyFont="1" applyFill="1" applyBorder="1" applyAlignment="1">
      <alignment horizontal="center" vertical="center" wrapText="1"/>
    </xf>
    <xf numFmtId="178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14" xfId="0" applyNumberFormat="1" applyFont="1" applyFill="1" applyBorder="1" applyAlignment="1">
      <alignment horizontal="center" vertical="center" wrapText="1"/>
    </xf>
    <xf numFmtId="0" fontId="5" fillId="29" borderId="16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/>
      <protection locked="0"/>
    </xf>
    <xf numFmtId="178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9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3" fontId="5" fillId="0" borderId="14" xfId="0" applyNumberFormat="1" applyFont="1" applyFill="1" applyBorder="1" applyAlignment="1">
      <alignment horizontal="left" vertical="center" wrapText="1"/>
    </xf>
    <xf numFmtId="3" fontId="5" fillId="0" borderId="15" xfId="0" applyNumberFormat="1" applyFont="1" applyFill="1" applyBorder="1" applyAlignment="1">
      <alignment horizontal="left" vertical="center" wrapText="1"/>
    </xf>
    <xf numFmtId="3" fontId="5" fillId="0" borderId="16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10" fillId="29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5" fillId="29" borderId="15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  <protection locked="0"/>
    </xf>
    <xf numFmtId="49" fontId="10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0" fillId="29" borderId="14" xfId="0" applyNumberFormat="1" applyFont="1" applyFill="1" applyBorder="1" applyAlignment="1">
      <alignment horizontal="center" vertical="center" wrapText="1"/>
    </xf>
    <xf numFmtId="0" fontId="10" fillId="29" borderId="15" xfId="0" applyNumberFormat="1" applyFont="1" applyFill="1" applyBorder="1" applyAlignment="1">
      <alignment horizontal="center" vertical="center" wrapText="1"/>
    </xf>
    <xf numFmtId="0" fontId="10" fillId="29" borderId="16" xfId="0" applyNumberFormat="1" applyFont="1" applyFill="1" applyBorder="1" applyAlignment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" xfId="323" builtinId="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35\Downloads\27.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Осн. фін. пок."/>
      <sheetName val="I. Фін результат"/>
      <sheetName val="ІІ. Розр. з бюджетом"/>
      <sheetName val="ІІІ. Рух грош. коштів"/>
      <sheetName val="IV. Кап. інвестиції"/>
      <sheetName val=" V. Коефіцієнти"/>
      <sheetName val="6.1. Інша інфо_1"/>
      <sheetName val="штатка"/>
      <sheetName val="6.2. Інша інфо_2"/>
    </sheetNames>
    <sheetDataSet>
      <sheetData sheetId="0" refreshError="1"/>
      <sheetData sheetId="1" refreshError="1"/>
      <sheetData sheetId="2">
        <row r="8">
          <cell r="I8">
            <v>2940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2">
          <cell r="J62">
            <v>5121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5:F20"/>
  <sheetViews>
    <sheetView topLeftCell="A7" workbookViewId="0">
      <selection activeCell="C12" sqref="C12:F12"/>
    </sheetView>
  </sheetViews>
  <sheetFormatPr defaultRowHeight="12.75"/>
  <cols>
    <col min="1" max="1" width="17.5703125" customWidth="1"/>
    <col min="2" max="2" width="16" customWidth="1"/>
    <col min="3" max="3" width="13" customWidth="1"/>
    <col min="4" max="4" width="13.140625" customWidth="1"/>
    <col min="5" max="6" width="12.140625" customWidth="1"/>
  </cols>
  <sheetData>
    <row r="5" spans="1:6" ht="25.5">
      <c r="A5" s="298" t="s">
        <v>402</v>
      </c>
      <c r="B5" s="298"/>
      <c r="C5" s="299" t="s">
        <v>403</v>
      </c>
      <c r="D5" s="299"/>
      <c r="E5" s="175" t="s">
        <v>404</v>
      </c>
      <c r="F5" s="175" t="s">
        <v>405</v>
      </c>
    </row>
    <row r="6" spans="1:6" ht="18">
      <c r="A6" s="172" t="s">
        <v>400</v>
      </c>
      <c r="B6" s="195">
        <v>0.22</v>
      </c>
      <c r="C6" s="200"/>
      <c r="D6" s="201"/>
      <c r="E6" s="174">
        <v>0.18</v>
      </c>
      <c r="F6" s="173">
        <v>1.4999999999999999E-2</v>
      </c>
    </row>
    <row r="7" spans="1:6" ht="25.5">
      <c r="A7" s="172" t="s">
        <v>401</v>
      </c>
      <c r="B7" s="204">
        <v>8.4099999999999994E-2</v>
      </c>
      <c r="C7" s="200"/>
      <c r="D7" s="178"/>
      <c r="E7" s="178"/>
      <c r="F7" s="178"/>
    </row>
    <row r="8" spans="1:6" ht="72.75" customHeight="1">
      <c r="A8" s="200"/>
      <c r="B8" s="201"/>
      <c r="C8" s="200"/>
      <c r="D8" s="201"/>
      <c r="E8" s="178"/>
      <c r="F8" s="178"/>
    </row>
    <row r="10" spans="1:6" ht="24" customHeight="1">
      <c r="B10" s="170"/>
      <c r="C10" s="171" t="s">
        <v>388</v>
      </c>
      <c r="D10" s="171" t="s">
        <v>380</v>
      </c>
      <c r="E10" s="171" t="s">
        <v>381</v>
      </c>
      <c r="F10" s="171" t="s">
        <v>86</v>
      </c>
    </row>
    <row r="11" spans="1:6" ht="25.5">
      <c r="B11" s="176" t="s">
        <v>407</v>
      </c>
      <c r="C11" s="193">
        <f>'I. Фін результат'!F101</f>
        <v>308</v>
      </c>
      <c r="D11" s="193">
        <f>'I. Фін результат'!G101</f>
        <v>616</v>
      </c>
      <c r="E11" s="193">
        <f>'I. Фін результат'!H101</f>
        <v>923</v>
      </c>
      <c r="F11" s="193">
        <f>'I. Фін результат'!I101</f>
        <v>1231</v>
      </c>
    </row>
    <row r="12" spans="1:6" ht="26.25" customHeight="1">
      <c r="B12" s="177" t="s">
        <v>406</v>
      </c>
      <c r="C12" s="194">
        <f>штатка!I42/1000</f>
        <v>14.25</v>
      </c>
      <c r="D12" s="194">
        <f>штатка!J42/1000</f>
        <v>28.5</v>
      </c>
      <c r="E12" s="194">
        <f>штатка!K42/1000</f>
        <v>42.75</v>
      </c>
      <c r="F12" s="194">
        <f>штатка!L42/1000</f>
        <v>57</v>
      </c>
    </row>
    <row r="13" spans="1:6">
      <c r="B13" s="202"/>
      <c r="C13" s="203"/>
      <c r="D13" s="203"/>
      <c r="E13" s="203"/>
      <c r="F13" s="203"/>
    </row>
    <row r="17" spans="2:6" ht="25.5">
      <c r="B17" s="167" t="s">
        <v>6</v>
      </c>
      <c r="C17" s="169">
        <f>(C11-C12)*$B$6+C12*$B$7</f>
        <v>65.823425</v>
      </c>
      <c r="D17" s="169">
        <f>(D11-D12)*$B$6+D12*$B$7</f>
        <v>131.64685</v>
      </c>
      <c r="E17" s="169">
        <f>(E11-E12)*$B$6+E12*$B$7</f>
        <v>197.25027499999999</v>
      </c>
      <c r="F17" s="169">
        <f>(F11-F12)*$B$6+F12*$B$7</f>
        <v>263.07370000000003</v>
      </c>
    </row>
    <row r="18" spans="2:6" ht="38.25">
      <c r="B18" s="168" t="s">
        <v>408</v>
      </c>
      <c r="C18" s="169">
        <f>C11*$E$6</f>
        <v>55.44</v>
      </c>
      <c r="D18" s="169">
        <f>D11*$E$6</f>
        <v>110.88</v>
      </c>
      <c r="E18" s="169">
        <f>E11*$E$6</f>
        <v>166.14</v>
      </c>
      <c r="F18" s="169">
        <f>F11*$E$6</f>
        <v>221.57999999999998</v>
      </c>
    </row>
    <row r="19" spans="2:6">
      <c r="B19" s="172" t="s">
        <v>405</v>
      </c>
      <c r="C19" s="169">
        <f>C11*$F$6</f>
        <v>4.62</v>
      </c>
      <c r="D19" s="169">
        <f>D11*$F$6</f>
        <v>9.24</v>
      </c>
      <c r="E19" s="169">
        <f>E11*$F$6</f>
        <v>13.844999999999999</v>
      </c>
      <c r="F19" s="169">
        <f>F11*$F$6</f>
        <v>18.465</v>
      </c>
    </row>
    <row r="20" spans="2:6">
      <c r="C20" s="166"/>
      <c r="D20" s="166"/>
      <c r="E20" s="166"/>
      <c r="F20" s="166"/>
    </row>
  </sheetData>
  <sheetProtection password="C6FB" sheet="1"/>
  <mergeCells count="2">
    <mergeCell ref="A5:B5"/>
    <mergeCell ref="C5:D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E71"/>
  <sheetViews>
    <sheetView topLeftCell="A44" zoomScale="60" zoomScaleNormal="70" zoomScaleSheetLayoutView="50" workbookViewId="0">
      <selection sqref="A1:AE58"/>
    </sheetView>
  </sheetViews>
  <sheetFormatPr defaultRowHeight="18.75"/>
  <cols>
    <col min="1" max="1" width="4.42578125" style="1" customWidth="1"/>
    <col min="2" max="2" width="28.7109375" style="1" customWidth="1"/>
    <col min="3" max="6" width="11.28515625" style="1" customWidth="1"/>
    <col min="7" max="31" width="11" style="1" customWidth="1"/>
    <col min="32" max="16384" width="9.140625" style="1"/>
  </cols>
  <sheetData>
    <row r="1" spans="1:31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Q1" s="26"/>
      <c r="R1" s="26"/>
      <c r="S1" s="26"/>
      <c r="T1" s="26"/>
      <c r="U1" s="26"/>
      <c r="AB1" s="424"/>
      <c r="AC1" s="425"/>
      <c r="AD1" s="425"/>
      <c r="AE1" s="425"/>
    </row>
    <row r="2" spans="1:31" ht="18.75" customHeight="1">
      <c r="B2" s="37" t="s">
        <v>258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</row>
    <row r="3" spans="1:3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ht="18.75" customHeight="1">
      <c r="A4" s="364" t="s">
        <v>56</v>
      </c>
      <c r="B4" s="364" t="s">
        <v>213</v>
      </c>
      <c r="C4" s="452" t="s">
        <v>214</v>
      </c>
      <c r="D4" s="453"/>
      <c r="E4" s="453"/>
      <c r="F4" s="454"/>
      <c r="G4" s="452" t="s">
        <v>357</v>
      </c>
      <c r="H4" s="453"/>
      <c r="I4" s="453"/>
      <c r="J4" s="453"/>
      <c r="K4" s="453"/>
      <c r="L4" s="454"/>
      <c r="M4" s="452" t="s">
        <v>215</v>
      </c>
      <c r="N4" s="453"/>
      <c r="O4" s="453"/>
      <c r="P4" s="454"/>
      <c r="Q4" s="384" t="s">
        <v>309</v>
      </c>
      <c r="R4" s="385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401"/>
    </row>
    <row r="5" spans="1:31" ht="48.75" customHeight="1">
      <c r="A5" s="365"/>
      <c r="B5" s="365"/>
      <c r="C5" s="455"/>
      <c r="D5" s="456"/>
      <c r="E5" s="456"/>
      <c r="F5" s="457"/>
      <c r="G5" s="455"/>
      <c r="H5" s="456"/>
      <c r="I5" s="456"/>
      <c r="J5" s="456"/>
      <c r="K5" s="456"/>
      <c r="L5" s="457"/>
      <c r="M5" s="455"/>
      <c r="N5" s="456"/>
      <c r="O5" s="456"/>
      <c r="P5" s="457"/>
      <c r="Q5" s="398" t="s">
        <v>216</v>
      </c>
      <c r="R5" s="399"/>
      <c r="S5" s="400"/>
      <c r="T5" s="398" t="s">
        <v>217</v>
      </c>
      <c r="U5" s="399"/>
      <c r="V5" s="400"/>
      <c r="W5" s="398" t="s">
        <v>44</v>
      </c>
      <c r="X5" s="399"/>
      <c r="Y5" s="400"/>
      <c r="Z5" s="384" t="s">
        <v>218</v>
      </c>
      <c r="AA5" s="385"/>
      <c r="AB5" s="401"/>
      <c r="AC5" s="384" t="s">
        <v>219</v>
      </c>
      <c r="AD5" s="385"/>
      <c r="AE5" s="401"/>
    </row>
    <row r="6" spans="1:31" ht="18" customHeight="1">
      <c r="A6" s="60">
        <v>1</v>
      </c>
      <c r="B6" s="61">
        <v>2</v>
      </c>
      <c r="C6" s="458">
        <v>3</v>
      </c>
      <c r="D6" s="459"/>
      <c r="E6" s="459"/>
      <c r="F6" s="460"/>
      <c r="G6" s="458">
        <v>4</v>
      </c>
      <c r="H6" s="459"/>
      <c r="I6" s="459"/>
      <c r="J6" s="459"/>
      <c r="K6" s="459"/>
      <c r="L6" s="460"/>
      <c r="M6" s="458">
        <v>5</v>
      </c>
      <c r="N6" s="459"/>
      <c r="O6" s="459"/>
      <c r="P6" s="460"/>
      <c r="Q6" s="458">
        <v>6</v>
      </c>
      <c r="R6" s="459"/>
      <c r="S6" s="460"/>
      <c r="T6" s="458">
        <v>7</v>
      </c>
      <c r="U6" s="459"/>
      <c r="V6" s="460"/>
      <c r="W6" s="461">
        <v>8</v>
      </c>
      <c r="X6" s="462"/>
      <c r="Y6" s="463"/>
      <c r="Z6" s="461">
        <v>9</v>
      </c>
      <c r="AA6" s="462"/>
      <c r="AB6" s="463"/>
      <c r="AC6" s="461">
        <v>10</v>
      </c>
      <c r="AD6" s="462"/>
      <c r="AE6" s="463"/>
    </row>
    <row r="7" spans="1:31" ht="20.100000000000001" customHeight="1">
      <c r="A7" s="60"/>
      <c r="B7" s="214"/>
      <c r="C7" s="440"/>
      <c r="D7" s="441"/>
      <c r="E7" s="441"/>
      <c r="F7" s="442"/>
      <c r="G7" s="443"/>
      <c r="H7" s="444"/>
      <c r="I7" s="444"/>
      <c r="J7" s="444"/>
      <c r="K7" s="444"/>
      <c r="L7" s="445"/>
      <c r="M7" s="446">
        <f>SUM(Q7,T7,W7,Z7,AC7)</f>
        <v>0</v>
      </c>
      <c r="N7" s="447"/>
      <c r="O7" s="447"/>
      <c r="P7" s="448"/>
      <c r="Q7" s="449"/>
      <c r="R7" s="450"/>
      <c r="S7" s="451"/>
      <c r="T7" s="449"/>
      <c r="U7" s="450"/>
      <c r="V7" s="451"/>
      <c r="W7" s="449"/>
      <c r="X7" s="450"/>
      <c r="Y7" s="451"/>
      <c r="Z7" s="449"/>
      <c r="AA7" s="450"/>
      <c r="AB7" s="451"/>
      <c r="AC7" s="449"/>
      <c r="AD7" s="450"/>
      <c r="AE7" s="451"/>
    </row>
    <row r="8" spans="1:31" ht="20.100000000000001" customHeight="1">
      <c r="A8" s="60"/>
      <c r="B8" s="214"/>
      <c r="C8" s="440"/>
      <c r="D8" s="441"/>
      <c r="E8" s="441"/>
      <c r="F8" s="442"/>
      <c r="G8" s="443"/>
      <c r="H8" s="444"/>
      <c r="I8" s="444"/>
      <c r="J8" s="444"/>
      <c r="K8" s="444"/>
      <c r="L8" s="445"/>
      <c r="M8" s="446">
        <f>SUM(Q8,T8,W8,Z8,AC8)</f>
        <v>0</v>
      </c>
      <c r="N8" s="447"/>
      <c r="O8" s="447"/>
      <c r="P8" s="448"/>
      <c r="Q8" s="449"/>
      <c r="R8" s="450"/>
      <c r="S8" s="451"/>
      <c r="T8" s="449"/>
      <c r="U8" s="450"/>
      <c r="V8" s="451"/>
      <c r="W8" s="449"/>
      <c r="X8" s="450"/>
      <c r="Y8" s="451"/>
      <c r="Z8" s="449"/>
      <c r="AA8" s="450"/>
      <c r="AB8" s="451"/>
      <c r="AC8" s="449"/>
      <c r="AD8" s="450"/>
      <c r="AE8" s="451"/>
    </row>
    <row r="9" spans="1:31" ht="20.100000000000001" customHeight="1">
      <c r="A9" s="60"/>
      <c r="B9" s="214"/>
      <c r="C9" s="440"/>
      <c r="D9" s="441"/>
      <c r="E9" s="441"/>
      <c r="F9" s="442"/>
      <c r="G9" s="443"/>
      <c r="H9" s="444"/>
      <c r="I9" s="444"/>
      <c r="J9" s="444"/>
      <c r="K9" s="444"/>
      <c r="L9" s="445"/>
      <c r="M9" s="446">
        <f>SUM(Q9,T9,W9,Z9,AC9)</f>
        <v>0</v>
      </c>
      <c r="N9" s="447"/>
      <c r="O9" s="447"/>
      <c r="P9" s="448"/>
      <c r="Q9" s="449"/>
      <c r="R9" s="450"/>
      <c r="S9" s="451"/>
      <c r="T9" s="449"/>
      <c r="U9" s="450"/>
      <c r="V9" s="451"/>
      <c r="W9" s="449"/>
      <c r="X9" s="450"/>
      <c r="Y9" s="451"/>
      <c r="Z9" s="449"/>
      <c r="AA9" s="450"/>
      <c r="AB9" s="451"/>
      <c r="AC9" s="449"/>
      <c r="AD9" s="450"/>
      <c r="AE9" s="451"/>
    </row>
    <row r="10" spans="1:31" ht="20.100000000000001" customHeight="1">
      <c r="A10" s="60"/>
      <c r="B10" s="214"/>
      <c r="C10" s="440"/>
      <c r="D10" s="441"/>
      <c r="E10" s="441"/>
      <c r="F10" s="442"/>
      <c r="G10" s="443"/>
      <c r="H10" s="444"/>
      <c r="I10" s="444"/>
      <c r="J10" s="444"/>
      <c r="K10" s="444"/>
      <c r="L10" s="445"/>
      <c r="M10" s="446">
        <f>SUM(Q10,T10,W10,Z10,AC10)</f>
        <v>0</v>
      </c>
      <c r="N10" s="447"/>
      <c r="O10" s="447"/>
      <c r="P10" s="448"/>
      <c r="Q10" s="449"/>
      <c r="R10" s="450"/>
      <c r="S10" s="451"/>
      <c r="T10" s="449"/>
      <c r="U10" s="450"/>
      <c r="V10" s="451"/>
      <c r="W10" s="449"/>
      <c r="X10" s="450"/>
      <c r="Y10" s="451"/>
      <c r="Z10" s="449"/>
      <c r="AA10" s="450"/>
      <c r="AB10" s="451"/>
      <c r="AC10" s="449"/>
      <c r="AD10" s="450"/>
      <c r="AE10" s="451"/>
    </row>
    <row r="11" spans="1:31" ht="20.100000000000001" customHeight="1">
      <c r="A11" s="437" t="s">
        <v>61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9"/>
      <c r="M11" s="406">
        <f>SUM(M7:P10)</f>
        <v>0</v>
      </c>
      <c r="N11" s="436"/>
      <c r="O11" s="436"/>
      <c r="P11" s="407"/>
      <c r="Q11" s="406">
        <f>SUM(Q7:S10)</f>
        <v>0</v>
      </c>
      <c r="R11" s="436"/>
      <c r="S11" s="407"/>
      <c r="T11" s="406">
        <f>SUM(T7:V10)</f>
        <v>0</v>
      </c>
      <c r="U11" s="436"/>
      <c r="V11" s="407"/>
      <c r="W11" s="406">
        <f>SUM(W7:Y10)</f>
        <v>0</v>
      </c>
      <c r="X11" s="436"/>
      <c r="Y11" s="407"/>
      <c r="Z11" s="406">
        <f>SUM(Z7:AB10)</f>
        <v>0</v>
      </c>
      <c r="AA11" s="436"/>
      <c r="AB11" s="407"/>
      <c r="AC11" s="406">
        <f>SUM(AC7:AE10)</f>
        <v>0</v>
      </c>
      <c r="AD11" s="436"/>
      <c r="AE11" s="407"/>
    </row>
    <row r="12" spans="1:31" ht="18.75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2"/>
      <c r="N12" s="32"/>
      <c r="O12" s="32"/>
      <c r="P12" s="32"/>
      <c r="Q12" s="51"/>
      <c r="R12" s="51"/>
      <c r="S12" s="51"/>
      <c r="T12" s="51"/>
      <c r="U12" s="51"/>
      <c r="V12" s="51"/>
      <c r="W12" s="52"/>
      <c r="X12" s="52"/>
      <c r="Y12" s="52"/>
      <c r="Z12" s="52"/>
      <c r="AA12" s="52"/>
      <c r="AB12" s="52"/>
      <c r="AC12" s="52"/>
      <c r="AD12" s="52"/>
      <c r="AE12" s="52"/>
    </row>
    <row r="13" spans="1:31" s="37" customFormat="1" ht="18.75" customHeight="1">
      <c r="B13" s="37" t="s">
        <v>259</v>
      </c>
    </row>
    <row r="14" spans="1:31" s="37" customFormat="1" ht="18.75" customHeight="1"/>
    <row r="15" spans="1:31" ht="18.75" customHeight="1">
      <c r="A15" s="352" t="s">
        <v>56</v>
      </c>
      <c r="B15" s="352" t="s">
        <v>220</v>
      </c>
      <c r="C15" s="353" t="s">
        <v>213</v>
      </c>
      <c r="D15" s="353"/>
      <c r="E15" s="353"/>
      <c r="F15" s="353"/>
      <c r="G15" s="353" t="s">
        <v>357</v>
      </c>
      <c r="H15" s="353"/>
      <c r="I15" s="353"/>
      <c r="J15" s="353"/>
      <c r="K15" s="353"/>
      <c r="L15" s="353"/>
      <c r="M15" s="353"/>
      <c r="N15" s="353"/>
      <c r="O15" s="353"/>
      <c r="P15" s="353"/>
      <c r="Q15" s="353" t="s">
        <v>221</v>
      </c>
      <c r="R15" s="353"/>
      <c r="S15" s="353"/>
      <c r="T15" s="353"/>
      <c r="U15" s="353"/>
      <c r="V15" s="350" t="s">
        <v>222</v>
      </c>
      <c r="W15" s="350"/>
      <c r="X15" s="350"/>
      <c r="Y15" s="350"/>
      <c r="Z15" s="350"/>
      <c r="AA15" s="350"/>
      <c r="AB15" s="350"/>
      <c r="AC15" s="350"/>
      <c r="AD15" s="350"/>
      <c r="AE15" s="350"/>
    </row>
    <row r="16" spans="1:31" ht="18.75" customHeight="1">
      <c r="A16" s="352"/>
      <c r="B16" s="352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0" t="s">
        <v>223</v>
      </c>
      <c r="W16" s="350"/>
      <c r="X16" s="350" t="s">
        <v>105</v>
      </c>
      <c r="Y16" s="350"/>
      <c r="Z16" s="350"/>
      <c r="AA16" s="350"/>
      <c r="AB16" s="350"/>
      <c r="AC16" s="350"/>
      <c r="AD16" s="350"/>
      <c r="AE16" s="350"/>
    </row>
    <row r="17" spans="1:31" ht="18.75" customHeight="1">
      <c r="A17" s="352"/>
      <c r="B17" s="352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0"/>
      <c r="W17" s="350"/>
      <c r="X17" s="350" t="s">
        <v>388</v>
      </c>
      <c r="Y17" s="350"/>
      <c r="Z17" s="350" t="s">
        <v>380</v>
      </c>
      <c r="AA17" s="350"/>
      <c r="AB17" s="350" t="s">
        <v>381</v>
      </c>
      <c r="AC17" s="350"/>
      <c r="AD17" s="350" t="s">
        <v>86</v>
      </c>
      <c r="AE17" s="350"/>
    </row>
    <row r="18" spans="1:31" ht="18" customHeight="1">
      <c r="A18" s="60">
        <v>1</v>
      </c>
      <c r="B18" s="60">
        <v>2</v>
      </c>
      <c r="C18" s="434">
        <v>3</v>
      </c>
      <c r="D18" s="434"/>
      <c r="E18" s="434"/>
      <c r="F18" s="434"/>
      <c r="G18" s="434">
        <v>4</v>
      </c>
      <c r="H18" s="434"/>
      <c r="I18" s="434"/>
      <c r="J18" s="434"/>
      <c r="K18" s="434"/>
      <c r="L18" s="434"/>
      <c r="M18" s="434"/>
      <c r="N18" s="434"/>
      <c r="O18" s="434"/>
      <c r="P18" s="434"/>
      <c r="Q18" s="434">
        <v>5</v>
      </c>
      <c r="R18" s="434"/>
      <c r="S18" s="434"/>
      <c r="T18" s="434"/>
      <c r="U18" s="434"/>
      <c r="V18" s="434">
        <v>6</v>
      </c>
      <c r="W18" s="434"/>
      <c r="X18" s="435">
        <v>7</v>
      </c>
      <c r="Y18" s="435"/>
      <c r="Z18" s="435">
        <v>8</v>
      </c>
      <c r="AA18" s="435"/>
      <c r="AB18" s="435">
        <v>9</v>
      </c>
      <c r="AC18" s="435"/>
      <c r="AD18" s="435">
        <v>10</v>
      </c>
      <c r="AE18" s="435"/>
    </row>
    <row r="19" spans="1:31" ht="20.100000000000001" customHeight="1">
      <c r="A19" s="82"/>
      <c r="B19" s="77"/>
      <c r="C19" s="429"/>
      <c r="D19" s="429"/>
      <c r="E19" s="429"/>
      <c r="F19" s="429"/>
      <c r="G19" s="430"/>
      <c r="H19" s="430"/>
      <c r="I19" s="430"/>
      <c r="J19" s="430"/>
      <c r="K19" s="430"/>
      <c r="L19" s="430"/>
      <c r="M19" s="430"/>
      <c r="N19" s="430"/>
      <c r="O19" s="430"/>
      <c r="P19" s="430"/>
      <c r="Q19" s="431"/>
      <c r="R19" s="431"/>
      <c r="S19" s="431"/>
      <c r="T19" s="431"/>
      <c r="U19" s="431"/>
      <c r="V19" s="432">
        <f>AD19</f>
        <v>0</v>
      </c>
      <c r="W19" s="432"/>
      <c r="X19" s="433"/>
      <c r="Y19" s="433"/>
      <c r="Z19" s="433"/>
      <c r="AA19" s="433"/>
      <c r="AB19" s="433"/>
      <c r="AC19" s="433"/>
      <c r="AD19" s="433"/>
      <c r="AE19" s="433"/>
    </row>
    <row r="20" spans="1:31" ht="20.100000000000001" customHeight="1">
      <c r="A20" s="82"/>
      <c r="B20" s="77"/>
      <c r="C20" s="429"/>
      <c r="D20" s="429"/>
      <c r="E20" s="429"/>
      <c r="F20" s="429"/>
      <c r="G20" s="430"/>
      <c r="H20" s="430"/>
      <c r="I20" s="430"/>
      <c r="J20" s="430"/>
      <c r="K20" s="430"/>
      <c r="L20" s="430"/>
      <c r="M20" s="430"/>
      <c r="N20" s="430"/>
      <c r="O20" s="430"/>
      <c r="P20" s="430"/>
      <c r="Q20" s="431"/>
      <c r="R20" s="431"/>
      <c r="S20" s="431"/>
      <c r="T20" s="431"/>
      <c r="U20" s="431"/>
      <c r="V20" s="432">
        <f>AD20</f>
        <v>0</v>
      </c>
      <c r="W20" s="432"/>
      <c r="X20" s="433"/>
      <c r="Y20" s="433"/>
      <c r="Z20" s="433"/>
      <c r="AA20" s="433"/>
      <c r="AB20" s="433"/>
      <c r="AC20" s="433"/>
      <c r="AD20" s="433"/>
      <c r="AE20" s="433"/>
    </row>
    <row r="21" spans="1:31" ht="20.100000000000001" customHeight="1">
      <c r="A21" s="82"/>
      <c r="B21" s="77"/>
      <c r="C21" s="429"/>
      <c r="D21" s="429"/>
      <c r="E21" s="429"/>
      <c r="F21" s="429"/>
      <c r="G21" s="430"/>
      <c r="H21" s="430"/>
      <c r="I21" s="430"/>
      <c r="J21" s="430"/>
      <c r="K21" s="430"/>
      <c r="L21" s="430"/>
      <c r="M21" s="430"/>
      <c r="N21" s="430"/>
      <c r="O21" s="430"/>
      <c r="P21" s="430"/>
      <c r="Q21" s="431"/>
      <c r="R21" s="431"/>
      <c r="S21" s="431"/>
      <c r="T21" s="431"/>
      <c r="U21" s="431"/>
      <c r="V21" s="432">
        <f>AD21</f>
        <v>0</v>
      </c>
      <c r="W21" s="432"/>
      <c r="X21" s="433"/>
      <c r="Y21" s="433"/>
      <c r="Z21" s="433"/>
      <c r="AA21" s="433"/>
      <c r="AB21" s="433"/>
      <c r="AC21" s="433"/>
      <c r="AD21" s="433"/>
      <c r="AE21" s="433"/>
    </row>
    <row r="22" spans="1:31" ht="20.100000000000001" customHeight="1">
      <c r="A22" s="82"/>
      <c r="B22" s="77"/>
      <c r="C22" s="429"/>
      <c r="D22" s="429"/>
      <c r="E22" s="429"/>
      <c r="F22" s="429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1"/>
      <c r="R22" s="431"/>
      <c r="S22" s="431"/>
      <c r="T22" s="431"/>
      <c r="U22" s="431"/>
      <c r="V22" s="432">
        <f>AD22</f>
        <v>0</v>
      </c>
      <c r="W22" s="432"/>
      <c r="X22" s="433"/>
      <c r="Y22" s="433"/>
      <c r="Z22" s="433"/>
      <c r="AA22" s="433"/>
      <c r="AB22" s="433"/>
      <c r="AC22" s="433"/>
      <c r="AD22" s="433"/>
      <c r="AE22" s="433"/>
    </row>
    <row r="23" spans="1:31" ht="20.100000000000001" customHeight="1">
      <c r="A23" s="352" t="s">
        <v>61</v>
      </c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432">
        <f>AD23</f>
        <v>0</v>
      </c>
      <c r="W23" s="432"/>
      <c r="X23" s="421">
        <f>SUM(X19:Y22)</f>
        <v>0</v>
      </c>
      <c r="Y23" s="421"/>
      <c r="Z23" s="421">
        <f>SUM(Z19:AA22)</f>
        <v>0</v>
      </c>
      <c r="AA23" s="421"/>
      <c r="AB23" s="421">
        <f>SUM(AB19:AC22)</f>
        <v>0</v>
      </c>
      <c r="AC23" s="421"/>
      <c r="AD23" s="421">
        <f>SUM(AD19:AE22)</f>
        <v>0</v>
      </c>
      <c r="AE23" s="421"/>
    </row>
    <row r="24" spans="1:3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26"/>
      <c r="R24" s="26"/>
      <c r="S24" s="26"/>
      <c r="T24" s="26"/>
      <c r="U24" s="26"/>
      <c r="AE24" s="26"/>
    </row>
    <row r="25" spans="1:3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26"/>
      <c r="R25" s="26"/>
      <c r="S25" s="26"/>
      <c r="T25" s="26"/>
      <c r="U25" s="26"/>
      <c r="AE25" s="26"/>
    </row>
    <row r="26" spans="1:31" s="37" customFormat="1" ht="18.75" customHeight="1">
      <c r="B26" s="37" t="s">
        <v>236</v>
      </c>
    </row>
    <row r="27" spans="1:31">
      <c r="A27" s="22"/>
      <c r="B27" s="22"/>
      <c r="C27" s="22"/>
      <c r="D27" s="22"/>
      <c r="E27" s="22"/>
      <c r="F27" s="22"/>
      <c r="G27" s="22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22"/>
      <c r="AD27" s="63" t="s">
        <v>256</v>
      </c>
    </row>
    <row r="28" spans="1:31" ht="30" customHeight="1">
      <c r="A28" s="353" t="s">
        <v>56</v>
      </c>
      <c r="B28" s="353" t="s">
        <v>260</v>
      </c>
      <c r="C28" s="353"/>
      <c r="D28" s="353"/>
      <c r="E28" s="353"/>
      <c r="F28" s="353"/>
      <c r="G28" s="398" t="s">
        <v>60</v>
      </c>
      <c r="H28" s="399"/>
      <c r="I28" s="399"/>
      <c r="J28" s="400"/>
      <c r="K28" s="398" t="s">
        <v>96</v>
      </c>
      <c r="L28" s="399"/>
      <c r="M28" s="399"/>
      <c r="N28" s="400"/>
      <c r="O28" s="398" t="s">
        <v>315</v>
      </c>
      <c r="P28" s="399"/>
      <c r="Q28" s="399"/>
      <c r="R28" s="400"/>
      <c r="S28" s="398" t="s">
        <v>142</v>
      </c>
      <c r="T28" s="399"/>
      <c r="U28" s="399"/>
      <c r="V28" s="400"/>
      <c r="W28" s="398" t="s">
        <v>61</v>
      </c>
      <c r="X28" s="399"/>
      <c r="Y28" s="399"/>
      <c r="Z28" s="400"/>
    </row>
    <row r="29" spans="1:31" ht="30" customHeight="1">
      <c r="A29" s="353"/>
      <c r="B29" s="353"/>
      <c r="C29" s="353"/>
      <c r="D29" s="353"/>
      <c r="E29" s="353"/>
      <c r="F29" s="353"/>
      <c r="G29" s="398" t="s">
        <v>105</v>
      </c>
      <c r="H29" s="399"/>
      <c r="I29" s="399"/>
      <c r="J29" s="400"/>
      <c r="K29" s="398" t="s">
        <v>105</v>
      </c>
      <c r="L29" s="399"/>
      <c r="M29" s="399"/>
      <c r="N29" s="400"/>
      <c r="O29" s="398" t="s">
        <v>105</v>
      </c>
      <c r="P29" s="399"/>
      <c r="Q29" s="399"/>
      <c r="R29" s="400"/>
      <c r="S29" s="398" t="s">
        <v>105</v>
      </c>
      <c r="T29" s="399"/>
      <c r="U29" s="399"/>
      <c r="V29" s="400"/>
      <c r="W29" s="398" t="s">
        <v>105</v>
      </c>
      <c r="X29" s="399"/>
      <c r="Y29" s="399"/>
      <c r="Z29" s="400"/>
    </row>
    <row r="30" spans="1:31" ht="39.950000000000003" customHeight="1">
      <c r="A30" s="353"/>
      <c r="B30" s="353"/>
      <c r="C30" s="353"/>
      <c r="D30" s="353"/>
      <c r="E30" s="353"/>
      <c r="F30" s="353"/>
      <c r="G30" s="6" t="s">
        <v>389</v>
      </c>
      <c r="H30" s="6" t="s">
        <v>380</v>
      </c>
      <c r="I30" s="6" t="s">
        <v>381</v>
      </c>
      <c r="J30" s="6" t="s">
        <v>86</v>
      </c>
      <c r="K30" s="6" t="s">
        <v>389</v>
      </c>
      <c r="L30" s="6" t="s">
        <v>380</v>
      </c>
      <c r="M30" s="6" t="s">
        <v>381</v>
      </c>
      <c r="N30" s="6" t="s">
        <v>86</v>
      </c>
      <c r="O30" s="6" t="s">
        <v>389</v>
      </c>
      <c r="P30" s="6" t="s">
        <v>380</v>
      </c>
      <c r="Q30" s="6" t="s">
        <v>381</v>
      </c>
      <c r="R30" s="6" t="s">
        <v>86</v>
      </c>
      <c r="S30" s="6" t="s">
        <v>389</v>
      </c>
      <c r="T30" s="6" t="s">
        <v>380</v>
      </c>
      <c r="U30" s="6" t="s">
        <v>381</v>
      </c>
      <c r="V30" s="6" t="s">
        <v>86</v>
      </c>
      <c r="W30" s="6" t="s">
        <v>389</v>
      </c>
      <c r="X30" s="6" t="s">
        <v>380</v>
      </c>
      <c r="Y30" s="6" t="s">
        <v>381</v>
      </c>
      <c r="Z30" s="6" t="s">
        <v>86</v>
      </c>
    </row>
    <row r="31" spans="1:31" ht="18" customHeight="1">
      <c r="A31" s="6">
        <v>1</v>
      </c>
      <c r="B31" s="353">
        <v>2</v>
      </c>
      <c r="C31" s="353"/>
      <c r="D31" s="353"/>
      <c r="E31" s="353"/>
      <c r="F31" s="353"/>
      <c r="G31" s="6">
        <v>3</v>
      </c>
      <c r="H31" s="90">
        <v>4</v>
      </c>
      <c r="I31" s="90">
        <v>5</v>
      </c>
      <c r="J31" s="91">
        <v>6</v>
      </c>
      <c r="K31" s="91">
        <v>7</v>
      </c>
      <c r="L31" s="91">
        <v>8</v>
      </c>
      <c r="M31" s="92">
        <v>9</v>
      </c>
      <c r="N31" s="6">
        <v>10</v>
      </c>
      <c r="O31" s="90">
        <v>11</v>
      </c>
      <c r="P31" s="91">
        <v>12</v>
      </c>
      <c r="Q31" s="91">
        <v>13</v>
      </c>
      <c r="R31" s="92">
        <v>14</v>
      </c>
      <c r="S31" s="6">
        <v>15</v>
      </c>
      <c r="T31" s="90">
        <v>16</v>
      </c>
      <c r="U31" s="91">
        <v>17</v>
      </c>
      <c r="V31" s="91">
        <v>18</v>
      </c>
      <c r="W31" s="91">
        <v>19</v>
      </c>
      <c r="X31" s="92">
        <v>20</v>
      </c>
      <c r="Y31" s="6">
        <v>21</v>
      </c>
      <c r="Z31" s="5">
        <v>22</v>
      </c>
    </row>
    <row r="32" spans="1:31" ht="20.100000000000001" customHeight="1">
      <c r="A32" s="81"/>
      <c r="B32" s="420"/>
      <c r="C32" s="420"/>
      <c r="D32" s="420"/>
      <c r="E32" s="420"/>
      <c r="F32" s="420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89">
        <f t="shared" ref="W32:Z35" si="0">SUM(G32,K32,O32,S32)</f>
        <v>0</v>
      </c>
      <c r="X32" s="89">
        <f t="shared" si="0"/>
        <v>0</v>
      </c>
      <c r="Y32" s="89">
        <f t="shared" si="0"/>
        <v>0</v>
      </c>
      <c r="Z32" s="89">
        <f t="shared" si="0"/>
        <v>0</v>
      </c>
    </row>
    <row r="33" spans="1:31" ht="20.100000000000001" customHeight="1">
      <c r="A33" s="81"/>
      <c r="B33" s="420"/>
      <c r="C33" s="420"/>
      <c r="D33" s="420"/>
      <c r="E33" s="420"/>
      <c r="F33" s="420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89">
        <f t="shared" si="0"/>
        <v>0</v>
      </c>
      <c r="X33" s="89">
        <f t="shared" si="0"/>
        <v>0</v>
      </c>
      <c r="Y33" s="89">
        <f t="shared" si="0"/>
        <v>0</v>
      </c>
      <c r="Z33" s="89">
        <f t="shared" si="0"/>
        <v>0</v>
      </c>
    </row>
    <row r="34" spans="1:31" ht="20.100000000000001" customHeight="1">
      <c r="A34" s="81"/>
      <c r="B34" s="420"/>
      <c r="C34" s="420"/>
      <c r="D34" s="420"/>
      <c r="E34" s="420"/>
      <c r="F34" s="420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89">
        <f t="shared" si="0"/>
        <v>0</v>
      </c>
      <c r="X34" s="89">
        <f t="shared" si="0"/>
        <v>0</v>
      </c>
      <c r="Y34" s="89">
        <f t="shared" si="0"/>
        <v>0</v>
      </c>
      <c r="Z34" s="89">
        <f t="shared" si="0"/>
        <v>0</v>
      </c>
    </row>
    <row r="35" spans="1:31" ht="20.100000000000001" customHeight="1">
      <c r="A35" s="81"/>
      <c r="B35" s="420"/>
      <c r="C35" s="420"/>
      <c r="D35" s="420"/>
      <c r="E35" s="420"/>
      <c r="F35" s="420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89">
        <f t="shared" si="0"/>
        <v>0</v>
      </c>
      <c r="X35" s="89">
        <f t="shared" si="0"/>
        <v>0</v>
      </c>
      <c r="Y35" s="89">
        <f t="shared" si="0"/>
        <v>0</v>
      </c>
      <c r="Z35" s="89">
        <f t="shared" si="0"/>
        <v>0</v>
      </c>
    </row>
    <row r="36" spans="1:31" ht="20.100000000000001" customHeight="1">
      <c r="A36" s="426" t="s">
        <v>61</v>
      </c>
      <c r="B36" s="427"/>
      <c r="C36" s="427"/>
      <c r="D36" s="427"/>
      <c r="E36" s="427"/>
      <c r="F36" s="428"/>
      <c r="G36" s="89">
        <f t="shared" ref="G36:Z36" si="1">SUM(G32:G35)</f>
        <v>0</v>
      </c>
      <c r="H36" s="89">
        <f t="shared" si="1"/>
        <v>0</v>
      </c>
      <c r="I36" s="89">
        <f t="shared" si="1"/>
        <v>0</v>
      </c>
      <c r="J36" s="89">
        <f t="shared" si="1"/>
        <v>0</v>
      </c>
      <c r="K36" s="89">
        <f t="shared" si="1"/>
        <v>0</v>
      </c>
      <c r="L36" s="89">
        <f t="shared" si="1"/>
        <v>0</v>
      </c>
      <c r="M36" s="89">
        <f t="shared" si="1"/>
        <v>0</v>
      </c>
      <c r="N36" s="89">
        <f t="shared" si="1"/>
        <v>0</v>
      </c>
      <c r="O36" s="89">
        <f t="shared" si="1"/>
        <v>0</v>
      </c>
      <c r="P36" s="89">
        <f t="shared" si="1"/>
        <v>0</v>
      </c>
      <c r="Q36" s="89">
        <f t="shared" si="1"/>
        <v>0</v>
      </c>
      <c r="R36" s="89">
        <f t="shared" si="1"/>
        <v>0</v>
      </c>
      <c r="S36" s="89">
        <f t="shared" si="1"/>
        <v>0</v>
      </c>
      <c r="T36" s="89">
        <f t="shared" si="1"/>
        <v>0</v>
      </c>
      <c r="U36" s="89">
        <f t="shared" si="1"/>
        <v>0</v>
      </c>
      <c r="V36" s="89">
        <f t="shared" si="1"/>
        <v>0</v>
      </c>
      <c r="W36" s="89">
        <f t="shared" si="1"/>
        <v>0</v>
      </c>
      <c r="X36" s="89">
        <f t="shared" si="1"/>
        <v>0</v>
      </c>
      <c r="Y36" s="89">
        <f t="shared" si="1"/>
        <v>0</v>
      </c>
      <c r="Z36" s="89">
        <f t="shared" si="1"/>
        <v>0</v>
      </c>
    </row>
    <row r="37" spans="1:31" ht="20.100000000000001" customHeight="1">
      <c r="A37" s="416" t="s">
        <v>62</v>
      </c>
      <c r="B37" s="417"/>
      <c r="C37" s="417"/>
      <c r="D37" s="417"/>
      <c r="E37" s="417"/>
      <c r="F37" s="418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31" ht="20.100000000000001" customHeight="1">
      <c r="A38" s="49"/>
      <c r="B38" s="49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49"/>
      <c r="T38" s="49"/>
      <c r="U38" s="49"/>
      <c r="V38" s="49"/>
      <c r="W38" s="80"/>
      <c r="X38" s="49"/>
      <c r="Y38" s="49"/>
      <c r="Z38" s="49"/>
      <c r="AA38" s="49"/>
    </row>
    <row r="39" spans="1:31" ht="20.100000000000001" customHeight="1">
      <c r="A39" s="12"/>
      <c r="B39" s="1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</row>
    <row r="40" spans="1:31" s="37" customFormat="1" ht="20.100000000000001" customHeight="1">
      <c r="B40" s="37" t="s">
        <v>261</v>
      </c>
    </row>
    <row r="41" spans="1:31" s="64" customFormat="1" ht="20.100000000000001" customHeight="1">
      <c r="A41" s="1"/>
      <c r="B41" s="1"/>
      <c r="C41" s="1"/>
      <c r="D41" s="1"/>
      <c r="E41" s="1"/>
      <c r="F41" s="1"/>
      <c r="G41" s="1"/>
      <c r="H41" s="1"/>
      <c r="I41" s="1"/>
      <c r="K41" s="1"/>
      <c r="AD41" s="63" t="s">
        <v>256</v>
      </c>
    </row>
    <row r="42" spans="1:31" s="65" customFormat="1" ht="34.5" customHeight="1">
      <c r="A42" s="350" t="s">
        <v>228</v>
      </c>
      <c r="B42" s="353" t="s">
        <v>314</v>
      </c>
      <c r="C42" s="353" t="s">
        <v>345</v>
      </c>
      <c r="D42" s="353"/>
      <c r="E42" s="353" t="s">
        <v>229</v>
      </c>
      <c r="F42" s="353"/>
      <c r="G42" s="353" t="s">
        <v>230</v>
      </c>
      <c r="H42" s="353"/>
      <c r="I42" s="353" t="s">
        <v>304</v>
      </c>
      <c r="J42" s="353"/>
      <c r="K42" s="353" t="s">
        <v>152</v>
      </c>
      <c r="L42" s="353"/>
      <c r="M42" s="353"/>
      <c r="N42" s="353"/>
      <c r="O42" s="353"/>
      <c r="P42" s="353"/>
      <c r="Q42" s="353"/>
      <c r="R42" s="353"/>
      <c r="S42" s="353"/>
      <c r="T42" s="353"/>
      <c r="U42" s="353" t="s">
        <v>346</v>
      </c>
      <c r="V42" s="353"/>
      <c r="W42" s="353"/>
      <c r="X42" s="353"/>
      <c r="Y42" s="353"/>
      <c r="Z42" s="353" t="s">
        <v>308</v>
      </c>
      <c r="AA42" s="353"/>
      <c r="AB42" s="353"/>
      <c r="AC42" s="353"/>
      <c r="AD42" s="353"/>
      <c r="AE42" s="353"/>
    </row>
    <row r="43" spans="1:31" s="65" customFormat="1" ht="52.5" customHeight="1">
      <c r="A43" s="350"/>
      <c r="B43" s="353"/>
      <c r="C43" s="353"/>
      <c r="D43" s="353"/>
      <c r="E43" s="353"/>
      <c r="F43" s="353"/>
      <c r="G43" s="353"/>
      <c r="H43" s="353"/>
      <c r="I43" s="353"/>
      <c r="J43" s="353"/>
      <c r="K43" s="353" t="s">
        <v>358</v>
      </c>
      <c r="L43" s="353"/>
      <c r="M43" s="353" t="s">
        <v>359</v>
      </c>
      <c r="N43" s="353"/>
      <c r="O43" s="353" t="s">
        <v>344</v>
      </c>
      <c r="P43" s="353"/>
      <c r="Q43" s="353"/>
      <c r="R43" s="353"/>
      <c r="S43" s="353"/>
      <c r="T43" s="353"/>
      <c r="U43" s="353"/>
      <c r="V43" s="353"/>
      <c r="W43" s="353"/>
      <c r="X43" s="353"/>
      <c r="Y43" s="353"/>
      <c r="Z43" s="353"/>
      <c r="AA43" s="353"/>
      <c r="AB43" s="353"/>
      <c r="AC43" s="353"/>
      <c r="AD43" s="353"/>
      <c r="AE43" s="353"/>
    </row>
    <row r="44" spans="1:31" s="66" customFormat="1" ht="82.5" customHeight="1">
      <c r="A44" s="350"/>
      <c r="B44" s="353"/>
      <c r="C44" s="353"/>
      <c r="D44" s="353"/>
      <c r="E44" s="353"/>
      <c r="F44" s="353"/>
      <c r="G44" s="353"/>
      <c r="H44" s="353"/>
      <c r="I44" s="353"/>
      <c r="J44" s="353"/>
      <c r="K44" s="353"/>
      <c r="L44" s="353"/>
      <c r="M44" s="353"/>
      <c r="N44" s="353"/>
      <c r="O44" s="353" t="s">
        <v>305</v>
      </c>
      <c r="P44" s="353"/>
      <c r="Q44" s="353" t="s">
        <v>306</v>
      </c>
      <c r="R44" s="353"/>
      <c r="S44" s="353" t="s">
        <v>307</v>
      </c>
      <c r="T44" s="353"/>
      <c r="U44" s="353"/>
      <c r="V44" s="353"/>
      <c r="W44" s="353"/>
      <c r="X44" s="353"/>
      <c r="Y44" s="353"/>
      <c r="Z44" s="353"/>
      <c r="AA44" s="353"/>
      <c r="AB44" s="353"/>
      <c r="AC44" s="353"/>
      <c r="AD44" s="353"/>
      <c r="AE44" s="353"/>
    </row>
    <row r="45" spans="1:31" s="65" customFormat="1" ht="18" customHeight="1">
      <c r="A45" s="5">
        <v>1</v>
      </c>
      <c r="B45" s="6">
        <v>2</v>
      </c>
      <c r="C45" s="353">
        <v>3</v>
      </c>
      <c r="D45" s="353"/>
      <c r="E45" s="353">
        <v>4</v>
      </c>
      <c r="F45" s="353"/>
      <c r="G45" s="353">
        <v>5</v>
      </c>
      <c r="H45" s="353"/>
      <c r="I45" s="353">
        <v>6</v>
      </c>
      <c r="J45" s="353"/>
      <c r="K45" s="398">
        <v>7</v>
      </c>
      <c r="L45" s="400"/>
      <c r="M45" s="398">
        <v>8</v>
      </c>
      <c r="N45" s="400"/>
      <c r="O45" s="353">
        <v>9</v>
      </c>
      <c r="P45" s="353"/>
      <c r="Q45" s="350">
        <v>10</v>
      </c>
      <c r="R45" s="350"/>
      <c r="S45" s="353">
        <v>11</v>
      </c>
      <c r="T45" s="353"/>
      <c r="U45" s="353">
        <v>12</v>
      </c>
      <c r="V45" s="353"/>
      <c r="W45" s="353"/>
      <c r="X45" s="353"/>
      <c r="Y45" s="353"/>
      <c r="Z45" s="353">
        <v>13</v>
      </c>
      <c r="AA45" s="353"/>
      <c r="AB45" s="353"/>
      <c r="AC45" s="353"/>
      <c r="AD45" s="353"/>
      <c r="AE45" s="353"/>
    </row>
    <row r="46" spans="1:31" s="65" customFormat="1" ht="20.100000000000001" customHeight="1">
      <c r="A46" s="215"/>
      <c r="B46" s="216"/>
      <c r="C46" s="419"/>
      <c r="D46" s="419"/>
      <c r="E46" s="397"/>
      <c r="F46" s="397"/>
      <c r="G46" s="397"/>
      <c r="H46" s="397"/>
      <c r="I46" s="397"/>
      <c r="J46" s="397"/>
      <c r="K46" s="386"/>
      <c r="L46" s="387"/>
      <c r="M46" s="406">
        <f t="shared" ref="M46:M52" si="2">SUM(O46,Q46,S46)</f>
        <v>0</v>
      </c>
      <c r="N46" s="407"/>
      <c r="O46" s="397"/>
      <c r="P46" s="397"/>
      <c r="Q46" s="397"/>
      <c r="R46" s="397"/>
      <c r="S46" s="397"/>
      <c r="T46" s="397"/>
      <c r="U46" s="380"/>
      <c r="V46" s="380"/>
      <c r="W46" s="380"/>
      <c r="X46" s="380"/>
      <c r="Y46" s="380"/>
      <c r="Z46" s="420"/>
      <c r="AA46" s="420"/>
      <c r="AB46" s="420"/>
      <c r="AC46" s="420"/>
      <c r="AD46" s="420"/>
      <c r="AE46" s="420"/>
    </row>
    <row r="47" spans="1:31" s="65" customFormat="1" ht="20.100000000000001" customHeight="1">
      <c r="A47" s="215"/>
      <c r="B47" s="216"/>
      <c r="C47" s="419"/>
      <c r="D47" s="419"/>
      <c r="E47" s="397"/>
      <c r="F47" s="397"/>
      <c r="G47" s="397"/>
      <c r="H47" s="397"/>
      <c r="I47" s="397"/>
      <c r="J47" s="397"/>
      <c r="K47" s="386"/>
      <c r="L47" s="387"/>
      <c r="M47" s="406">
        <f t="shared" si="2"/>
        <v>0</v>
      </c>
      <c r="N47" s="407"/>
      <c r="O47" s="397"/>
      <c r="P47" s="397"/>
      <c r="Q47" s="397"/>
      <c r="R47" s="397"/>
      <c r="S47" s="397"/>
      <c r="T47" s="397"/>
      <c r="U47" s="380"/>
      <c r="V47" s="380"/>
      <c r="W47" s="380"/>
      <c r="X47" s="380"/>
      <c r="Y47" s="380"/>
      <c r="Z47" s="420"/>
      <c r="AA47" s="420"/>
      <c r="AB47" s="420"/>
      <c r="AC47" s="420"/>
      <c r="AD47" s="420"/>
      <c r="AE47" s="420"/>
    </row>
    <row r="48" spans="1:31" s="65" customFormat="1" ht="20.100000000000001" customHeight="1">
      <c r="A48" s="215"/>
      <c r="B48" s="216"/>
      <c r="C48" s="419"/>
      <c r="D48" s="419"/>
      <c r="E48" s="397"/>
      <c r="F48" s="397"/>
      <c r="G48" s="397"/>
      <c r="H48" s="397"/>
      <c r="I48" s="397"/>
      <c r="J48" s="397"/>
      <c r="K48" s="386"/>
      <c r="L48" s="387"/>
      <c r="M48" s="406">
        <f t="shared" si="2"/>
        <v>0</v>
      </c>
      <c r="N48" s="407"/>
      <c r="O48" s="397"/>
      <c r="P48" s="397"/>
      <c r="Q48" s="397"/>
      <c r="R48" s="397"/>
      <c r="S48" s="397"/>
      <c r="T48" s="397"/>
      <c r="U48" s="380"/>
      <c r="V48" s="380"/>
      <c r="W48" s="380"/>
      <c r="X48" s="380"/>
      <c r="Y48" s="380"/>
      <c r="Z48" s="420"/>
      <c r="AA48" s="420"/>
      <c r="AB48" s="420"/>
      <c r="AC48" s="420"/>
      <c r="AD48" s="420"/>
      <c r="AE48" s="420"/>
    </row>
    <row r="49" spans="1:31" s="65" customFormat="1" ht="20.100000000000001" customHeight="1">
      <c r="A49" s="215"/>
      <c r="B49" s="216"/>
      <c r="C49" s="419"/>
      <c r="D49" s="419"/>
      <c r="E49" s="397"/>
      <c r="F49" s="397"/>
      <c r="G49" s="397"/>
      <c r="H49" s="397"/>
      <c r="I49" s="397"/>
      <c r="J49" s="397"/>
      <c r="K49" s="386"/>
      <c r="L49" s="387"/>
      <c r="M49" s="406">
        <f>SUM(O49,Q49,S49)</f>
        <v>0</v>
      </c>
      <c r="N49" s="407"/>
      <c r="O49" s="397"/>
      <c r="P49" s="397"/>
      <c r="Q49" s="397"/>
      <c r="R49" s="397"/>
      <c r="S49" s="397"/>
      <c r="T49" s="397"/>
      <c r="U49" s="380"/>
      <c r="V49" s="380"/>
      <c r="W49" s="380"/>
      <c r="X49" s="380"/>
      <c r="Y49" s="380"/>
      <c r="Z49" s="420"/>
      <c r="AA49" s="420"/>
      <c r="AB49" s="420"/>
      <c r="AC49" s="420"/>
      <c r="AD49" s="420"/>
      <c r="AE49" s="420"/>
    </row>
    <row r="50" spans="1:31" s="65" customFormat="1" ht="20.100000000000001" customHeight="1">
      <c r="A50" s="215"/>
      <c r="B50" s="216"/>
      <c r="C50" s="419"/>
      <c r="D50" s="419"/>
      <c r="E50" s="397"/>
      <c r="F50" s="397"/>
      <c r="G50" s="397"/>
      <c r="H50" s="397"/>
      <c r="I50" s="397"/>
      <c r="J50" s="397"/>
      <c r="K50" s="386"/>
      <c r="L50" s="387"/>
      <c r="M50" s="406">
        <f t="shared" si="2"/>
        <v>0</v>
      </c>
      <c r="N50" s="407"/>
      <c r="O50" s="397"/>
      <c r="P50" s="397"/>
      <c r="Q50" s="397"/>
      <c r="R50" s="397"/>
      <c r="S50" s="397"/>
      <c r="T50" s="397"/>
      <c r="U50" s="380"/>
      <c r="V50" s="380"/>
      <c r="W50" s="380"/>
      <c r="X50" s="380"/>
      <c r="Y50" s="380"/>
      <c r="Z50" s="420"/>
      <c r="AA50" s="420"/>
      <c r="AB50" s="420"/>
      <c r="AC50" s="420"/>
      <c r="AD50" s="420"/>
      <c r="AE50" s="420"/>
    </row>
    <row r="51" spans="1:31" s="65" customFormat="1" ht="20.100000000000001" customHeight="1">
      <c r="A51" s="215"/>
      <c r="B51" s="216"/>
      <c r="C51" s="419"/>
      <c r="D51" s="419"/>
      <c r="E51" s="397"/>
      <c r="F51" s="397"/>
      <c r="G51" s="397"/>
      <c r="H51" s="397"/>
      <c r="I51" s="397"/>
      <c r="J51" s="397"/>
      <c r="K51" s="386"/>
      <c r="L51" s="387"/>
      <c r="M51" s="406">
        <f t="shared" si="2"/>
        <v>0</v>
      </c>
      <c r="N51" s="407"/>
      <c r="O51" s="397"/>
      <c r="P51" s="397"/>
      <c r="Q51" s="397"/>
      <c r="R51" s="397"/>
      <c r="S51" s="397"/>
      <c r="T51" s="397"/>
      <c r="U51" s="380"/>
      <c r="V51" s="380"/>
      <c r="W51" s="380"/>
      <c r="X51" s="380"/>
      <c r="Y51" s="380"/>
      <c r="Z51" s="420"/>
      <c r="AA51" s="420"/>
      <c r="AB51" s="420"/>
      <c r="AC51" s="420"/>
      <c r="AD51" s="420"/>
      <c r="AE51" s="420"/>
    </row>
    <row r="52" spans="1:31" s="65" customFormat="1" ht="20.100000000000001" customHeight="1">
      <c r="A52" s="215"/>
      <c r="B52" s="216"/>
      <c r="C52" s="419"/>
      <c r="D52" s="419"/>
      <c r="E52" s="397"/>
      <c r="F52" s="397"/>
      <c r="G52" s="397"/>
      <c r="H52" s="397"/>
      <c r="I52" s="397"/>
      <c r="J52" s="397"/>
      <c r="K52" s="386"/>
      <c r="L52" s="387"/>
      <c r="M52" s="406">
        <f t="shared" si="2"/>
        <v>0</v>
      </c>
      <c r="N52" s="407"/>
      <c r="O52" s="397"/>
      <c r="P52" s="397"/>
      <c r="Q52" s="397"/>
      <c r="R52" s="397"/>
      <c r="S52" s="397"/>
      <c r="T52" s="397"/>
      <c r="U52" s="380"/>
      <c r="V52" s="380"/>
      <c r="W52" s="380"/>
      <c r="X52" s="380"/>
      <c r="Y52" s="380"/>
      <c r="Z52" s="420"/>
      <c r="AA52" s="420"/>
      <c r="AB52" s="420"/>
      <c r="AC52" s="420"/>
      <c r="AD52" s="420"/>
      <c r="AE52" s="420"/>
    </row>
    <row r="53" spans="1:31" s="65" customFormat="1" ht="20.100000000000001" customHeight="1">
      <c r="A53" s="416" t="s">
        <v>61</v>
      </c>
      <c r="B53" s="417"/>
      <c r="C53" s="417"/>
      <c r="D53" s="418"/>
      <c r="E53" s="421">
        <f>SUM(E46:F52)</f>
        <v>0</v>
      </c>
      <c r="F53" s="421"/>
      <c r="G53" s="421">
        <f>SUM(G46:H52)</f>
        <v>0</v>
      </c>
      <c r="H53" s="421"/>
      <c r="I53" s="421">
        <f>SUM(I46:J52)</f>
        <v>0</v>
      </c>
      <c r="J53" s="421"/>
      <c r="K53" s="421">
        <f>SUM(K46:L52)</f>
        <v>0</v>
      </c>
      <c r="L53" s="421"/>
      <c r="M53" s="421">
        <f>SUM(M46:N52)</f>
        <v>0</v>
      </c>
      <c r="N53" s="421"/>
      <c r="O53" s="421">
        <f>SUM(O46:P52)</f>
        <v>0</v>
      </c>
      <c r="P53" s="421"/>
      <c r="Q53" s="421">
        <f>SUM(Q46:R52)</f>
        <v>0</v>
      </c>
      <c r="R53" s="421"/>
      <c r="S53" s="421">
        <f>SUM(S46:T52)</f>
        <v>0</v>
      </c>
      <c r="T53" s="421"/>
      <c r="U53" s="422"/>
      <c r="V53" s="422"/>
      <c r="W53" s="422"/>
      <c r="X53" s="422"/>
      <c r="Y53" s="422"/>
      <c r="Z53" s="423"/>
      <c r="AA53" s="423"/>
      <c r="AB53" s="423"/>
      <c r="AC53" s="423"/>
      <c r="AD53" s="423"/>
      <c r="AE53" s="423"/>
    </row>
    <row r="54" spans="1:31" ht="20.100000000000001" customHeight="1">
      <c r="A54" s="12"/>
      <c r="B54" s="1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1:31" ht="20.100000000000001" customHeight="1">
      <c r="A55" s="12"/>
      <c r="B55" s="1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31" s="3" customFormat="1" ht="20.100000000000001" customHeight="1">
      <c r="C56" s="37"/>
      <c r="D56" s="37"/>
      <c r="E56" s="37"/>
      <c r="F56" s="37"/>
      <c r="G56" s="37"/>
      <c r="H56" s="37"/>
      <c r="I56" s="37"/>
      <c r="J56" s="37"/>
      <c r="K56" s="37"/>
    </row>
    <row r="57" spans="1:31" s="31" customFormat="1" ht="20.100000000000001" customHeight="1">
      <c r="B57" s="411" t="s">
        <v>266</v>
      </c>
      <c r="C57" s="412"/>
      <c r="D57" s="412"/>
      <c r="E57" s="412"/>
      <c r="F57" s="412"/>
      <c r="G57" s="222"/>
      <c r="H57" s="222"/>
      <c r="I57" s="222"/>
      <c r="J57" s="222"/>
      <c r="K57" s="222"/>
      <c r="L57" s="413" t="s">
        <v>267</v>
      </c>
      <c r="M57" s="413"/>
      <c r="N57" s="413"/>
      <c r="O57" s="413"/>
      <c r="P57" s="413"/>
      <c r="Q57" s="223"/>
      <c r="R57" s="223"/>
      <c r="S57" s="223"/>
      <c r="T57" s="223"/>
      <c r="U57" s="223"/>
      <c r="V57" s="414" t="s">
        <v>437</v>
      </c>
      <c r="W57" s="415"/>
      <c r="X57" s="415"/>
      <c r="Y57" s="415"/>
      <c r="Z57" s="415"/>
    </row>
    <row r="58" spans="1:31" s="3" customFormat="1" ht="19.5" customHeight="1">
      <c r="B58" s="224"/>
      <c r="C58" s="128" t="s">
        <v>83</v>
      </c>
      <c r="D58" s="128"/>
      <c r="E58" s="159"/>
      <c r="F58" s="159"/>
      <c r="G58" s="159"/>
      <c r="H58" s="159"/>
      <c r="I58" s="159"/>
      <c r="J58" s="159"/>
      <c r="K58" s="159"/>
      <c r="L58" s="128"/>
      <c r="M58" s="224"/>
      <c r="N58" s="107" t="s">
        <v>84</v>
      </c>
      <c r="O58" s="224"/>
      <c r="P58" s="128"/>
      <c r="Q58" s="159"/>
      <c r="R58" s="159"/>
      <c r="S58" s="159"/>
      <c r="T58" s="128"/>
      <c r="U58" s="128"/>
      <c r="V58" s="318" t="s">
        <v>143</v>
      </c>
      <c r="W58" s="318"/>
      <c r="X58" s="318"/>
      <c r="Y58" s="318"/>
      <c r="Z58" s="318"/>
    </row>
    <row r="59" spans="1:31" ht="20.100000000000001" customHeight="1">
      <c r="B59" s="33"/>
      <c r="C59" s="33"/>
      <c r="D59" s="33"/>
      <c r="E59" s="33"/>
      <c r="F59" s="33"/>
      <c r="G59" s="33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33"/>
      <c r="U59" s="33"/>
    </row>
    <row r="60" spans="1:31" ht="20.100000000000001" customHeight="1"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31"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</row>
    <row r="62" spans="1:31">
      <c r="B62" s="34"/>
    </row>
    <row r="65" spans="2:2" ht="19.5">
      <c r="B65" s="35"/>
    </row>
    <row r="66" spans="2:2" ht="19.5">
      <c r="B66" s="35"/>
    </row>
    <row r="67" spans="2:2" ht="19.5">
      <c r="B67" s="35"/>
    </row>
    <row r="68" spans="2:2" ht="19.5">
      <c r="B68" s="35"/>
    </row>
    <row r="69" spans="2:2" ht="19.5">
      <c r="B69" s="35"/>
    </row>
    <row r="70" spans="2:2" ht="19.5">
      <c r="B70" s="35"/>
    </row>
    <row r="71" spans="2:2" ht="19.5">
      <c r="B71" s="35"/>
    </row>
  </sheetData>
  <sheetProtection password="C6FB" sheet="1"/>
  <mergeCells count="254">
    <mergeCell ref="C49:D49"/>
    <mergeCell ref="E49:F49"/>
    <mergeCell ref="E47:F47"/>
    <mergeCell ref="C45:D45"/>
    <mergeCell ref="E45:F45"/>
    <mergeCell ref="C46:D46"/>
    <mergeCell ref="G52:H52"/>
    <mergeCell ref="G49:H49"/>
    <mergeCell ref="G51:H51"/>
    <mergeCell ref="K52:L52"/>
    <mergeCell ref="O53:P53"/>
    <mergeCell ref="I53:J53"/>
    <mergeCell ref="O52:P52"/>
    <mergeCell ref="Z48:AE48"/>
    <mergeCell ref="I51:J51"/>
    <mergeCell ref="K49:L49"/>
    <mergeCell ref="K48:L48"/>
    <mergeCell ref="O50:P50"/>
    <mergeCell ref="Q48:R48"/>
    <mergeCell ref="Z51:AE51"/>
    <mergeCell ref="S51:T51"/>
    <mergeCell ref="U51:Y51"/>
    <mergeCell ref="Z50:AE50"/>
    <mergeCell ref="I49:J49"/>
    <mergeCell ref="M49:N49"/>
    <mergeCell ref="O49:P49"/>
    <mergeCell ref="M48:N48"/>
    <mergeCell ref="K51:L51"/>
    <mergeCell ref="Z47:AE47"/>
    <mergeCell ref="U45:Y45"/>
    <mergeCell ref="U46:Y46"/>
    <mergeCell ref="U47:Y47"/>
    <mergeCell ref="E50:F50"/>
    <mergeCell ref="G50:H50"/>
    <mergeCell ref="I50:J50"/>
    <mergeCell ref="Q50:R50"/>
    <mergeCell ref="E48:F48"/>
    <mergeCell ref="G48:H48"/>
    <mergeCell ref="Z45:AE45"/>
    <mergeCell ref="Z46:AE46"/>
    <mergeCell ref="Q45:R45"/>
    <mergeCell ref="S47:T47"/>
    <mergeCell ref="K47:L47"/>
    <mergeCell ref="K50:L50"/>
    <mergeCell ref="Q4:AE4"/>
    <mergeCell ref="T5:V5"/>
    <mergeCell ref="W5:Y5"/>
    <mergeCell ref="Z5:AB5"/>
    <mergeCell ref="Q5:S5"/>
    <mergeCell ref="AC5:AE5"/>
    <mergeCell ref="Q6:S6"/>
    <mergeCell ref="I48:J48"/>
    <mergeCell ref="G47:H47"/>
    <mergeCell ref="AC9:AE9"/>
    <mergeCell ref="T9:V9"/>
    <mergeCell ref="W9:Y9"/>
    <mergeCell ref="Z17:AA17"/>
    <mergeCell ref="AB17:AC17"/>
    <mergeCell ref="Z11:AB11"/>
    <mergeCell ref="Z10:AB10"/>
    <mergeCell ref="T11:V11"/>
    <mergeCell ref="G28:J28"/>
    <mergeCell ref="O48:P48"/>
    <mergeCell ref="Q7:S7"/>
    <mergeCell ref="Q15:U17"/>
    <mergeCell ref="Q8:S8"/>
    <mergeCell ref="T10:V10"/>
    <mergeCell ref="G29:J29"/>
    <mergeCell ref="AC7:AE7"/>
    <mergeCell ref="A4:A5"/>
    <mergeCell ref="B4:B5"/>
    <mergeCell ref="C4:F5"/>
    <mergeCell ref="G4:L5"/>
    <mergeCell ref="M4:P5"/>
    <mergeCell ref="C8:F8"/>
    <mergeCell ref="C7:F7"/>
    <mergeCell ref="G7:L7"/>
    <mergeCell ref="G6:L6"/>
    <mergeCell ref="M7:P7"/>
    <mergeCell ref="M6:P6"/>
    <mergeCell ref="M8:P8"/>
    <mergeCell ref="C6:F6"/>
    <mergeCell ref="G8:L8"/>
    <mergeCell ref="Z6:AB6"/>
    <mergeCell ref="W6:Y6"/>
    <mergeCell ref="T6:V6"/>
    <mergeCell ref="W8:Y8"/>
    <mergeCell ref="T8:V8"/>
    <mergeCell ref="T7:V7"/>
    <mergeCell ref="W7:Y7"/>
    <mergeCell ref="Z7:AB7"/>
    <mergeCell ref="AC6:AE6"/>
    <mergeCell ref="C9:F9"/>
    <mergeCell ref="G9:L9"/>
    <mergeCell ref="M9:P9"/>
    <mergeCell ref="Q9:S9"/>
    <mergeCell ref="C10:F10"/>
    <mergeCell ref="G10:L10"/>
    <mergeCell ref="M10:P10"/>
    <mergeCell ref="Q10:S10"/>
    <mergeCell ref="AC8:AE8"/>
    <mergeCell ref="Z8:AB8"/>
    <mergeCell ref="Z9:AB9"/>
    <mergeCell ref="W10:Y10"/>
    <mergeCell ref="AC10:AE10"/>
    <mergeCell ref="AC11:AE11"/>
    <mergeCell ref="V15:AE15"/>
    <mergeCell ref="V16:W17"/>
    <mergeCell ref="AD17:AE17"/>
    <mergeCell ref="W11:Y11"/>
    <mergeCell ref="A11:L11"/>
    <mergeCell ref="M11:P11"/>
    <mergeCell ref="Q11:S11"/>
    <mergeCell ref="A15:A17"/>
    <mergeCell ref="B15:B17"/>
    <mergeCell ref="C15:F17"/>
    <mergeCell ref="G15:P17"/>
    <mergeCell ref="AB18:AC18"/>
    <mergeCell ref="AD18:AE18"/>
    <mergeCell ref="X16:AE16"/>
    <mergeCell ref="X17:Y17"/>
    <mergeCell ref="Z18:AA18"/>
    <mergeCell ref="G18:P18"/>
    <mergeCell ref="X18:Y18"/>
    <mergeCell ref="V18:W18"/>
    <mergeCell ref="Q18:U18"/>
    <mergeCell ref="C18:F18"/>
    <mergeCell ref="C20:F20"/>
    <mergeCell ref="G20:P20"/>
    <mergeCell ref="Q20:U20"/>
    <mergeCell ref="V20:W20"/>
    <mergeCell ref="C19:F19"/>
    <mergeCell ref="G19:P19"/>
    <mergeCell ref="Q19:U19"/>
    <mergeCell ref="V19:W19"/>
    <mergeCell ref="X19:Y19"/>
    <mergeCell ref="X20:Y20"/>
    <mergeCell ref="X22:Y22"/>
    <mergeCell ref="Z20:AA20"/>
    <mergeCell ref="Z19:AA19"/>
    <mergeCell ref="AD20:AE20"/>
    <mergeCell ref="AD19:AE19"/>
    <mergeCell ref="AB19:AC19"/>
    <mergeCell ref="AB20:AC20"/>
    <mergeCell ref="AB21:AC21"/>
    <mergeCell ref="AD21:AE21"/>
    <mergeCell ref="Z42:AE44"/>
    <mergeCell ref="B33:F33"/>
    <mergeCell ref="A37:F37"/>
    <mergeCell ref="K28:N28"/>
    <mergeCell ref="O28:R28"/>
    <mergeCell ref="AB23:AC23"/>
    <mergeCell ref="AD23:AE23"/>
    <mergeCell ref="C21:F21"/>
    <mergeCell ref="G21:P21"/>
    <mergeCell ref="Q21:U21"/>
    <mergeCell ref="V21:W21"/>
    <mergeCell ref="X21:Y21"/>
    <mergeCell ref="V22:W22"/>
    <mergeCell ref="X23:Y23"/>
    <mergeCell ref="V23:W23"/>
    <mergeCell ref="Z21:AA21"/>
    <mergeCell ref="AB22:AC22"/>
    <mergeCell ref="AD22:AE22"/>
    <mergeCell ref="Z22:AA22"/>
    <mergeCell ref="Z23:AA23"/>
    <mergeCell ref="C22:F22"/>
    <mergeCell ref="G22:P22"/>
    <mergeCell ref="Q22:U22"/>
    <mergeCell ref="B34:F34"/>
    <mergeCell ref="B28:F30"/>
    <mergeCell ref="A36:F36"/>
    <mergeCell ref="A28:A30"/>
    <mergeCell ref="B31:F31"/>
    <mergeCell ref="A42:A44"/>
    <mergeCell ref="B42:B44"/>
    <mergeCell ref="C42:D44"/>
    <mergeCell ref="E42:F44"/>
    <mergeCell ref="I42:J44"/>
    <mergeCell ref="G42:H44"/>
    <mergeCell ref="B32:F32"/>
    <mergeCell ref="B35:F35"/>
    <mergeCell ref="AB1:AE1"/>
    <mergeCell ref="Q52:R52"/>
    <mergeCell ref="S48:T48"/>
    <mergeCell ref="U48:Y48"/>
    <mergeCell ref="S50:T50"/>
    <mergeCell ref="U50:Y50"/>
    <mergeCell ref="S46:T46"/>
    <mergeCell ref="A23:U23"/>
    <mergeCell ref="K45:L45"/>
    <mergeCell ref="K46:L46"/>
    <mergeCell ref="Z49:AE49"/>
    <mergeCell ref="S49:T49"/>
    <mergeCell ref="U49:Y49"/>
    <mergeCell ref="Q47:R47"/>
    <mergeCell ref="Q46:R46"/>
    <mergeCell ref="O46:P46"/>
    <mergeCell ref="O43:T43"/>
    <mergeCell ref="M47:N47"/>
    <mergeCell ref="M46:N46"/>
    <mergeCell ref="M43:N44"/>
    <mergeCell ref="S44:T44"/>
    <mergeCell ref="M45:N45"/>
    <mergeCell ref="O47:P47"/>
    <mergeCell ref="O45:P45"/>
    <mergeCell ref="V58:Z58"/>
    <mergeCell ref="U53:Y53"/>
    <mergeCell ref="S29:V29"/>
    <mergeCell ref="W28:Z28"/>
    <mergeCell ref="O29:R29"/>
    <mergeCell ref="S52:T52"/>
    <mergeCell ref="Z53:AE53"/>
    <mergeCell ref="M52:N52"/>
    <mergeCell ref="S53:T53"/>
    <mergeCell ref="U52:Y52"/>
    <mergeCell ref="Q49:R49"/>
    <mergeCell ref="S45:T45"/>
    <mergeCell ref="M51:N51"/>
    <mergeCell ref="O51:P51"/>
    <mergeCell ref="Q51:R51"/>
    <mergeCell ref="M50:N50"/>
    <mergeCell ref="M53:N53"/>
    <mergeCell ref="O44:P44"/>
    <mergeCell ref="Q44:R44"/>
    <mergeCell ref="U42:Y44"/>
    <mergeCell ref="K42:T42"/>
    <mergeCell ref="W29:Z29"/>
    <mergeCell ref="S28:V28"/>
    <mergeCell ref="K43:L44"/>
    <mergeCell ref="B57:F57"/>
    <mergeCell ref="L57:P57"/>
    <mergeCell ref="V57:Z57"/>
    <mergeCell ref="K29:N29"/>
    <mergeCell ref="A53:D53"/>
    <mergeCell ref="C52:D52"/>
    <mergeCell ref="E52:F52"/>
    <mergeCell ref="Z52:AE52"/>
    <mergeCell ref="Q53:R53"/>
    <mergeCell ref="K53:L53"/>
    <mergeCell ref="C48:D48"/>
    <mergeCell ref="C47:D47"/>
    <mergeCell ref="E46:F46"/>
    <mergeCell ref="G45:H45"/>
    <mergeCell ref="I47:J47"/>
    <mergeCell ref="G46:H46"/>
    <mergeCell ref="I46:J46"/>
    <mergeCell ref="I45:J45"/>
    <mergeCell ref="C50:D50"/>
    <mergeCell ref="E53:F53"/>
    <mergeCell ref="G53:H53"/>
    <mergeCell ref="I52:J52"/>
    <mergeCell ref="E51:F51"/>
    <mergeCell ref="C51:D51"/>
  </mergeCells>
  <phoneticPr fontId="3" type="noConversion"/>
  <pageMargins left="1.1811023622047245" right="0.39370078740157483" top="0.78740157480314965" bottom="0.78740157480314965" header="0.27559055118110237" footer="0.31496062992125984"/>
  <pageSetup paperSize="9" scale="36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257"/>
  <sheetViews>
    <sheetView view="pageBreakPreview" topLeftCell="A73" zoomScale="75" zoomScaleNormal="75" zoomScaleSheetLayoutView="75" workbookViewId="0">
      <selection activeCell="C63" sqref="C63"/>
    </sheetView>
  </sheetViews>
  <sheetFormatPr defaultRowHeight="18.75"/>
  <cols>
    <col min="1" max="1" width="50.28515625" style="2" customWidth="1"/>
    <col min="2" max="2" width="16.85546875" style="21" customWidth="1"/>
    <col min="3" max="3" width="14.5703125" style="21" customWidth="1"/>
    <col min="4" max="4" width="15.5703125" style="21" customWidth="1"/>
    <col min="5" max="5" width="14.28515625" style="21" customWidth="1"/>
    <col min="6" max="6" width="14.5703125" style="21" customWidth="1"/>
    <col min="7" max="7" width="13.7109375" style="2" customWidth="1"/>
    <col min="8" max="9" width="14.5703125" style="2" customWidth="1"/>
    <col min="10" max="10" width="15.140625" style="2" customWidth="1"/>
    <col min="11" max="11" width="10" style="2" customWidth="1"/>
    <col min="12" max="12" width="9.5703125" style="2" customWidth="1"/>
    <col min="13" max="14" width="9.140625" style="2"/>
    <col min="15" max="15" width="10.5703125" style="2" customWidth="1"/>
    <col min="16" max="16384" width="9.140625" style="2"/>
  </cols>
  <sheetData>
    <row r="1" spans="1:10">
      <c r="A1" s="106"/>
      <c r="B1" s="107"/>
      <c r="C1" s="107"/>
      <c r="D1" s="107"/>
      <c r="E1" s="107"/>
      <c r="F1" s="107" t="s">
        <v>19</v>
      </c>
      <c r="G1" s="106"/>
      <c r="H1" s="106"/>
      <c r="I1" s="106"/>
      <c r="J1" s="106"/>
    </row>
    <row r="2" spans="1:10" ht="18.75" customHeight="1">
      <c r="A2" s="301" t="s">
        <v>390</v>
      </c>
      <c r="B2" s="301"/>
      <c r="C2" s="109"/>
      <c r="D2" s="110"/>
      <c r="E2" s="110"/>
      <c r="F2" s="302" t="s">
        <v>391</v>
      </c>
      <c r="G2" s="302"/>
      <c r="H2" s="302"/>
      <c r="I2" s="302"/>
      <c r="J2" s="302"/>
    </row>
    <row r="3" spans="1:10" ht="18.75" customHeight="1">
      <c r="A3" s="303" t="s">
        <v>519</v>
      </c>
      <c r="B3" s="303"/>
      <c r="C3" s="109"/>
      <c r="D3" s="112"/>
      <c r="E3" s="112"/>
      <c r="F3" s="302"/>
      <c r="G3" s="302"/>
      <c r="H3" s="302"/>
      <c r="I3" s="302"/>
      <c r="J3" s="302"/>
    </row>
    <row r="4" spans="1:10" ht="18.75" customHeight="1">
      <c r="A4" s="303" t="s">
        <v>520</v>
      </c>
      <c r="B4" s="303"/>
      <c r="C4" s="109"/>
      <c r="D4" s="112"/>
      <c r="E4" s="112"/>
      <c r="F4" s="302"/>
      <c r="G4" s="302"/>
      <c r="H4" s="302"/>
      <c r="I4" s="302"/>
      <c r="J4" s="302"/>
    </row>
    <row r="5" spans="1:10" ht="18.75" customHeight="1">
      <c r="A5" s="303" t="s">
        <v>521</v>
      </c>
      <c r="B5" s="303"/>
      <c r="C5" s="109"/>
      <c r="D5" s="112"/>
      <c r="E5" s="112"/>
      <c r="F5" s="112"/>
      <c r="G5" s="304"/>
      <c r="H5" s="304"/>
      <c r="I5" s="113"/>
      <c r="J5" s="113"/>
    </row>
    <row r="6" spans="1:10" s="293" customFormat="1" ht="18.75" customHeight="1">
      <c r="A6" s="303" t="s">
        <v>522</v>
      </c>
      <c r="B6" s="303"/>
      <c r="C6" s="109"/>
      <c r="D6" s="112"/>
      <c r="E6" s="112"/>
      <c r="F6" s="112"/>
      <c r="G6" s="292"/>
      <c r="H6" s="292"/>
      <c r="I6" s="292"/>
      <c r="J6" s="292"/>
    </row>
    <row r="7" spans="1:10" ht="18.75" customHeight="1">
      <c r="A7" s="307" t="s">
        <v>392</v>
      </c>
      <c r="B7" s="307"/>
      <c r="C7" s="109"/>
      <c r="D7" s="114"/>
      <c r="E7" s="114"/>
      <c r="F7" s="305" t="s">
        <v>393</v>
      </c>
      <c r="G7" s="305"/>
      <c r="H7" s="305"/>
      <c r="I7" s="305"/>
      <c r="J7" s="305"/>
    </row>
    <row r="8" spans="1:10" ht="51" customHeight="1">
      <c r="A8" s="307"/>
      <c r="B8" s="307"/>
      <c r="C8" s="109"/>
      <c r="D8" s="114"/>
      <c r="E8" s="114"/>
      <c r="F8" s="305" t="s">
        <v>267</v>
      </c>
      <c r="G8" s="305"/>
      <c r="H8" s="305"/>
      <c r="I8" s="305"/>
      <c r="J8" s="305"/>
    </row>
    <row r="9" spans="1:10" ht="18.75" customHeight="1">
      <c r="A9" s="115" t="s">
        <v>360</v>
      </c>
      <c r="B9" s="108"/>
      <c r="C9" s="109"/>
      <c r="D9" s="114"/>
      <c r="E9" s="114"/>
      <c r="F9" s="306" t="s">
        <v>394</v>
      </c>
      <c r="G9" s="306"/>
      <c r="H9" s="306"/>
      <c r="I9" s="306"/>
      <c r="J9" s="306"/>
    </row>
    <row r="10" spans="1:10" ht="13.5" customHeight="1">
      <c r="A10" s="108"/>
      <c r="B10" s="108"/>
      <c r="C10" s="109"/>
      <c r="D10" s="114"/>
      <c r="E10" s="114"/>
      <c r="F10" s="306" t="s">
        <v>395</v>
      </c>
      <c r="G10" s="306"/>
      <c r="H10" s="306"/>
      <c r="I10" s="306"/>
      <c r="J10" s="306"/>
    </row>
    <row r="11" spans="1:10" ht="20.25">
      <c r="A11" s="108"/>
      <c r="B11" s="108"/>
      <c r="C11" s="109"/>
      <c r="D11" s="114"/>
      <c r="E11" s="114"/>
      <c r="F11" s="110"/>
      <c r="G11" s="110"/>
      <c r="H11" s="110"/>
      <c r="I11" s="110"/>
      <c r="J11" s="110"/>
    </row>
    <row r="12" spans="1:10" ht="81.75" customHeight="1">
      <c r="A12" s="108"/>
      <c r="B12" s="108"/>
      <c r="C12" s="109"/>
      <c r="D12" s="114"/>
      <c r="E12" s="114"/>
      <c r="F12" s="305" t="s">
        <v>523</v>
      </c>
      <c r="G12" s="305"/>
      <c r="H12" s="305"/>
      <c r="I12" s="305"/>
      <c r="J12" s="305"/>
    </row>
    <row r="13" spans="1:10" ht="20.25" customHeight="1">
      <c r="A13" s="108"/>
      <c r="B13" s="108"/>
      <c r="C13" s="109"/>
      <c r="D13" s="114"/>
      <c r="E13" s="114"/>
      <c r="F13" s="115" t="s">
        <v>360</v>
      </c>
      <c r="G13" s="110"/>
      <c r="H13" s="110"/>
      <c r="I13" s="110"/>
      <c r="J13" s="110"/>
    </row>
    <row r="14" spans="1:10" ht="19.5" customHeight="1">
      <c r="A14" s="108"/>
      <c r="B14" s="108"/>
      <c r="C14" s="109"/>
      <c r="D14" s="114"/>
      <c r="E14" s="114"/>
      <c r="F14" s="110"/>
      <c r="G14" s="113"/>
      <c r="H14" s="115"/>
      <c r="I14" s="115"/>
      <c r="J14" s="115"/>
    </row>
    <row r="15" spans="1:10" ht="19.5" customHeight="1">
      <c r="A15" s="110"/>
      <c r="B15" s="116"/>
      <c r="C15" s="116"/>
      <c r="D15" s="116"/>
      <c r="E15" s="116"/>
      <c r="F15" s="116"/>
      <c r="G15" s="117"/>
      <c r="H15" s="117"/>
      <c r="I15" s="117"/>
      <c r="J15" s="117"/>
    </row>
    <row r="16" spans="1:10" ht="19.5" customHeight="1">
      <c r="A16" s="118"/>
      <c r="B16" s="308"/>
      <c r="C16" s="308"/>
      <c r="D16" s="308"/>
      <c r="E16" s="308"/>
      <c r="F16" s="308"/>
      <c r="G16" s="119"/>
      <c r="H16" s="120"/>
      <c r="I16" s="121" t="s">
        <v>154</v>
      </c>
      <c r="J16" s="122" t="s">
        <v>268</v>
      </c>
    </row>
    <row r="17" spans="1:10" ht="16.5" customHeight="1">
      <c r="A17" s="123" t="s">
        <v>14</v>
      </c>
      <c r="B17" s="300" t="s">
        <v>421</v>
      </c>
      <c r="C17" s="300"/>
      <c r="D17" s="300"/>
      <c r="E17" s="300"/>
      <c r="F17" s="300"/>
      <c r="G17" s="124"/>
      <c r="H17" s="125"/>
      <c r="I17" s="126" t="s">
        <v>146</v>
      </c>
      <c r="J17" s="183">
        <v>30619729</v>
      </c>
    </row>
    <row r="18" spans="1:10" ht="16.5" customHeight="1">
      <c r="A18" s="123" t="s">
        <v>15</v>
      </c>
      <c r="B18" s="300" t="s">
        <v>422</v>
      </c>
      <c r="C18" s="300"/>
      <c r="D18" s="300"/>
      <c r="E18" s="300"/>
      <c r="F18" s="300"/>
      <c r="G18" s="119"/>
      <c r="H18" s="120"/>
      <c r="I18" s="126" t="s">
        <v>145</v>
      </c>
      <c r="J18" s="183">
        <v>150</v>
      </c>
    </row>
    <row r="19" spans="1:10" ht="18.75" customHeight="1">
      <c r="A19" s="123" t="s">
        <v>20</v>
      </c>
      <c r="B19" s="300" t="s">
        <v>423</v>
      </c>
      <c r="C19" s="300"/>
      <c r="D19" s="300"/>
      <c r="E19" s="300"/>
      <c r="F19" s="300"/>
      <c r="G19" s="119"/>
      <c r="H19" s="120"/>
      <c r="I19" s="126" t="s">
        <v>144</v>
      </c>
      <c r="J19" s="183">
        <v>1210136600</v>
      </c>
    </row>
    <row r="20" spans="1:10" ht="15.75" customHeight="1">
      <c r="A20" s="123" t="s">
        <v>396</v>
      </c>
      <c r="B20" s="300" t="s">
        <v>424</v>
      </c>
      <c r="C20" s="300"/>
      <c r="D20" s="300"/>
      <c r="E20" s="300"/>
      <c r="F20" s="300"/>
      <c r="G20" s="124"/>
      <c r="H20" s="125"/>
      <c r="I20" s="126" t="s">
        <v>9</v>
      </c>
      <c r="J20" s="122"/>
    </row>
    <row r="21" spans="1:10" ht="15.75" customHeight="1">
      <c r="A21" s="123" t="s">
        <v>17</v>
      </c>
      <c r="B21" s="300" t="s">
        <v>425</v>
      </c>
      <c r="C21" s="300"/>
      <c r="D21" s="300"/>
      <c r="E21" s="300"/>
      <c r="F21" s="300"/>
      <c r="G21" s="124"/>
      <c r="H21" s="125"/>
      <c r="I21" s="126" t="s">
        <v>8</v>
      </c>
      <c r="J21" s="122"/>
    </row>
    <row r="22" spans="1:10" ht="21" customHeight="1">
      <c r="A22" s="123" t="s">
        <v>16</v>
      </c>
      <c r="B22" s="300" t="s">
        <v>426</v>
      </c>
      <c r="C22" s="300"/>
      <c r="D22" s="300"/>
      <c r="E22" s="300"/>
      <c r="F22" s="300"/>
      <c r="G22" s="124"/>
      <c r="H22" s="127"/>
      <c r="I22" s="129" t="s">
        <v>10</v>
      </c>
      <c r="J22" s="183" t="s">
        <v>431</v>
      </c>
    </row>
    <row r="23" spans="1:10" ht="20.25" customHeight="1">
      <c r="A23" s="311" t="s">
        <v>397</v>
      </c>
      <c r="B23" s="308"/>
      <c r="C23" s="308"/>
      <c r="D23" s="308"/>
      <c r="E23" s="308"/>
      <c r="F23" s="308"/>
      <c r="G23" s="308" t="s">
        <v>210</v>
      </c>
      <c r="H23" s="309"/>
      <c r="I23" s="310"/>
      <c r="J23" s="130"/>
    </row>
    <row r="24" spans="1:10" ht="15.75" customHeight="1">
      <c r="A24" s="123" t="s">
        <v>21</v>
      </c>
      <c r="B24" s="300" t="s">
        <v>427</v>
      </c>
      <c r="C24" s="300"/>
      <c r="D24" s="300"/>
      <c r="E24" s="300"/>
      <c r="F24" s="300"/>
      <c r="G24" s="308" t="s">
        <v>211</v>
      </c>
      <c r="H24" s="309"/>
      <c r="I24" s="310"/>
      <c r="J24" s="130"/>
    </row>
    <row r="25" spans="1:10" ht="15.75" customHeight="1">
      <c r="A25" s="311" t="s">
        <v>518</v>
      </c>
      <c r="B25" s="308"/>
      <c r="C25" s="308"/>
      <c r="D25" s="308"/>
      <c r="E25" s="308"/>
      <c r="F25" s="308"/>
      <c r="G25" s="124"/>
      <c r="H25" s="124"/>
      <c r="I25" s="124"/>
      <c r="J25" s="125"/>
    </row>
    <row r="26" spans="1:10" ht="18.75" customHeight="1">
      <c r="A26" s="123" t="s">
        <v>11</v>
      </c>
      <c r="B26" s="300" t="s">
        <v>428</v>
      </c>
      <c r="C26" s="300"/>
      <c r="D26" s="300"/>
      <c r="E26" s="300"/>
      <c r="F26" s="300"/>
      <c r="G26" s="119"/>
      <c r="H26" s="119"/>
      <c r="I26" s="119"/>
      <c r="J26" s="120"/>
    </row>
    <row r="27" spans="1:10" ht="18" customHeight="1">
      <c r="A27" s="123" t="s">
        <v>12</v>
      </c>
      <c r="B27" s="300" t="s">
        <v>429</v>
      </c>
      <c r="C27" s="300"/>
      <c r="D27" s="300"/>
      <c r="E27" s="300"/>
      <c r="F27" s="300"/>
      <c r="G27" s="124"/>
      <c r="H27" s="124"/>
      <c r="I27" s="124"/>
      <c r="J27" s="125"/>
    </row>
    <row r="28" spans="1:10" ht="21" customHeight="1">
      <c r="A28" s="123" t="s">
        <v>13</v>
      </c>
      <c r="B28" s="300" t="s">
        <v>430</v>
      </c>
      <c r="C28" s="300"/>
      <c r="D28" s="300"/>
      <c r="E28" s="300"/>
      <c r="F28" s="300"/>
      <c r="G28" s="119"/>
      <c r="H28" s="119"/>
      <c r="I28" s="119"/>
      <c r="J28" s="120"/>
    </row>
    <row r="29" spans="1:10" ht="20.100000000000001" customHeight="1">
      <c r="A29" s="106"/>
      <c r="B29" s="106"/>
      <c r="C29" s="106"/>
      <c r="D29" s="106"/>
      <c r="E29" s="106"/>
      <c r="F29" s="106"/>
      <c r="G29" s="106"/>
      <c r="H29" s="106"/>
      <c r="I29" s="106"/>
      <c r="J29" s="106"/>
    </row>
    <row r="30" spans="1:10" ht="19.5" customHeight="1">
      <c r="A30" s="93"/>
      <c r="B30" s="106"/>
      <c r="C30" s="107"/>
      <c r="D30" s="106"/>
      <c r="E30" s="106"/>
      <c r="F30" s="106"/>
      <c r="G30" s="106"/>
      <c r="H30" s="106"/>
      <c r="I30" s="106"/>
      <c r="J30" s="106"/>
    </row>
    <row r="31" spans="1:10">
      <c r="A31" s="316" t="s">
        <v>420</v>
      </c>
      <c r="B31" s="316"/>
      <c r="C31" s="316"/>
      <c r="D31" s="316"/>
      <c r="E31" s="316"/>
      <c r="F31" s="316"/>
      <c r="G31" s="316"/>
      <c r="H31" s="316"/>
      <c r="I31" s="316"/>
      <c r="J31" s="316"/>
    </row>
    <row r="32" spans="1:10" ht="9" customHeight="1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>
      <c r="A33" s="315" t="s">
        <v>224</v>
      </c>
      <c r="B33" s="315"/>
      <c r="C33" s="315"/>
      <c r="D33" s="315"/>
      <c r="E33" s="315"/>
      <c r="F33" s="315"/>
      <c r="G33" s="315"/>
      <c r="H33" s="315"/>
      <c r="I33" s="315"/>
      <c r="J33" s="315"/>
    </row>
    <row r="34" spans="1:10" ht="12" customHeight="1">
      <c r="B34" s="23"/>
      <c r="C34" s="3"/>
      <c r="D34" s="23"/>
      <c r="E34" s="23"/>
      <c r="F34" s="23"/>
      <c r="G34" s="23"/>
      <c r="H34" s="23"/>
      <c r="I34" s="23"/>
      <c r="J34" s="23"/>
    </row>
    <row r="35" spans="1:10" ht="31.5" customHeight="1">
      <c r="A35" s="319" t="s">
        <v>280</v>
      </c>
      <c r="B35" s="320" t="s">
        <v>18</v>
      </c>
      <c r="C35" s="330" t="s">
        <v>32</v>
      </c>
      <c r="D35" s="330" t="s">
        <v>40</v>
      </c>
      <c r="E35" s="320" t="s">
        <v>152</v>
      </c>
      <c r="F35" s="334" t="s">
        <v>185</v>
      </c>
      <c r="G35" s="321" t="s">
        <v>281</v>
      </c>
      <c r="H35" s="322"/>
      <c r="I35" s="322"/>
      <c r="J35" s="323"/>
    </row>
    <row r="36" spans="1:10" ht="54.75" customHeight="1">
      <c r="A36" s="319"/>
      <c r="B36" s="320"/>
      <c r="C36" s="331"/>
      <c r="D36" s="331"/>
      <c r="E36" s="320"/>
      <c r="F36" s="335"/>
      <c r="G36" s="95" t="s">
        <v>272</v>
      </c>
      <c r="H36" s="95" t="s">
        <v>273</v>
      </c>
      <c r="I36" s="95" t="s">
        <v>274</v>
      </c>
      <c r="J36" s="95" t="s">
        <v>368</v>
      </c>
    </row>
    <row r="37" spans="1:10" ht="20.100000000000001" customHeight="1">
      <c r="A37" s="94">
        <v>1</v>
      </c>
      <c r="B37" s="95">
        <v>2</v>
      </c>
      <c r="C37" s="95">
        <v>3</v>
      </c>
      <c r="D37" s="95">
        <v>4</v>
      </c>
      <c r="E37" s="95">
        <v>5</v>
      </c>
      <c r="F37" s="95">
        <v>6</v>
      </c>
      <c r="G37" s="95">
        <v>7</v>
      </c>
      <c r="H37" s="95">
        <v>8</v>
      </c>
      <c r="I37" s="95">
        <v>9</v>
      </c>
      <c r="J37" s="95">
        <v>10</v>
      </c>
    </row>
    <row r="38" spans="1:10" ht="24.95" customHeight="1">
      <c r="A38" s="324" t="s">
        <v>108</v>
      </c>
      <c r="B38" s="325"/>
      <c r="C38" s="325"/>
      <c r="D38" s="325"/>
      <c r="E38" s="325"/>
      <c r="F38" s="325"/>
      <c r="G38" s="325"/>
      <c r="H38" s="325"/>
      <c r="I38" s="325"/>
      <c r="J38" s="326"/>
    </row>
    <row r="39" spans="1:10" ht="37.5">
      <c r="A39" s="96" t="s">
        <v>225</v>
      </c>
      <c r="B39" s="94">
        <f>'I. Фін результат'!B7</f>
        <v>1000</v>
      </c>
      <c r="C39" s="187">
        <f>'I. Фін результат'!C7</f>
        <v>2178</v>
      </c>
      <c r="D39" s="187">
        <f>'I. Фін результат'!D7</f>
        <v>2722</v>
      </c>
      <c r="E39" s="187">
        <f>'I. Фін результат'!I7</f>
        <v>2915</v>
      </c>
      <c r="F39" s="187">
        <f>'I. Фін результат'!E7</f>
        <v>2305</v>
      </c>
      <c r="G39" s="185">
        <f>ROUND(E39*105.7%,0)</f>
        <v>3081</v>
      </c>
      <c r="H39" s="185">
        <f>ROUND(G39*105.3%,0)</f>
        <v>3244</v>
      </c>
      <c r="I39" s="185">
        <f t="shared" ref="I39:J40" si="0">ROUND(H39*105.3%,0)</f>
        <v>3416</v>
      </c>
      <c r="J39" s="185">
        <f t="shared" si="0"/>
        <v>3597</v>
      </c>
    </row>
    <row r="40" spans="1:10" ht="37.5">
      <c r="A40" s="96" t="s">
        <v>193</v>
      </c>
      <c r="B40" s="94">
        <f>'I. Фін результат'!B9</f>
        <v>1010</v>
      </c>
      <c r="C40" s="187">
        <f>'I. Фін результат'!C9</f>
        <v>1957</v>
      </c>
      <c r="D40" s="187">
        <f>'I. Фін результат'!D9</f>
        <v>1998</v>
      </c>
      <c r="E40" s="187">
        <f>'I. Фін результат'!I9</f>
        <v>2264</v>
      </c>
      <c r="F40" s="187">
        <f>'I. Фін результат'!E9</f>
        <v>1684</v>
      </c>
      <c r="G40" s="185">
        <f>ROUND(E40*105.7%,0)</f>
        <v>2393</v>
      </c>
      <c r="H40" s="185">
        <f>ROUND(G40*105.3%,0)</f>
        <v>2520</v>
      </c>
      <c r="I40" s="185">
        <f t="shared" si="0"/>
        <v>2654</v>
      </c>
      <c r="J40" s="185">
        <f t="shared" si="0"/>
        <v>2795</v>
      </c>
    </row>
    <row r="41" spans="1:10" ht="20.100000000000001" customHeight="1">
      <c r="A41" s="98" t="s">
        <v>316</v>
      </c>
      <c r="B41" s="94">
        <f>'I. Фін результат'!B20</f>
        <v>1020</v>
      </c>
      <c r="C41" s="187">
        <f>'I. Фін результат'!C20</f>
        <v>221</v>
      </c>
      <c r="D41" s="187">
        <f>'I. Фін результат'!D20</f>
        <v>724</v>
      </c>
      <c r="E41" s="187">
        <f>'I. Фін результат'!I20</f>
        <v>651</v>
      </c>
      <c r="F41" s="187">
        <f>'I. Фін результат'!E20</f>
        <v>621</v>
      </c>
      <c r="G41" s="187">
        <f>G39-G40</f>
        <v>688</v>
      </c>
      <c r="H41" s="187">
        <f>H39-H40</f>
        <v>724</v>
      </c>
      <c r="I41" s="187">
        <f>I39-I40</f>
        <v>762</v>
      </c>
      <c r="J41" s="187">
        <f>J39-J40</f>
        <v>802</v>
      </c>
    </row>
    <row r="42" spans="1:10" ht="20.100000000000001" customHeight="1">
      <c r="A42" s="96" t="s">
        <v>158</v>
      </c>
      <c r="B42" s="94">
        <f>'I. Фін результат'!B24</f>
        <v>1040</v>
      </c>
      <c r="C42" s="187">
        <f>'I. Фін результат'!C24</f>
        <v>284</v>
      </c>
      <c r="D42" s="187">
        <f>'I. Фін результат'!D24</f>
        <v>285</v>
      </c>
      <c r="E42" s="187">
        <f>'I. Фін результат'!I24</f>
        <v>450</v>
      </c>
      <c r="F42" s="187">
        <f>'I. Фін результат'!E24</f>
        <v>323</v>
      </c>
      <c r="G42" s="185">
        <f>ROUND(E42*105.7%,0)</f>
        <v>476</v>
      </c>
      <c r="H42" s="185">
        <f>ROUND(G42*105.3%,0)</f>
        <v>501</v>
      </c>
      <c r="I42" s="185">
        <f t="shared" ref="I42:J42" si="1">ROUND(H42*105.3%,0)</f>
        <v>528</v>
      </c>
      <c r="J42" s="185">
        <f t="shared" si="1"/>
        <v>556</v>
      </c>
    </row>
    <row r="43" spans="1:10" ht="20.100000000000001" customHeight="1">
      <c r="A43" s="96" t="s">
        <v>155</v>
      </c>
      <c r="B43" s="94">
        <f>'I. Фін результат'!B49</f>
        <v>1070</v>
      </c>
      <c r="C43" s="187">
        <f>'I. Фін результат'!C49</f>
        <v>681</v>
      </c>
      <c r="D43" s="187">
        <f>'I. Фін результат'!D49</f>
        <v>695</v>
      </c>
      <c r="E43" s="187">
        <f>'I. Фін результат'!I49</f>
        <v>816</v>
      </c>
      <c r="F43" s="187">
        <f>'I. Фін результат'!E49</f>
        <v>661</v>
      </c>
      <c r="G43" s="185">
        <f>ROUND(E43*105.7%,0)</f>
        <v>863</v>
      </c>
      <c r="H43" s="185">
        <f>ROUND(G43*105.3%,0)</f>
        <v>909</v>
      </c>
      <c r="I43" s="185">
        <f t="shared" ref="I43:J46" si="2">ROUND(H43*105.3%,0)</f>
        <v>957</v>
      </c>
      <c r="J43" s="185">
        <f t="shared" si="2"/>
        <v>1008</v>
      </c>
    </row>
    <row r="44" spans="1:10" ht="20.100000000000001" customHeight="1">
      <c r="A44" s="96" t="s">
        <v>159</v>
      </c>
      <c r="B44" s="94">
        <f>'I. Фін результат'!B85</f>
        <v>1300</v>
      </c>
      <c r="C44" s="187">
        <f>'I. Фін результат'!C85</f>
        <v>310</v>
      </c>
      <c r="D44" s="187">
        <f>'I. Фін результат'!D85</f>
        <v>355</v>
      </c>
      <c r="E44" s="187">
        <f>'I. Фін результат'!I85</f>
        <v>366</v>
      </c>
      <c r="F44" s="187">
        <f>'I. Фін результат'!E85</f>
        <v>167</v>
      </c>
      <c r="G44" s="185">
        <f>ROUND(E44*105.7%,0)</f>
        <v>387</v>
      </c>
      <c r="H44" s="185">
        <f>ROUND(G44*105.3%,0)</f>
        <v>408</v>
      </c>
      <c r="I44" s="185">
        <f t="shared" si="2"/>
        <v>430</v>
      </c>
      <c r="J44" s="185">
        <f t="shared" si="2"/>
        <v>453</v>
      </c>
    </row>
    <row r="45" spans="1:10" ht="37.5">
      <c r="A45" s="99" t="s">
        <v>4</v>
      </c>
      <c r="B45" s="94">
        <f>'I. Фін результат'!B67</f>
        <v>1100</v>
      </c>
      <c r="C45" s="187">
        <f>'I. Фін результат'!C67</f>
        <v>-434</v>
      </c>
      <c r="D45" s="187">
        <f>'I. Фін результат'!D67</f>
        <v>99</v>
      </c>
      <c r="E45" s="187">
        <f>'I. Фін результат'!I67</f>
        <v>-249</v>
      </c>
      <c r="F45" s="187">
        <f>'I. Фін результат'!E67</f>
        <v>-196</v>
      </c>
      <c r="G45" s="187">
        <f>G41-G42-G43+G44</f>
        <v>-264</v>
      </c>
      <c r="H45" s="187">
        <f>H41-H42-H43+H44</f>
        <v>-278</v>
      </c>
      <c r="I45" s="187">
        <f>I41-I42-I43+I44</f>
        <v>-293</v>
      </c>
      <c r="J45" s="187">
        <f>J41-J42-J43+J44</f>
        <v>-309</v>
      </c>
    </row>
    <row r="46" spans="1:10" ht="20.100000000000001" customHeight="1">
      <c r="A46" s="99" t="s">
        <v>160</v>
      </c>
      <c r="B46" s="94">
        <f>'I. Фін результат'!B96</f>
        <v>1410</v>
      </c>
      <c r="C46" s="187">
        <f>'I. Фін результат'!C96</f>
        <v>-88</v>
      </c>
      <c r="D46" s="187">
        <f>'I. Фін результат'!D96</f>
        <v>412</v>
      </c>
      <c r="E46" s="187">
        <f>'I. Фін результат'!I96</f>
        <v>155</v>
      </c>
      <c r="F46" s="187">
        <f>'I. Фін результат'!E96</f>
        <v>219</v>
      </c>
      <c r="G46" s="185">
        <f>ROUND(E46*105.7%,0)</f>
        <v>164</v>
      </c>
      <c r="H46" s="185">
        <f>ROUND(G46*105.3%,0)</f>
        <v>173</v>
      </c>
      <c r="I46" s="185">
        <f t="shared" si="2"/>
        <v>182</v>
      </c>
      <c r="J46" s="185">
        <f t="shared" si="2"/>
        <v>192</v>
      </c>
    </row>
    <row r="47" spans="1:10" ht="20.100000000000001" customHeight="1">
      <c r="A47" s="100" t="s">
        <v>247</v>
      </c>
      <c r="B47" s="94">
        <f>' V. Коефіцієнти'!B8</f>
        <v>5010</v>
      </c>
      <c r="C47" s="188">
        <f>' V. Коефіцієнти'!D8</f>
        <v>-4.0404040404040407</v>
      </c>
      <c r="D47" s="188">
        <f>D46*100/D39</f>
        <v>15.135929463629685</v>
      </c>
      <c r="E47" s="188">
        <f>' V. Коефіцієнти'!G8</f>
        <v>5.3173241852487134</v>
      </c>
      <c r="F47" s="188">
        <f>' V. Коефіцієнти'!F8</f>
        <v>9.5010845986984815</v>
      </c>
      <c r="G47" s="196">
        <f>G46*100/G39</f>
        <v>5.3229470950989937</v>
      </c>
      <c r="H47" s="196">
        <f>H46*100/H39</f>
        <v>5.332922318125771</v>
      </c>
      <c r="I47" s="196">
        <f>I46*100/I39</f>
        <v>5.3278688524590168</v>
      </c>
      <c r="J47" s="196">
        <f>J46*100/J39</f>
        <v>5.337781484570475</v>
      </c>
    </row>
    <row r="48" spans="1:10" ht="37.5">
      <c r="A48" s="100" t="s">
        <v>161</v>
      </c>
      <c r="B48" s="94">
        <f>'I. Фін результат'!B86</f>
        <v>1310</v>
      </c>
      <c r="C48" s="187">
        <f>'I. Фін результат'!C86</f>
        <v>0</v>
      </c>
      <c r="D48" s="187">
        <f>'I. Фін результат'!D86</f>
        <v>0</v>
      </c>
      <c r="E48" s="187">
        <f>'I. Фін результат'!I86</f>
        <v>0</v>
      </c>
      <c r="F48" s="187">
        <f>'I. Фін результат'!E86</f>
        <v>0</v>
      </c>
      <c r="G48" s="185">
        <f>ROUND(E48*105.7%,0)</f>
        <v>0</v>
      </c>
      <c r="H48" s="185">
        <f>ROUND(G48*105.3%,0)</f>
        <v>0</v>
      </c>
      <c r="I48" s="185">
        <f t="shared" ref="I48:J48" si="3">ROUND(H48*105.3%,0)</f>
        <v>0</v>
      </c>
      <c r="J48" s="185">
        <f t="shared" si="3"/>
        <v>0</v>
      </c>
    </row>
    <row r="49" spans="1:10" ht="20.100000000000001" customHeight="1">
      <c r="A49" s="96" t="s">
        <v>252</v>
      </c>
      <c r="B49" s="94">
        <f>'I. Фін результат'!B87</f>
        <v>1320</v>
      </c>
      <c r="C49" s="187">
        <f>'I. Фін результат'!C87</f>
        <v>267</v>
      </c>
      <c r="D49" s="187">
        <f>'I. Фін результат'!D87</f>
        <v>266</v>
      </c>
      <c r="E49" s="187">
        <f>'I. Фін результат'!I87</f>
        <v>359</v>
      </c>
      <c r="F49" s="187">
        <f>'I. Фін результат'!E87</f>
        <v>281</v>
      </c>
      <c r="G49" s="185">
        <f>ROUND(E49*105.7%,0)</f>
        <v>379</v>
      </c>
      <c r="H49" s="185">
        <f>ROUND(G49*105.3%,0)</f>
        <v>399</v>
      </c>
      <c r="I49" s="185">
        <f t="shared" ref="I49:J49" si="4">ROUND(H49*105.3%,0)</f>
        <v>420</v>
      </c>
      <c r="J49" s="185">
        <f t="shared" si="4"/>
        <v>442</v>
      </c>
    </row>
    <row r="50" spans="1:10" ht="37.5">
      <c r="A50" s="99" t="s">
        <v>106</v>
      </c>
      <c r="B50" s="94">
        <f>'I. Фін результат'!B77</f>
        <v>1170</v>
      </c>
      <c r="C50" s="187">
        <f>'I. Фін результат'!C77</f>
        <v>-167</v>
      </c>
      <c r="D50" s="187">
        <f>'I. Фін результат'!D77</f>
        <v>365</v>
      </c>
      <c r="E50" s="187">
        <f>'I. Фін результат'!I77</f>
        <v>110</v>
      </c>
      <c r="F50" s="187">
        <f>'I. Фін результат'!E77</f>
        <v>85</v>
      </c>
      <c r="G50" s="187">
        <f>G45+G48+G49</f>
        <v>115</v>
      </c>
      <c r="H50" s="187">
        <f>H45+H48+H49</f>
        <v>121</v>
      </c>
      <c r="I50" s="187">
        <f>I45+I48+I49</f>
        <v>127</v>
      </c>
      <c r="J50" s="187">
        <f>J45+J48+J49</f>
        <v>133</v>
      </c>
    </row>
    <row r="51" spans="1:10" ht="20.100000000000001" customHeight="1">
      <c r="A51" s="100" t="s">
        <v>156</v>
      </c>
      <c r="B51" s="94">
        <f>'I. Фін результат'!B78</f>
        <v>1180</v>
      </c>
      <c r="C51" s="187">
        <f>'I. Фін результат'!C78</f>
        <v>0</v>
      </c>
      <c r="D51" s="187">
        <f>'I. Фін результат'!D78</f>
        <v>66</v>
      </c>
      <c r="E51" s="187">
        <f>'I. Фін результат'!I78</f>
        <v>20</v>
      </c>
      <c r="F51" s="187">
        <f>'I. Фін результат'!E78</f>
        <v>15</v>
      </c>
      <c r="G51" s="187">
        <f>ROUND(G50*18%,0)</f>
        <v>21</v>
      </c>
      <c r="H51" s="187">
        <f t="shared" ref="H51:J51" si="5">ROUND(H50*18%,0)</f>
        <v>22</v>
      </c>
      <c r="I51" s="187">
        <f t="shared" si="5"/>
        <v>23</v>
      </c>
      <c r="J51" s="187">
        <f t="shared" si="5"/>
        <v>24</v>
      </c>
    </row>
    <row r="52" spans="1:10" ht="20.100000000000001" customHeight="1">
      <c r="A52" s="99" t="s">
        <v>248</v>
      </c>
      <c r="B52" s="94">
        <f>'I. Фін результат'!B80</f>
        <v>1200</v>
      </c>
      <c r="C52" s="187">
        <f>'I. Фін результат'!C80</f>
        <v>-167</v>
      </c>
      <c r="D52" s="187">
        <f>'I. Фін результат'!D80</f>
        <v>299</v>
      </c>
      <c r="E52" s="187">
        <f>'I. Фін результат'!I80</f>
        <v>90</v>
      </c>
      <c r="F52" s="187">
        <f>'I. Фін результат'!E80</f>
        <v>70</v>
      </c>
      <c r="G52" s="187">
        <f>G50-G51</f>
        <v>94</v>
      </c>
      <c r="H52" s="187">
        <f>H50-H51</f>
        <v>99</v>
      </c>
      <c r="I52" s="187">
        <f>I50-I51</f>
        <v>104</v>
      </c>
      <c r="J52" s="187">
        <f>J50-J51</f>
        <v>109</v>
      </c>
    </row>
    <row r="53" spans="1:10" ht="20.100000000000001" customHeight="1">
      <c r="A53" s="100" t="s">
        <v>249</v>
      </c>
      <c r="B53" s="94">
        <f>' V. Коефіцієнти'!B11</f>
        <v>5040</v>
      </c>
      <c r="C53" s="188">
        <f>' V. Коефіцієнти'!D11</f>
        <v>-7.6675849403122137E-2</v>
      </c>
      <c r="D53" s="188">
        <f>D52/D39</f>
        <v>0.10984570168993388</v>
      </c>
      <c r="E53" s="188">
        <f>' V. Коефіцієнти'!G11</f>
        <v>3.0874785591766724E-2</v>
      </c>
      <c r="F53" s="188">
        <f>' V. Коефіцієнти'!F11</f>
        <v>3.0368763557483729E-2</v>
      </c>
      <c r="G53" s="188">
        <f>G52/G39</f>
        <v>3.050957481337228E-2</v>
      </c>
      <c r="H53" s="188">
        <f>H52/H39</f>
        <v>3.0517879161528975E-2</v>
      </c>
      <c r="I53" s="188">
        <f>I52/I39</f>
        <v>3.0444964871194378E-2</v>
      </c>
      <c r="J53" s="188">
        <f>J52/J39</f>
        <v>3.0303030303030304E-2</v>
      </c>
    </row>
    <row r="54" spans="1:10" ht="24.95" customHeight="1">
      <c r="A54" s="312" t="s">
        <v>173</v>
      </c>
      <c r="B54" s="313"/>
      <c r="C54" s="313"/>
      <c r="D54" s="313"/>
      <c r="E54" s="313"/>
      <c r="F54" s="313"/>
      <c r="G54" s="313"/>
      <c r="H54" s="313"/>
      <c r="I54" s="313"/>
      <c r="J54" s="314"/>
    </row>
    <row r="55" spans="1:10" ht="20.100000000000001" customHeight="1">
      <c r="A55" s="101" t="s">
        <v>373</v>
      </c>
      <c r="B55" s="94">
        <f>'ІІ. Розр. з бюджетом'!B19</f>
        <v>2100</v>
      </c>
      <c r="C55" s="187">
        <f>'ІІ. Розр. з бюджетом'!C19</f>
        <v>0</v>
      </c>
      <c r="D55" s="187">
        <f>'ІІ. Розр. з бюджетом'!D19</f>
        <v>371</v>
      </c>
      <c r="E55" s="187">
        <f>'ІІ. Розр. з бюджетом'!I19</f>
        <v>92</v>
      </c>
      <c r="F55" s="187">
        <f>'ІІ. Розр. з бюджетом'!E19</f>
        <v>46</v>
      </c>
      <c r="G55" s="185">
        <f>ROUND(G52*66%,0)</f>
        <v>62</v>
      </c>
      <c r="H55" s="185">
        <f t="shared" ref="H55:J55" si="6">ROUND(H52*66%,0)</f>
        <v>65</v>
      </c>
      <c r="I55" s="185">
        <f t="shared" si="6"/>
        <v>69</v>
      </c>
      <c r="J55" s="185">
        <f t="shared" si="6"/>
        <v>72</v>
      </c>
    </row>
    <row r="56" spans="1:10" ht="20.100000000000001" customHeight="1">
      <c r="A56" s="102" t="s">
        <v>172</v>
      </c>
      <c r="B56" s="94">
        <f>'ІІ. Розр. з бюджетом'!B22</f>
        <v>2110</v>
      </c>
      <c r="C56" s="187">
        <f>'ІІ. Розр. з бюджетом'!C22</f>
        <v>0</v>
      </c>
      <c r="D56" s="187">
        <f>'ІІ. Розр. з бюджетом'!D22</f>
        <v>66</v>
      </c>
      <c r="E56" s="187">
        <f>'ІІ. Розр. з бюджетом'!I22</f>
        <v>20</v>
      </c>
      <c r="F56" s="187">
        <f>'ІІ. Розр. з бюджетом'!E22</f>
        <v>15</v>
      </c>
      <c r="G56" s="187">
        <f>G51</f>
        <v>21</v>
      </c>
      <c r="H56" s="187">
        <f>H51</f>
        <v>22</v>
      </c>
      <c r="I56" s="187">
        <f>I51</f>
        <v>23</v>
      </c>
      <c r="J56" s="187">
        <f>J51</f>
        <v>24</v>
      </c>
    </row>
    <row r="57" spans="1:10" ht="56.25">
      <c r="A57" s="102" t="s">
        <v>369</v>
      </c>
      <c r="B57" s="94" t="s">
        <v>250</v>
      </c>
      <c r="C57" s="187">
        <f>SUM('ІІ. Розр. з бюджетом'!C23,'ІІ. Розр. з бюджетом'!C24)</f>
        <v>0</v>
      </c>
      <c r="D57" s="187">
        <f>SUM('ІІ. Розр. з бюджетом'!D23,'ІІ. Розр. з бюджетом'!D24)</f>
        <v>348</v>
      </c>
      <c r="E57" s="187">
        <f>'ІІ. Розр. з бюджетом'!I23+'ІІ. Розр. з бюджетом'!I24</f>
        <v>348</v>
      </c>
      <c r="F57" s="187">
        <f>SUM('ІІ. Розр. з бюджетом'!E23,'ІІ. Розр. з бюджетом'!E24)</f>
        <v>0</v>
      </c>
      <c r="G57" s="185">
        <f>ROUND(E57*105.7%,0)</f>
        <v>368</v>
      </c>
      <c r="H57" s="185">
        <f>ROUND(G57*105.3%,0)</f>
        <v>388</v>
      </c>
      <c r="I57" s="185">
        <f t="shared" ref="I57:J57" si="7">ROUND(H57*105.3%,0)</f>
        <v>409</v>
      </c>
      <c r="J57" s="185">
        <f t="shared" si="7"/>
        <v>431</v>
      </c>
    </row>
    <row r="58" spans="1:10" ht="56.25">
      <c r="A58" s="101" t="s">
        <v>374</v>
      </c>
      <c r="B58" s="94">
        <f>'ІІ. Розр. з бюджетом'!B25</f>
        <v>2140</v>
      </c>
      <c r="C58" s="187">
        <f>'ІІ. Розр. з бюджетом'!C25</f>
        <v>176</v>
      </c>
      <c r="D58" s="187">
        <f>'ІІ. Розр. з бюджетом'!D25</f>
        <v>192</v>
      </c>
      <c r="E58" s="187">
        <f>'ІІ. Розр. з бюджетом'!I25</f>
        <v>240</v>
      </c>
      <c r="F58" s="187">
        <f>'ІІ. Розр. з бюджетом'!E25</f>
        <v>13</v>
      </c>
      <c r="G58" s="185">
        <f>ROUND(E58*105.7%,0)</f>
        <v>254</v>
      </c>
      <c r="H58" s="185">
        <f>ROUND(G58*105.3%,0)</f>
        <v>267</v>
      </c>
      <c r="I58" s="185">
        <f t="shared" ref="I58:J59" si="8">ROUND(H58*105.3%,0)</f>
        <v>281</v>
      </c>
      <c r="J58" s="185">
        <f t="shared" si="8"/>
        <v>296</v>
      </c>
    </row>
    <row r="59" spans="1:10" ht="39" customHeight="1">
      <c r="A59" s="101" t="s">
        <v>90</v>
      </c>
      <c r="B59" s="94">
        <f>'ІІ. Розр. з бюджетом'!B36</f>
        <v>2150</v>
      </c>
      <c r="C59" s="187">
        <f>'ІІ. Розр. з бюджетом'!C36</f>
        <v>178</v>
      </c>
      <c r="D59" s="187">
        <f>'ІІ. Розр. з бюджетом'!D36</f>
        <v>208</v>
      </c>
      <c r="E59" s="187">
        <f>'ІІ. Розр. з бюджетом'!I36</f>
        <v>263</v>
      </c>
      <c r="F59" s="187">
        <f>'ІІ. Розр. з бюджетом'!E36</f>
        <v>182</v>
      </c>
      <c r="G59" s="185">
        <f>ROUND(E59*105.7%,0)</f>
        <v>278</v>
      </c>
      <c r="H59" s="185">
        <f>ROUND(G59*105.3%,0)</f>
        <v>293</v>
      </c>
      <c r="I59" s="185">
        <f t="shared" si="8"/>
        <v>309</v>
      </c>
      <c r="J59" s="185">
        <f t="shared" si="8"/>
        <v>325</v>
      </c>
    </row>
    <row r="60" spans="1:10" ht="20.100000000000001" customHeight="1">
      <c r="A60" s="103" t="s">
        <v>375</v>
      </c>
      <c r="B60" s="94">
        <f>'ІІ. Розр. з бюджетом'!B37</f>
        <v>2200</v>
      </c>
      <c r="C60" s="187">
        <f>'ІІ. Розр. з бюджетом'!C37</f>
        <v>354</v>
      </c>
      <c r="D60" s="187">
        <f>'ІІ. Розр. з бюджетом'!D37</f>
        <v>1185</v>
      </c>
      <c r="E60" s="187">
        <f>'ІІ. Розр. з бюджетом'!I37</f>
        <v>963</v>
      </c>
      <c r="F60" s="187">
        <f>'ІІ. Розр. з бюджетом'!E37</f>
        <v>256</v>
      </c>
      <c r="G60" s="187">
        <f>SUM(G55:G59)</f>
        <v>983</v>
      </c>
      <c r="H60" s="187">
        <f>SUM(H55:H59)</f>
        <v>1035</v>
      </c>
      <c r="I60" s="187">
        <f>SUM(I55:I59)</f>
        <v>1091</v>
      </c>
      <c r="J60" s="187">
        <f>SUM(J55:J59)</f>
        <v>1148</v>
      </c>
    </row>
    <row r="61" spans="1:10" ht="24.95" customHeight="1">
      <c r="A61" s="312" t="s">
        <v>171</v>
      </c>
      <c r="B61" s="313"/>
      <c r="C61" s="313"/>
      <c r="D61" s="313"/>
      <c r="E61" s="313"/>
      <c r="F61" s="313"/>
      <c r="G61" s="313"/>
      <c r="H61" s="313"/>
      <c r="I61" s="313"/>
      <c r="J61" s="314"/>
    </row>
    <row r="62" spans="1:10" ht="20.100000000000001" customHeight="1">
      <c r="A62" s="103" t="s">
        <v>162</v>
      </c>
      <c r="B62" s="94">
        <f>'ІІІ. Рух грош. коштів'!B68</f>
        <v>3600</v>
      </c>
      <c r="C62" s="187">
        <f>'ІІІ. Рух грош. коштів'!C68</f>
        <v>31</v>
      </c>
      <c r="D62" s="187">
        <f>'ІІІ. Рух грош. коштів'!D68</f>
        <v>338</v>
      </c>
      <c r="E62" s="187">
        <f>'ІІІ. Рух грош. коштів'!I68</f>
        <v>302</v>
      </c>
      <c r="F62" s="187">
        <f>'ІІІ. Рух грош. коштів'!E68</f>
        <v>91</v>
      </c>
      <c r="G62" s="187">
        <f>E67</f>
        <v>704</v>
      </c>
      <c r="H62" s="187">
        <f>G67</f>
        <v>1129</v>
      </c>
      <c r="I62" s="187">
        <f>H67</f>
        <v>1577</v>
      </c>
      <c r="J62" s="187">
        <f>I67</f>
        <v>2049</v>
      </c>
    </row>
    <row r="63" spans="1:10" ht="37.5">
      <c r="A63" s="101" t="s">
        <v>163</v>
      </c>
      <c r="B63" s="94">
        <f>'ІІІ. Рух грош. коштів'!B22</f>
        <v>3090</v>
      </c>
      <c r="C63" s="187">
        <f>'ІІІ. Рух грош. коштів'!C22</f>
        <v>2047</v>
      </c>
      <c r="D63" s="187">
        <f>'ІІІ. Рух грош. коштів'!D22</f>
        <v>612</v>
      </c>
      <c r="E63" s="187">
        <f>'ІІІ. Рух грош. коштів'!I22</f>
        <v>494</v>
      </c>
      <c r="F63" s="187">
        <f>'ІІІ. Рух грош. коштів'!E22</f>
        <v>257</v>
      </c>
      <c r="G63" s="185">
        <f>ROUND(E63*105.7%,0)</f>
        <v>522</v>
      </c>
      <c r="H63" s="185">
        <f>ROUND(G63*105.3%,0)</f>
        <v>550</v>
      </c>
      <c r="I63" s="185">
        <f t="shared" ref="I63:J63" si="9">ROUND(H63*105.3%,0)</f>
        <v>579</v>
      </c>
      <c r="J63" s="185">
        <f t="shared" si="9"/>
        <v>610</v>
      </c>
    </row>
    <row r="64" spans="1:10" ht="37.5">
      <c r="A64" s="101" t="s">
        <v>253</v>
      </c>
      <c r="B64" s="94">
        <f>'ІІІ. Рух грош. коштів'!B39</f>
        <v>3320</v>
      </c>
      <c r="C64" s="187">
        <f>'ІІІ. Рух грош. коштів'!C39</f>
        <v>-324</v>
      </c>
      <c r="D64" s="187">
        <f>'ІІІ. Рух грош. коштів'!D39</f>
        <v>0</v>
      </c>
      <c r="E64" s="187">
        <f>'ІІІ. Рух грош. коштів'!I39</f>
        <v>0</v>
      </c>
      <c r="F64" s="187">
        <f>'ІІІ. Рух грош. коштів'!E39</f>
        <v>0</v>
      </c>
      <c r="G64" s="185">
        <f>ROUND(E64*105.7%,0)</f>
        <v>0</v>
      </c>
      <c r="H64" s="185">
        <f>ROUND(G64*105.3%,0)</f>
        <v>0</v>
      </c>
      <c r="I64" s="185">
        <f t="shared" ref="I64:J64" si="10">ROUND(H64*105.3%,0)</f>
        <v>0</v>
      </c>
      <c r="J64" s="185">
        <f t="shared" si="10"/>
        <v>0</v>
      </c>
    </row>
    <row r="65" spans="1:10" ht="37.5">
      <c r="A65" s="101" t="s">
        <v>164</v>
      </c>
      <c r="B65" s="94">
        <f>'ІІІ. Рух грош. коштів'!B66</f>
        <v>3580</v>
      </c>
      <c r="C65" s="187">
        <f>'ІІІ. Рух грош. коштів'!C66</f>
        <v>-1663</v>
      </c>
      <c r="D65" s="187">
        <f>'ІІІ. Рух грош. коштів'!D66</f>
        <v>-371</v>
      </c>
      <c r="E65" s="187">
        <f>'ІІІ. Рух грош. коштів'!I66</f>
        <v>-92</v>
      </c>
      <c r="F65" s="187">
        <f>'ІІІ. Рух грош. коштів'!E66</f>
        <v>-46</v>
      </c>
      <c r="G65" s="185">
        <f>ROUND(E65*105.7%,0)</f>
        <v>-97</v>
      </c>
      <c r="H65" s="185">
        <f>ROUND(G65*105.3%,0)</f>
        <v>-102</v>
      </c>
      <c r="I65" s="185">
        <f t="shared" ref="I65:J65" si="11">ROUND(H65*105.3%,0)</f>
        <v>-107</v>
      </c>
      <c r="J65" s="185">
        <f t="shared" si="11"/>
        <v>-113</v>
      </c>
    </row>
    <row r="66" spans="1:10" ht="37.5">
      <c r="A66" s="101" t="s">
        <v>188</v>
      </c>
      <c r="B66" s="94">
        <f>'ІІІ. Рух грош. коштів'!B69</f>
        <v>3610</v>
      </c>
      <c r="C66" s="187">
        <f>'ІІІ. Рух грош. коштів'!C69</f>
        <v>0</v>
      </c>
      <c r="D66" s="187">
        <f>'ІІІ. Рух грош. коштів'!D69</f>
        <v>0</v>
      </c>
      <c r="E66" s="187">
        <f>'ІІІ. Рух грош. коштів'!I69</f>
        <v>0</v>
      </c>
      <c r="F66" s="187">
        <f>'ІІІ. Рух грош. коштів'!E69</f>
        <v>0</v>
      </c>
      <c r="G66" s="185">
        <f>ROUND(E66*105.7%,0)</f>
        <v>0</v>
      </c>
      <c r="H66" s="185">
        <f>ROUND(G66*105.3%,0)</f>
        <v>0</v>
      </c>
      <c r="I66" s="185">
        <f t="shared" ref="I66:J66" si="12">ROUND(H66*105.3%,0)</f>
        <v>0</v>
      </c>
      <c r="J66" s="185">
        <f t="shared" si="12"/>
        <v>0</v>
      </c>
    </row>
    <row r="67" spans="1:10" ht="20.100000000000001" customHeight="1">
      <c r="A67" s="103" t="s">
        <v>165</v>
      </c>
      <c r="B67" s="94">
        <f>'ІІІ. Рух грош. коштів'!B70</f>
        <v>3620</v>
      </c>
      <c r="C67" s="187">
        <f>'ІІІ. Рух грош. коштів'!C70</f>
        <v>91</v>
      </c>
      <c r="D67" s="187">
        <f>'ІІІ. Рух грош. коштів'!D70</f>
        <v>579</v>
      </c>
      <c r="E67" s="187">
        <f>'ІІІ. Рух грош. коштів'!I70</f>
        <v>704</v>
      </c>
      <c r="F67" s="187">
        <f>'ІІІ. Рух грош. коштів'!E70</f>
        <v>302</v>
      </c>
      <c r="G67" s="187">
        <f>SUM(G62:G66)</f>
        <v>1129</v>
      </c>
      <c r="H67" s="187">
        <f>SUM(H62:H66)</f>
        <v>1577</v>
      </c>
      <c r="I67" s="187">
        <f>SUM(I62:I66)</f>
        <v>2049</v>
      </c>
      <c r="J67" s="187">
        <f>SUM(J62:J66)</f>
        <v>2546</v>
      </c>
    </row>
    <row r="68" spans="1:10" ht="24.95" customHeight="1">
      <c r="A68" s="338" t="s">
        <v>232</v>
      </c>
      <c r="B68" s="339"/>
      <c r="C68" s="339"/>
      <c r="D68" s="339"/>
      <c r="E68" s="339"/>
      <c r="F68" s="339"/>
      <c r="G68" s="339"/>
      <c r="H68" s="339"/>
      <c r="I68" s="339"/>
      <c r="J68" s="340"/>
    </row>
    <row r="69" spans="1:10" ht="20.100000000000001" customHeight="1">
      <c r="A69" s="101" t="s">
        <v>231</v>
      </c>
      <c r="B69" s="94">
        <f>'IV. Кап. інвестиції'!B6</f>
        <v>4000</v>
      </c>
      <c r="C69" s="187">
        <f>'IV. Кап. інвестиції'!C6</f>
        <v>0</v>
      </c>
      <c r="D69" s="187">
        <f>'IV. Кап. інвестиції'!D6</f>
        <v>0</v>
      </c>
      <c r="E69" s="187">
        <f>'IV. Кап. інвестиції'!I6</f>
        <v>0</v>
      </c>
      <c r="F69" s="187">
        <f>'IV. Кап. інвестиції'!E6</f>
        <v>0</v>
      </c>
      <c r="G69" s="185">
        <f>ROUND(E69*105.7%,0)</f>
        <v>0</v>
      </c>
      <c r="H69" s="185">
        <f>ROUND(G69*105.3%,0)</f>
        <v>0</v>
      </c>
      <c r="I69" s="185">
        <f t="shared" ref="I69:J69" si="13">ROUND(H69*105.3%,0)</f>
        <v>0</v>
      </c>
      <c r="J69" s="185">
        <f t="shared" si="13"/>
        <v>0</v>
      </c>
    </row>
    <row r="70" spans="1:10" ht="24.95" customHeight="1">
      <c r="A70" s="327" t="s">
        <v>235</v>
      </c>
      <c r="B70" s="328"/>
      <c r="C70" s="328"/>
      <c r="D70" s="328"/>
      <c r="E70" s="328"/>
      <c r="F70" s="328"/>
      <c r="G70" s="328"/>
      <c r="H70" s="328"/>
      <c r="I70" s="328"/>
      <c r="J70" s="329"/>
    </row>
    <row r="71" spans="1:10" ht="20.100000000000001" customHeight="1">
      <c r="A71" s="101" t="s">
        <v>191</v>
      </c>
      <c r="B71" s="94">
        <f>' V. Коефіцієнти'!B9</f>
        <v>5020</v>
      </c>
      <c r="C71" s="188">
        <f>' V. Коефіцієнти'!D9</f>
        <v>-0.10398505603985056</v>
      </c>
      <c r="D71" s="188">
        <f>D52/D78</f>
        <v>7.0319849482596425E-2</v>
      </c>
      <c r="E71" s="188">
        <f>' V. Коефіцієнти'!G9</f>
        <v>6.637168141592921E-2</v>
      </c>
      <c r="F71" s="188">
        <f>' V. Коефіцієнти'!F9</f>
        <v>5.2005943536404163E-2</v>
      </c>
      <c r="G71" s="97" t="s">
        <v>244</v>
      </c>
      <c r="H71" s="97" t="s">
        <v>244</v>
      </c>
      <c r="I71" s="97" t="s">
        <v>244</v>
      </c>
      <c r="J71" s="97" t="s">
        <v>244</v>
      </c>
    </row>
    <row r="72" spans="1:10" ht="37.5">
      <c r="A72" s="101" t="s">
        <v>187</v>
      </c>
      <c r="B72" s="94">
        <f>' V. Коефіцієнти'!B10</f>
        <v>5030</v>
      </c>
      <c r="C72" s="188">
        <f>' V. Коефіцієнти'!D10</f>
        <v>-0.32115384615384618</v>
      </c>
      <c r="D72" s="188">
        <f>D52/D84</f>
        <v>7.1241362878246367E-2</v>
      </c>
      <c r="E72" s="188">
        <f>' V. Коефіцієнти'!G10</f>
        <v>0.17821782178217821</v>
      </c>
      <c r="F72" s="188">
        <f>' V. Коефіцієнти'!F10</f>
        <v>0.13806706114398423</v>
      </c>
      <c r="G72" s="97" t="s">
        <v>244</v>
      </c>
      <c r="H72" s="97" t="s">
        <v>244</v>
      </c>
      <c r="I72" s="97" t="s">
        <v>244</v>
      </c>
      <c r="J72" s="97" t="s">
        <v>244</v>
      </c>
    </row>
    <row r="73" spans="1:10" ht="20.100000000000001" customHeight="1">
      <c r="A73" s="101" t="s">
        <v>251</v>
      </c>
      <c r="B73" s="94">
        <f>' V. Коефіцієнти'!B14</f>
        <v>5110</v>
      </c>
      <c r="C73" s="188">
        <f>' V. Коефіцієнти'!D14</f>
        <v>0.47882136279926335</v>
      </c>
      <c r="D73" s="188">
        <f>D84/(D79+D80)</f>
        <v>76.309090909090912</v>
      </c>
      <c r="E73" s="188">
        <f>' V. Коефіцієнти'!G14</f>
        <v>0.59341950646298469</v>
      </c>
      <c r="F73" s="188">
        <f>' V. Коефіцієнти'!F14</f>
        <v>0.6042908224076281</v>
      </c>
      <c r="G73" s="97" t="s">
        <v>244</v>
      </c>
      <c r="H73" s="97" t="s">
        <v>244</v>
      </c>
      <c r="I73" s="97" t="s">
        <v>244</v>
      </c>
      <c r="J73" s="97" t="s">
        <v>244</v>
      </c>
    </row>
    <row r="74" spans="1:10" ht="24.95" customHeight="1">
      <c r="A74" s="312" t="s">
        <v>234</v>
      </c>
      <c r="B74" s="313"/>
      <c r="C74" s="313"/>
      <c r="D74" s="313"/>
      <c r="E74" s="313"/>
      <c r="F74" s="313"/>
      <c r="G74" s="313"/>
      <c r="H74" s="313"/>
      <c r="I74" s="313"/>
      <c r="J74" s="314"/>
    </row>
    <row r="75" spans="1:10" ht="20.100000000000001" customHeight="1">
      <c r="A75" s="101" t="s">
        <v>166</v>
      </c>
      <c r="B75" s="94">
        <v>6000</v>
      </c>
      <c r="C75" s="185">
        <v>1392</v>
      </c>
      <c r="D75" s="185">
        <v>3283</v>
      </c>
      <c r="E75" s="199">
        <f>F75-'I. Фін результат'!I103</f>
        <v>628</v>
      </c>
      <c r="F75" s="199">
        <v>1032</v>
      </c>
      <c r="G75" s="104" t="s">
        <v>244</v>
      </c>
      <c r="H75" s="104" t="s">
        <v>244</v>
      </c>
      <c r="I75" s="104" t="s">
        <v>244</v>
      </c>
      <c r="J75" s="104" t="s">
        <v>244</v>
      </c>
    </row>
    <row r="76" spans="1:10" ht="20.100000000000001" customHeight="1">
      <c r="A76" s="101" t="s">
        <v>167</v>
      </c>
      <c r="B76" s="94">
        <v>6010</v>
      </c>
      <c r="C76" s="185">
        <v>214</v>
      </c>
      <c r="D76" s="185">
        <v>969</v>
      </c>
      <c r="E76" s="199">
        <v>728</v>
      </c>
      <c r="F76" s="199">
        <v>314</v>
      </c>
      <c r="G76" s="104" t="s">
        <v>244</v>
      </c>
      <c r="H76" s="104" t="s">
        <v>244</v>
      </c>
      <c r="I76" s="104" t="s">
        <v>244</v>
      </c>
      <c r="J76" s="104" t="s">
        <v>244</v>
      </c>
    </row>
    <row r="77" spans="1:10" ht="37.5">
      <c r="A77" s="101" t="s">
        <v>282</v>
      </c>
      <c r="B77" s="94">
        <v>6020</v>
      </c>
      <c r="C77" s="185">
        <f>'ІІІ. Рух грош. коштів'!C70</f>
        <v>91</v>
      </c>
      <c r="D77" s="185">
        <f>'ІІІ. Рух грош. коштів'!D70</f>
        <v>579</v>
      </c>
      <c r="E77" s="199">
        <f>'ІІІ. Рух грош. коштів'!I70</f>
        <v>704</v>
      </c>
      <c r="F77" s="199">
        <f>'ІІІ. Рух грош. коштів'!E70</f>
        <v>302</v>
      </c>
      <c r="G77" s="104" t="s">
        <v>244</v>
      </c>
      <c r="H77" s="104" t="s">
        <v>244</v>
      </c>
      <c r="I77" s="104" t="s">
        <v>244</v>
      </c>
      <c r="J77" s="104" t="s">
        <v>244</v>
      </c>
    </row>
    <row r="78" spans="1:10" s="4" customFormat="1" ht="20.100000000000001" customHeight="1">
      <c r="A78" s="103" t="s">
        <v>286</v>
      </c>
      <c r="B78" s="94">
        <v>6030</v>
      </c>
      <c r="C78" s="185">
        <f>C75+C76</f>
        <v>1606</v>
      </c>
      <c r="D78" s="185">
        <f>D75+D76</f>
        <v>4252</v>
      </c>
      <c r="E78" s="199">
        <f>E75+E76</f>
        <v>1356</v>
      </c>
      <c r="F78" s="199">
        <f>F75+F76</f>
        <v>1346</v>
      </c>
      <c r="G78" s="104" t="s">
        <v>244</v>
      </c>
      <c r="H78" s="104" t="s">
        <v>244</v>
      </c>
      <c r="I78" s="104" t="s">
        <v>244</v>
      </c>
      <c r="J78" s="104" t="s">
        <v>244</v>
      </c>
    </row>
    <row r="79" spans="1:10" ht="20.100000000000001" customHeight="1">
      <c r="A79" s="101" t="s">
        <v>189</v>
      </c>
      <c r="B79" s="94">
        <v>6040</v>
      </c>
      <c r="C79" s="185"/>
      <c r="D79" s="185"/>
      <c r="E79" s="199"/>
      <c r="F79" s="199"/>
      <c r="G79" s="104" t="s">
        <v>244</v>
      </c>
      <c r="H79" s="104" t="s">
        <v>244</v>
      </c>
      <c r="I79" s="104" t="s">
        <v>244</v>
      </c>
      <c r="J79" s="104" t="s">
        <v>244</v>
      </c>
    </row>
    <row r="80" spans="1:10" ht="20.100000000000001" customHeight="1">
      <c r="A80" s="101" t="s">
        <v>190</v>
      </c>
      <c r="B80" s="94">
        <v>6050</v>
      </c>
      <c r="C80" s="185">
        <v>1086</v>
      </c>
      <c r="D80" s="185">
        <v>55</v>
      </c>
      <c r="E80" s="199">
        <v>851</v>
      </c>
      <c r="F80" s="199">
        <v>839</v>
      </c>
      <c r="G80" s="104" t="s">
        <v>244</v>
      </c>
      <c r="H80" s="104" t="s">
        <v>244</v>
      </c>
      <c r="I80" s="104" t="s">
        <v>244</v>
      </c>
      <c r="J80" s="104" t="s">
        <v>244</v>
      </c>
    </row>
    <row r="81" spans="1:10" s="4" customFormat="1" ht="20.100000000000001" customHeight="1">
      <c r="A81" s="103" t="s">
        <v>285</v>
      </c>
      <c r="B81" s="94">
        <v>6060</v>
      </c>
      <c r="C81" s="199">
        <f>SUM(C79:C80)</f>
        <v>1086</v>
      </c>
      <c r="D81" s="199">
        <f>SUM(D79:D80)</f>
        <v>55</v>
      </c>
      <c r="E81" s="199">
        <f>SUM(E79:E80)</f>
        <v>851</v>
      </c>
      <c r="F81" s="199">
        <f>SUM(F79:F80)</f>
        <v>839</v>
      </c>
      <c r="G81" s="104" t="s">
        <v>244</v>
      </c>
      <c r="H81" s="104" t="s">
        <v>244</v>
      </c>
      <c r="I81" s="104" t="s">
        <v>244</v>
      </c>
      <c r="J81" s="104" t="s">
        <v>244</v>
      </c>
    </row>
    <row r="82" spans="1:10" ht="20.100000000000001" customHeight="1">
      <c r="A82" s="101" t="s">
        <v>283</v>
      </c>
      <c r="B82" s="94">
        <v>6070</v>
      </c>
      <c r="C82" s="185"/>
      <c r="D82" s="185"/>
      <c r="E82" s="199"/>
      <c r="F82" s="199"/>
      <c r="G82" s="104" t="s">
        <v>244</v>
      </c>
      <c r="H82" s="104" t="s">
        <v>244</v>
      </c>
      <c r="I82" s="104" t="s">
        <v>244</v>
      </c>
      <c r="J82" s="104" t="s">
        <v>244</v>
      </c>
    </row>
    <row r="83" spans="1:10" ht="20.100000000000001" customHeight="1">
      <c r="A83" s="101" t="s">
        <v>284</v>
      </c>
      <c r="B83" s="94">
        <v>6080</v>
      </c>
      <c r="C83" s="185"/>
      <c r="D83" s="185"/>
      <c r="E83" s="199"/>
      <c r="F83" s="199"/>
      <c r="G83" s="104" t="s">
        <v>244</v>
      </c>
      <c r="H83" s="104" t="s">
        <v>244</v>
      </c>
      <c r="I83" s="104" t="s">
        <v>244</v>
      </c>
      <c r="J83" s="104" t="s">
        <v>244</v>
      </c>
    </row>
    <row r="84" spans="1:10" s="4" customFormat="1" ht="20.100000000000001" customHeight="1">
      <c r="A84" s="103" t="s">
        <v>168</v>
      </c>
      <c r="B84" s="94">
        <v>6090</v>
      </c>
      <c r="C84" s="185">
        <v>520</v>
      </c>
      <c r="D84" s="185">
        <v>4197</v>
      </c>
      <c r="E84" s="199">
        <f>F84+E52-E55</f>
        <v>505</v>
      </c>
      <c r="F84" s="199">
        <v>507</v>
      </c>
      <c r="G84" s="104" t="s">
        <v>244</v>
      </c>
      <c r="H84" s="104" t="s">
        <v>244</v>
      </c>
      <c r="I84" s="104" t="s">
        <v>244</v>
      </c>
      <c r="J84" s="104" t="s">
        <v>244</v>
      </c>
    </row>
    <row r="85" spans="1:10" s="4" customFormat="1" ht="24.95" customHeight="1">
      <c r="A85" s="62"/>
      <c r="B85" s="107"/>
      <c r="C85" s="131"/>
      <c r="D85" s="132"/>
      <c r="E85" s="132"/>
      <c r="F85" s="132"/>
      <c r="G85" s="133"/>
      <c r="H85" s="133"/>
      <c r="I85" s="133"/>
      <c r="J85" s="133"/>
    </row>
    <row r="86" spans="1:10" ht="24.95" customHeight="1">
      <c r="A86" s="111"/>
      <c r="B86" s="107"/>
      <c r="C86" s="133"/>
      <c r="D86" s="134"/>
      <c r="E86" s="134"/>
      <c r="F86" s="134"/>
      <c r="G86" s="134"/>
      <c r="H86" s="134"/>
      <c r="I86" s="134"/>
      <c r="J86" s="134"/>
    </row>
    <row r="87" spans="1:10" ht="56.25">
      <c r="A87" s="135" t="s">
        <v>148</v>
      </c>
      <c r="B87" s="136"/>
      <c r="C87" s="332" t="s">
        <v>119</v>
      </c>
      <c r="D87" s="333"/>
      <c r="E87" s="333"/>
      <c r="F87" s="333"/>
      <c r="G87" s="137"/>
      <c r="H87" s="336" t="s">
        <v>435</v>
      </c>
      <c r="I87" s="337"/>
      <c r="J87" s="337"/>
    </row>
    <row r="88" spans="1:10" s="1" customFormat="1" ht="21" customHeight="1">
      <c r="A88" s="107" t="s">
        <v>83</v>
      </c>
      <c r="B88" s="106"/>
      <c r="C88" s="317" t="s">
        <v>84</v>
      </c>
      <c r="D88" s="317"/>
      <c r="E88" s="317"/>
      <c r="F88" s="317"/>
      <c r="G88" s="138"/>
      <c r="H88" s="318" t="s">
        <v>115</v>
      </c>
      <c r="I88" s="318"/>
      <c r="J88" s="318"/>
    </row>
    <row r="90" spans="1:10">
      <c r="A90" s="46"/>
    </row>
    <row r="91" spans="1:10">
      <c r="A91" s="46"/>
    </row>
    <row r="92" spans="1:10">
      <c r="A92" s="46"/>
    </row>
    <row r="93" spans="1:10" s="21" customFormat="1">
      <c r="A93" s="46"/>
      <c r="G93" s="2"/>
      <c r="H93" s="2"/>
      <c r="I93" s="2"/>
      <c r="J93" s="2"/>
    </row>
    <row r="94" spans="1:10" s="21" customFormat="1">
      <c r="A94" s="46"/>
      <c r="G94" s="2"/>
      <c r="H94" s="2"/>
      <c r="I94" s="2"/>
      <c r="J94" s="2"/>
    </row>
    <row r="95" spans="1:10" s="21" customFormat="1">
      <c r="A95" s="46"/>
      <c r="G95" s="2"/>
      <c r="H95" s="2"/>
      <c r="I95" s="2"/>
      <c r="J95" s="2"/>
    </row>
    <row r="96" spans="1:10" s="21" customFormat="1">
      <c r="A96" s="46"/>
      <c r="G96" s="2"/>
      <c r="H96" s="2"/>
      <c r="I96" s="2"/>
      <c r="J96" s="2"/>
    </row>
    <row r="97" spans="1:10" s="21" customFormat="1">
      <c r="A97" s="46"/>
      <c r="G97" s="2"/>
      <c r="H97" s="2"/>
      <c r="I97" s="2"/>
      <c r="J97" s="2"/>
    </row>
    <row r="98" spans="1:10" s="21" customFormat="1">
      <c r="A98" s="46"/>
      <c r="G98" s="2"/>
      <c r="H98" s="2"/>
      <c r="I98" s="2"/>
      <c r="J98" s="2"/>
    </row>
    <row r="99" spans="1:10" s="21" customFormat="1">
      <c r="A99" s="46"/>
      <c r="G99" s="2"/>
      <c r="H99" s="2"/>
      <c r="I99" s="2"/>
      <c r="J99" s="2"/>
    </row>
    <row r="100" spans="1:10" s="21" customFormat="1">
      <c r="A100" s="46"/>
      <c r="G100" s="2"/>
      <c r="H100" s="2"/>
      <c r="I100" s="2"/>
      <c r="J100" s="2"/>
    </row>
    <row r="101" spans="1:10" s="21" customFormat="1">
      <c r="A101" s="46"/>
      <c r="G101" s="2"/>
      <c r="H101" s="2"/>
      <c r="I101" s="2"/>
      <c r="J101" s="2"/>
    </row>
    <row r="102" spans="1:10" s="21" customFormat="1">
      <c r="A102" s="46"/>
      <c r="G102" s="2"/>
      <c r="H102" s="2"/>
      <c r="I102" s="2"/>
      <c r="J102" s="2"/>
    </row>
    <row r="103" spans="1:10" s="21" customFormat="1">
      <c r="A103" s="46"/>
      <c r="G103" s="2"/>
      <c r="H103" s="2"/>
      <c r="I103" s="2"/>
      <c r="J103" s="2"/>
    </row>
    <row r="104" spans="1:10" s="21" customFormat="1">
      <c r="A104" s="46"/>
      <c r="G104" s="2"/>
      <c r="H104" s="2"/>
      <c r="I104" s="2"/>
      <c r="J104" s="2"/>
    </row>
    <row r="105" spans="1:10" s="21" customFormat="1">
      <c r="A105" s="46"/>
      <c r="G105" s="2"/>
      <c r="H105" s="2"/>
      <c r="I105" s="2"/>
      <c r="J105" s="2"/>
    </row>
    <row r="106" spans="1:10" s="21" customFormat="1">
      <c r="A106" s="46"/>
      <c r="G106" s="2"/>
      <c r="H106" s="2"/>
      <c r="I106" s="2"/>
      <c r="J106" s="2"/>
    </row>
    <row r="107" spans="1:10" s="21" customFormat="1">
      <c r="A107" s="46"/>
      <c r="G107" s="2"/>
      <c r="H107" s="2"/>
      <c r="I107" s="2"/>
      <c r="J107" s="2"/>
    </row>
    <row r="108" spans="1:10" s="21" customFormat="1">
      <c r="A108" s="46"/>
      <c r="G108" s="2"/>
      <c r="H108" s="2"/>
      <c r="I108" s="2"/>
      <c r="J108" s="2"/>
    </row>
    <row r="109" spans="1:10" s="21" customFormat="1">
      <c r="A109" s="46"/>
      <c r="G109" s="2"/>
      <c r="H109" s="2"/>
      <c r="I109" s="2"/>
      <c r="J109" s="2"/>
    </row>
    <row r="110" spans="1:10" s="21" customFormat="1">
      <c r="A110" s="46"/>
      <c r="G110" s="2"/>
      <c r="H110" s="2"/>
      <c r="I110" s="2"/>
      <c r="J110" s="2"/>
    </row>
    <row r="111" spans="1:10" s="21" customFormat="1">
      <c r="A111" s="46"/>
      <c r="G111" s="2"/>
      <c r="H111" s="2"/>
      <c r="I111" s="2"/>
      <c r="J111" s="2"/>
    </row>
    <row r="112" spans="1:10" s="21" customFormat="1">
      <c r="A112" s="46"/>
      <c r="G112" s="2"/>
      <c r="H112" s="2"/>
      <c r="I112" s="2"/>
      <c r="J112" s="2"/>
    </row>
    <row r="113" spans="1:10" s="21" customFormat="1">
      <c r="A113" s="46"/>
      <c r="G113" s="2"/>
      <c r="H113" s="2"/>
      <c r="I113" s="2"/>
      <c r="J113" s="2"/>
    </row>
    <row r="114" spans="1:10" s="21" customFormat="1">
      <c r="A114" s="46"/>
      <c r="G114" s="2"/>
      <c r="H114" s="2"/>
      <c r="I114" s="2"/>
      <c r="J114" s="2"/>
    </row>
    <row r="115" spans="1:10" s="21" customFormat="1">
      <c r="A115" s="46"/>
      <c r="G115" s="2"/>
      <c r="H115" s="2"/>
      <c r="I115" s="2"/>
      <c r="J115" s="2"/>
    </row>
    <row r="116" spans="1:10" s="21" customFormat="1">
      <c r="A116" s="46"/>
      <c r="G116" s="2"/>
      <c r="H116" s="2"/>
      <c r="I116" s="2"/>
      <c r="J116" s="2"/>
    </row>
    <row r="117" spans="1:10" s="21" customFormat="1">
      <c r="A117" s="46"/>
      <c r="G117" s="2"/>
      <c r="H117" s="2"/>
      <c r="I117" s="2"/>
      <c r="J117" s="2"/>
    </row>
    <row r="118" spans="1:10" s="21" customFormat="1">
      <c r="A118" s="46"/>
      <c r="G118" s="2"/>
      <c r="H118" s="2"/>
      <c r="I118" s="2"/>
      <c r="J118" s="2"/>
    </row>
    <row r="119" spans="1:10" s="21" customFormat="1">
      <c r="A119" s="46"/>
      <c r="G119" s="2"/>
      <c r="H119" s="2"/>
      <c r="I119" s="2"/>
      <c r="J119" s="2"/>
    </row>
    <row r="120" spans="1:10" s="21" customFormat="1">
      <c r="A120" s="46"/>
      <c r="G120" s="2"/>
      <c r="H120" s="2"/>
      <c r="I120" s="2"/>
      <c r="J120" s="2"/>
    </row>
    <row r="121" spans="1:10" s="21" customFormat="1">
      <c r="A121" s="46"/>
      <c r="G121" s="2"/>
      <c r="H121" s="2"/>
      <c r="I121" s="2"/>
      <c r="J121" s="2"/>
    </row>
    <row r="122" spans="1:10" s="21" customFormat="1">
      <c r="A122" s="46"/>
      <c r="G122" s="2"/>
      <c r="H122" s="2"/>
      <c r="I122" s="2"/>
      <c r="J122" s="2"/>
    </row>
    <row r="123" spans="1:10" s="21" customFormat="1">
      <c r="A123" s="46"/>
      <c r="G123" s="2"/>
      <c r="H123" s="2"/>
      <c r="I123" s="2"/>
      <c r="J123" s="2"/>
    </row>
    <row r="124" spans="1:10" s="21" customFormat="1">
      <c r="A124" s="46"/>
      <c r="G124" s="2"/>
      <c r="H124" s="2"/>
      <c r="I124" s="2"/>
      <c r="J124" s="2"/>
    </row>
    <row r="125" spans="1:10" s="21" customFormat="1">
      <c r="A125" s="46"/>
      <c r="G125" s="2"/>
      <c r="H125" s="2"/>
      <c r="I125" s="2"/>
      <c r="J125" s="2"/>
    </row>
    <row r="126" spans="1:10" s="21" customFormat="1">
      <c r="A126" s="46"/>
      <c r="G126" s="2"/>
      <c r="H126" s="2"/>
      <c r="I126" s="2"/>
      <c r="J126" s="2"/>
    </row>
    <row r="127" spans="1:10" s="21" customFormat="1">
      <c r="A127" s="46"/>
      <c r="G127" s="2"/>
      <c r="H127" s="2"/>
      <c r="I127" s="2"/>
      <c r="J127" s="2"/>
    </row>
    <row r="128" spans="1:10" s="21" customFormat="1">
      <c r="A128" s="46"/>
      <c r="G128" s="2"/>
      <c r="H128" s="2"/>
      <c r="I128" s="2"/>
      <c r="J128" s="2"/>
    </row>
    <row r="129" spans="1:10" s="21" customFormat="1">
      <c r="A129" s="46"/>
      <c r="G129" s="2"/>
      <c r="H129" s="2"/>
      <c r="I129" s="2"/>
      <c r="J129" s="2"/>
    </row>
    <row r="130" spans="1:10" s="21" customFormat="1">
      <c r="A130" s="46"/>
      <c r="G130" s="2"/>
      <c r="H130" s="2"/>
      <c r="I130" s="2"/>
      <c r="J130" s="2"/>
    </row>
    <row r="131" spans="1:10" s="21" customFormat="1">
      <c r="A131" s="46"/>
      <c r="G131" s="2"/>
      <c r="H131" s="2"/>
      <c r="I131" s="2"/>
      <c r="J131" s="2"/>
    </row>
    <row r="132" spans="1:10" s="21" customFormat="1">
      <c r="A132" s="46"/>
      <c r="G132" s="2"/>
      <c r="H132" s="2"/>
      <c r="I132" s="2"/>
      <c r="J132" s="2"/>
    </row>
    <row r="133" spans="1:10" s="21" customFormat="1">
      <c r="A133" s="46"/>
      <c r="G133" s="2"/>
      <c r="H133" s="2"/>
      <c r="I133" s="2"/>
      <c r="J133" s="2"/>
    </row>
    <row r="134" spans="1:10" s="21" customFormat="1">
      <c r="A134" s="46"/>
      <c r="G134" s="2"/>
      <c r="H134" s="2"/>
      <c r="I134" s="2"/>
      <c r="J134" s="2"/>
    </row>
    <row r="135" spans="1:10" s="21" customFormat="1">
      <c r="A135" s="46"/>
      <c r="G135" s="2"/>
      <c r="H135" s="2"/>
      <c r="I135" s="2"/>
      <c r="J135" s="2"/>
    </row>
    <row r="136" spans="1:10" s="21" customFormat="1">
      <c r="A136" s="46"/>
      <c r="G136" s="2"/>
      <c r="H136" s="2"/>
      <c r="I136" s="2"/>
      <c r="J136" s="2"/>
    </row>
    <row r="137" spans="1:10" s="21" customFormat="1">
      <c r="A137" s="46"/>
      <c r="G137" s="2"/>
      <c r="H137" s="2"/>
      <c r="I137" s="2"/>
      <c r="J137" s="2"/>
    </row>
    <row r="138" spans="1:10" s="21" customFormat="1">
      <c r="A138" s="46"/>
      <c r="G138" s="2"/>
      <c r="H138" s="2"/>
      <c r="I138" s="2"/>
      <c r="J138" s="2"/>
    </row>
    <row r="139" spans="1:10" s="21" customFormat="1">
      <c r="A139" s="46"/>
      <c r="G139" s="2"/>
      <c r="H139" s="2"/>
      <c r="I139" s="2"/>
      <c r="J139" s="2"/>
    </row>
    <row r="140" spans="1:10" s="21" customFormat="1">
      <c r="A140" s="46"/>
      <c r="G140" s="2"/>
      <c r="H140" s="2"/>
      <c r="I140" s="2"/>
      <c r="J140" s="2"/>
    </row>
    <row r="141" spans="1:10" s="21" customFormat="1">
      <c r="A141" s="46"/>
      <c r="G141" s="2"/>
      <c r="H141" s="2"/>
      <c r="I141" s="2"/>
      <c r="J141" s="2"/>
    </row>
    <row r="142" spans="1:10" s="21" customFormat="1">
      <c r="A142" s="46"/>
      <c r="G142" s="2"/>
      <c r="H142" s="2"/>
      <c r="I142" s="2"/>
      <c r="J142" s="2"/>
    </row>
    <row r="143" spans="1:10" s="21" customFormat="1">
      <c r="A143" s="46"/>
      <c r="G143" s="2"/>
      <c r="H143" s="2"/>
      <c r="I143" s="2"/>
      <c r="J143" s="2"/>
    </row>
    <row r="144" spans="1:10" s="21" customFormat="1">
      <c r="A144" s="46"/>
      <c r="G144" s="2"/>
      <c r="H144" s="2"/>
      <c r="I144" s="2"/>
      <c r="J144" s="2"/>
    </row>
    <row r="145" spans="1:10" s="21" customFormat="1">
      <c r="A145" s="46"/>
      <c r="G145" s="2"/>
      <c r="H145" s="2"/>
      <c r="I145" s="2"/>
      <c r="J145" s="2"/>
    </row>
    <row r="146" spans="1:10" s="21" customFormat="1">
      <c r="A146" s="46"/>
      <c r="G146" s="2"/>
      <c r="H146" s="2"/>
      <c r="I146" s="2"/>
      <c r="J146" s="2"/>
    </row>
    <row r="147" spans="1:10" s="21" customFormat="1">
      <c r="A147" s="46"/>
      <c r="G147" s="2"/>
      <c r="H147" s="2"/>
      <c r="I147" s="2"/>
      <c r="J147" s="2"/>
    </row>
    <row r="148" spans="1:10" s="21" customFormat="1">
      <c r="A148" s="46"/>
      <c r="G148" s="2"/>
      <c r="H148" s="2"/>
      <c r="I148" s="2"/>
      <c r="J148" s="2"/>
    </row>
    <row r="149" spans="1:10" s="21" customFormat="1">
      <c r="A149" s="46"/>
      <c r="G149" s="2"/>
      <c r="H149" s="2"/>
      <c r="I149" s="2"/>
      <c r="J149" s="2"/>
    </row>
    <row r="150" spans="1:10" s="21" customFormat="1">
      <c r="A150" s="46"/>
      <c r="G150" s="2"/>
      <c r="H150" s="2"/>
      <c r="I150" s="2"/>
      <c r="J150" s="2"/>
    </row>
    <row r="151" spans="1:10" s="21" customFormat="1">
      <c r="A151" s="46"/>
      <c r="G151" s="2"/>
      <c r="H151" s="2"/>
      <c r="I151" s="2"/>
      <c r="J151" s="2"/>
    </row>
    <row r="152" spans="1:10" s="21" customFormat="1">
      <c r="A152" s="46"/>
      <c r="G152" s="2"/>
      <c r="H152" s="2"/>
      <c r="I152" s="2"/>
      <c r="J152" s="2"/>
    </row>
    <row r="153" spans="1:10" s="21" customFormat="1">
      <c r="A153" s="46"/>
      <c r="G153" s="2"/>
      <c r="H153" s="2"/>
      <c r="I153" s="2"/>
      <c r="J153" s="2"/>
    </row>
    <row r="154" spans="1:10" s="21" customFormat="1">
      <c r="A154" s="46"/>
      <c r="G154" s="2"/>
      <c r="H154" s="2"/>
      <c r="I154" s="2"/>
      <c r="J154" s="2"/>
    </row>
    <row r="155" spans="1:10" s="21" customFormat="1">
      <c r="A155" s="46"/>
      <c r="G155" s="2"/>
      <c r="H155" s="2"/>
      <c r="I155" s="2"/>
      <c r="J155" s="2"/>
    </row>
    <row r="156" spans="1:10" s="21" customFormat="1">
      <c r="A156" s="46"/>
      <c r="G156" s="2"/>
      <c r="H156" s="2"/>
      <c r="I156" s="2"/>
      <c r="J156" s="2"/>
    </row>
    <row r="157" spans="1:10" s="21" customFormat="1">
      <c r="A157" s="46"/>
      <c r="G157" s="2"/>
      <c r="H157" s="2"/>
      <c r="I157" s="2"/>
      <c r="J157" s="2"/>
    </row>
    <row r="158" spans="1:10" s="21" customFormat="1">
      <c r="A158" s="46"/>
      <c r="G158" s="2"/>
      <c r="H158" s="2"/>
      <c r="I158" s="2"/>
      <c r="J158" s="2"/>
    </row>
    <row r="159" spans="1:10" s="21" customFormat="1">
      <c r="A159" s="46"/>
      <c r="G159" s="2"/>
      <c r="H159" s="2"/>
      <c r="I159" s="2"/>
      <c r="J159" s="2"/>
    </row>
    <row r="160" spans="1:10" s="21" customFormat="1">
      <c r="A160" s="46"/>
      <c r="G160" s="2"/>
      <c r="H160" s="2"/>
      <c r="I160" s="2"/>
      <c r="J160" s="2"/>
    </row>
    <row r="161" spans="1:10" s="21" customFormat="1">
      <c r="A161" s="46"/>
      <c r="G161" s="2"/>
      <c r="H161" s="2"/>
      <c r="I161" s="2"/>
      <c r="J161" s="2"/>
    </row>
    <row r="162" spans="1:10" s="21" customFormat="1">
      <c r="A162" s="46"/>
      <c r="G162" s="2"/>
      <c r="H162" s="2"/>
      <c r="I162" s="2"/>
      <c r="J162" s="2"/>
    </row>
    <row r="163" spans="1:10" s="21" customFormat="1">
      <c r="A163" s="46"/>
      <c r="G163" s="2"/>
      <c r="H163" s="2"/>
      <c r="I163" s="2"/>
      <c r="J163" s="2"/>
    </row>
    <row r="164" spans="1:10" s="21" customFormat="1">
      <c r="A164" s="46"/>
      <c r="G164" s="2"/>
      <c r="H164" s="2"/>
      <c r="I164" s="2"/>
      <c r="J164" s="2"/>
    </row>
    <row r="165" spans="1:10" s="21" customFormat="1">
      <c r="A165" s="46"/>
      <c r="G165" s="2"/>
      <c r="H165" s="2"/>
      <c r="I165" s="2"/>
      <c r="J165" s="2"/>
    </row>
    <row r="166" spans="1:10" s="21" customFormat="1">
      <c r="A166" s="46"/>
      <c r="G166" s="2"/>
      <c r="H166" s="2"/>
      <c r="I166" s="2"/>
      <c r="J166" s="2"/>
    </row>
    <row r="167" spans="1:10" s="21" customFormat="1">
      <c r="A167" s="46"/>
      <c r="G167" s="2"/>
      <c r="H167" s="2"/>
      <c r="I167" s="2"/>
      <c r="J167" s="2"/>
    </row>
    <row r="168" spans="1:10" s="21" customFormat="1">
      <c r="A168" s="46"/>
      <c r="G168" s="2"/>
      <c r="H168" s="2"/>
      <c r="I168" s="2"/>
      <c r="J168" s="2"/>
    </row>
    <row r="169" spans="1:10" s="21" customFormat="1">
      <c r="A169" s="46"/>
      <c r="G169" s="2"/>
      <c r="H169" s="2"/>
      <c r="I169" s="2"/>
      <c r="J169" s="2"/>
    </row>
    <row r="170" spans="1:10" s="21" customFormat="1">
      <c r="A170" s="46"/>
      <c r="G170" s="2"/>
      <c r="H170" s="2"/>
      <c r="I170" s="2"/>
      <c r="J170" s="2"/>
    </row>
    <row r="171" spans="1:10" s="21" customFormat="1">
      <c r="A171" s="46"/>
      <c r="G171" s="2"/>
      <c r="H171" s="2"/>
      <c r="I171" s="2"/>
      <c r="J171" s="2"/>
    </row>
    <row r="172" spans="1:10" s="21" customFormat="1">
      <c r="A172" s="46"/>
      <c r="G172" s="2"/>
      <c r="H172" s="2"/>
      <c r="I172" s="2"/>
      <c r="J172" s="2"/>
    </row>
    <row r="173" spans="1:10" s="21" customFormat="1">
      <c r="A173" s="46"/>
      <c r="G173" s="2"/>
      <c r="H173" s="2"/>
      <c r="I173" s="2"/>
      <c r="J173" s="2"/>
    </row>
    <row r="174" spans="1:10" s="21" customFormat="1">
      <c r="A174" s="46"/>
      <c r="G174" s="2"/>
      <c r="H174" s="2"/>
      <c r="I174" s="2"/>
      <c r="J174" s="2"/>
    </row>
    <row r="175" spans="1:10" s="21" customFormat="1">
      <c r="A175" s="46"/>
      <c r="G175" s="2"/>
      <c r="H175" s="2"/>
      <c r="I175" s="2"/>
      <c r="J175" s="2"/>
    </row>
    <row r="176" spans="1:10" s="21" customFormat="1">
      <c r="A176" s="46"/>
      <c r="G176" s="2"/>
      <c r="H176" s="2"/>
      <c r="I176" s="2"/>
      <c r="J176" s="2"/>
    </row>
    <row r="177" spans="1:10" s="21" customFormat="1">
      <c r="A177" s="46"/>
      <c r="G177" s="2"/>
      <c r="H177" s="2"/>
      <c r="I177" s="2"/>
      <c r="J177" s="2"/>
    </row>
    <row r="178" spans="1:10" s="21" customFormat="1">
      <c r="A178" s="46"/>
      <c r="G178" s="2"/>
      <c r="H178" s="2"/>
      <c r="I178" s="2"/>
      <c r="J178" s="2"/>
    </row>
    <row r="179" spans="1:10" s="21" customFormat="1">
      <c r="A179" s="46"/>
      <c r="G179" s="2"/>
      <c r="H179" s="2"/>
      <c r="I179" s="2"/>
      <c r="J179" s="2"/>
    </row>
    <row r="180" spans="1:10" s="21" customFormat="1">
      <c r="A180" s="46"/>
      <c r="G180" s="2"/>
      <c r="H180" s="2"/>
      <c r="I180" s="2"/>
      <c r="J180" s="2"/>
    </row>
    <row r="181" spans="1:10" s="21" customFormat="1">
      <c r="A181" s="46"/>
      <c r="G181" s="2"/>
      <c r="H181" s="2"/>
      <c r="I181" s="2"/>
      <c r="J181" s="2"/>
    </row>
    <row r="182" spans="1:10" s="21" customFormat="1">
      <c r="A182" s="46"/>
      <c r="G182" s="2"/>
      <c r="H182" s="2"/>
      <c r="I182" s="2"/>
      <c r="J182" s="2"/>
    </row>
    <row r="183" spans="1:10" s="21" customFormat="1">
      <c r="A183" s="46"/>
      <c r="G183" s="2"/>
      <c r="H183" s="2"/>
      <c r="I183" s="2"/>
      <c r="J183" s="2"/>
    </row>
    <row r="184" spans="1:10" s="21" customFormat="1">
      <c r="A184" s="46"/>
      <c r="G184" s="2"/>
      <c r="H184" s="2"/>
      <c r="I184" s="2"/>
      <c r="J184" s="2"/>
    </row>
    <row r="185" spans="1:10" s="21" customFormat="1">
      <c r="A185" s="46"/>
      <c r="G185" s="2"/>
      <c r="H185" s="2"/>
      <c r="I185" s="2"/>
      <c r="J185" s="2"/>
    </row>
    <row r="186" spans="1:10" s="21" customFormat="1">
      <c r="A186" s="46"/>
      <c r="G186" s="2"/>
      <c r="H186" s="2"/>
      <c r="I186" s="2"/>
      <c r="J186" s="2"/>
    </row>
    <row r="187" spans="1:10" s="21" customFormat="1">
      <c r="A187" s="46"/>
      <c r="G187" s="2"/>
      <c r="H187" s="2"/>
      <c r="I187" s="2"/>
      <c r="J187" s="2"/>
    </row>
    <row r="188" spans="1:10" s="21" customFormat="1">
      <c r="A188" s="46"/>
      <c r="G188" s="2"/>
      <c r="H188" s="2"/>
      <c r="I188" s="2"/>
      <c r="J188" s="2"/>
    </row>
    <row r="189" spans="1:10" s="21" customFormat="1">
      <c r="A189" s="46"/>
      <c r="G189" s="2"/>
      <c r="H189" s="2"/>
      <c r="I189" s="2"/>
      <c r="J189" s="2"/>
    </row>
    <row r="190" spans="1:10" s="21" customFormat="1">
      <c r="A190" s="46"/>
      <c r="G190" s="2"/>
      <c r="H190" s="2"/>
      <c r="I190" s="2"/>
      <c r="J190" s="2"/>
    </row>
    <row r="191" spans="1:10" s="21" customFormat="1">
      <c r="A191" s="46"/>
      <c r="G191" s="2"/>
      <c r="H191" s="2"/>
      <c r="I191" s="2"/>
      <c r="J191" s="2"/>
    </row>
    <row r="192" spans="1:10" s="21" customFormat="1">
      <c r="A192" s="46"/>
      <c r="G192" s="2"/>
      <c r="H192" s="2"/>
      <c r="I192" s="2"/>
      <c r="J192" s="2"/>
    </row>
    <row r="193" spans="1:10" s="21" customFormat="1">
      <c r="A193" s="46"/>
      <c r="G193" s="2"/>
      <c r="H193" s="2"/>
      <c r="I193" s="2"/>
      <c r="J193" s="2"/>
    </row>
    <row r="194" spans="1:10" s="21" customFormat="1">
      <c r="A194" s="46"/>
      <c r="G194" s="2"/>
      <c r="H194" s="2"/>
      <c r="I194" s="2"/>
      <c r="J194" s="2"/>
    </row>
    <row r="195" spans="1:10" s="21" customFormat="1">
      <c r="A195" s="46"/>
      <c r="G195" s="2"/>
      <c r="H195" s="2"/>
      <c r="I195" s="2"/>
      <c r="J195" s="2"/>
    </row>
    <row r="196" spans="1:10" s="21" customFormat="1">
      <c r="A196" s="46"/>
      <c r="G196" s="2"/>
      <c r="H196" s="2"/>
      <c r="I196" s="2"/>
      <c r="J196" s="2"/>
    </row>
    <row r="197" spans="1:10" s="21" customFormat="1">
      <c r="A197" s="46"/>
      <c r="G197" s="2"/>
      <c r="H197" s="2"/>
      <c r="I197" s="2"/>
      <c r="J197" s="2"/>
    </row>
    <row r="198" spans="1:10" s="21" customFormat="1">
      <c r="A198" s="46"/>
      <c r="G198" s="2"/>
      <c r="H198" s="2"/>
      <c r="I198" s="2"/>
      <c r="J198" s="2"/>
    </row>
    <row r="199" spans="1:10" s="21" customFormat="1">
      <c r="A199" s="46"/>
      <c r="G199" s="2"/>
      <c r="H199" s="2"/>
      <c r="I199" s="2"/>
      <c r="J199" s="2"/>
    </row>
    <row r="200" spans="1:10" s="21" customFormat="1">
      <c r="A200" s="46"/>
      <c r="G200" s="2"/>
      <c r="H200" s="2"/>
      <c r="I200" s="2"/>
      <c r="J200" s="2"/>
    </row>
    <row r="201" spans="1:10" s="21" customFormat="1">
      <c r="A201" s="46"/>
      <c r="G201" s="2"/>
      <c r="H201" s="2"/>
      <c r="I201" s="2"/>
      <c r="J201" s="2"/>
    </row>
    <row r="202" spans="1:10" s="21" customFormat="1">
      <c r="A202" s="46"/>
      <c r="G202" s="2"/>
      <c r="H202" s="2"/>
      <c r="I202" s="2"/>
      <c r="J202" s="2"/>
    </row>
    <row r="203" spans="1:10" s="21" customFormat="1">
      <c r="A203" s="46"/>
      <c r="G203" s="2"/>
      <c r="H203" s="2"/>
      <c r="I203" s="2"/>
      <c r="J203" s="2"/>
    </row>
    <row r="204" spans="1:10" s="21" customFormat="1">
      <c r="A204" s="46"/>
      <c r="G204" s="2"/>
      <c r="H204" s="2"/>
      <c r="I204" s="2"/>
      <c r="J204" s="2"/>
    </row>
    <row r="205" spans="1:10" s="21" customFormat="1">
      <c r="A205" s="46"/>
      <c r="G205" s="2"/>
      <c r="H205" s="2"/>
      <c r="I205" s="2"/>
      <c r="J205" s="2"/>
    </row>
    <row r="206" spans="1:10" s="21" customFormat="1">
      <c r="A206" s="46"/>
      <c r="G206" s="2"/>
      <c r="H206" s="2"/>
      <c r="I206" s="2"/>
      <c r="J206" s="2"/>
    </row>
    <row r="207" spans="1:10" s="21" customFormat="1">
      <c r="A207" s="46"/>
      <c r="G207" s="2"/>
      <c r="H207" s="2"/>
      <c r="I207" s="2"/>
      <c r="J207" s="2"/>
    </row>
    <row r="208" spans="1:10" s="21" customFormat="1">
      <c r="A208" s="46"/>
      <c r="G208" s="2"/>
      <c r="H208" s="2"/>
      <c r="I208" s="2"/>
      <c r="J208" s="2"/>
    </row>
    <row r="209" spans="1:10" s="21" customFormat="1">
      <c r="A209" s="46"/>
      <c r="G209" s="2"/>
      <c r="H209" s="2"/>
      <c r="I209" s="2"/>
      <c r="J209" s="2"/>
    </row>
    <row r="210" spans="1:10" s="21" customFormat="1">
      <c r="A210" s="46"/>
      <c r="G210" s="2"/>
      <c r="H210" s="2"/>
      <c r="I210" s="2"/>
      <c r="J210" s="2"/>
    </row>
    <row r="211" spans="1:10" s="21" customFormat="1">
      <c r="A211" s="46"/>
      <c r="G211" s="2"/>
      <c r="H211" s="2"/>
      <c r="I211" s="2"/>
      <c r="J211" s="2"/>
    </row>
    <row r="212" spans="1:10" s="21" customFormat="1">
      <c r="A212" s="46"/>
      <c r="G212" s="2"/>
      <c r="H212" s="2"/>
      <c r="I212" s="2"/>
      <c r="J212" s="2"/>
    </row>
    <row r="213" spans="1:10" s="21" customFormat="1">
      <c r="A213" s="46"/>
      <c r="G213" s="2"/>
      <c r="H213" s="2"/>
      <c r="I213" s="2"/>
      <c r="J213" s="2"/>
    </row>
    <row r="214" spans="1:10" s="21" customFormat="1">
      <c r="A214" s="46"/>
      <c r="G214" s="2"/>
      <c r="H214" s="2"/>
      <c r="I214" s="2"/>
      <c r="J214" s="2"/>
    </row>
    <row r="215" spans="1:10" s="21" customFormat="1">
      <c r="A215" s="46"/>
      <c r="G215" s="2"/>
      <c r="H215" s="2"/>
      <c r="I215" s="2"/>
      <c r="J215" s="2"/>
    </row>
    <row r="216" spans="1:10" s="21" customFormat="1">
      <c r="A216" s="46"/>
      <c r="G216" s="2"/>
      <c r="H216" s="2"/>
      <c r="I216" s="2"/>
      <c r="J216" s="2"/>
    </row>
    <row r="217" spans="1:10" s="21" customFormat="1">
      <c r="A217" s="46"/>
      <c r="G217" s="2"/>
      <c r="H217" s="2"/>
      <c r="I217" s="2"/>
      <c r="J217" s="2"/>
    </row>
    <row r="218" spans="1:10" s="21" customFormat="1">
      <c r="A218" s="46"/>
      <c r="G218" s="2"/>
      <c r="H218" s="2"/>
      <c r="I218" s="2"/>
      <c r="J218" s="2"/>
    </row>
    <row r="219" spans="1:10" s="21" customFormat="1">
      <c r="A219" s="46"/>
      <c r="G219" s="2"/>
      <c r="H219" s="2"/>
      <c r="I219" s="2"/>
      <c r="J219" s="2"/>
    </row>
    <row r="220" spans="1:10" s="21" customFormat="1">
      <c r="A220" s="46"/>
      <c r="G220" s="2"/>
      <c r="H220" s="2"/>
      <c r="I220" s="2"/>
      <c r="J220" s="2"/>
    </row>
    <row r="221" spans="1:10" s="21" customFormat="1">
      <c r="A221" s="46"/>
      <c r="G221" s="2"/>
      <c r="H221" s="2"/>
      <c r="I221" s="2"/>
      <c r="J221" s="2"/>
    </row>
    <row r="222" spans="1:10" s="21" customFormat="1">
      <c r="A222" s="46"/>
      <c r="G222" s="2"/>
      <c r="H222" s="2"/>
      <c r="I222" s="2"/>
      <c r="J222" s="2"/>
    </row>
    <row r="223" spans="1:10" s="21" customFormat="1">
      <c r="A223" s="46"/>
      <c r="G223" s="2"/>
      <c r="H223" s="2"/>
      <c r="I223" s="2"/>
      <c r="J223" s="2"/>
    </row>
    <row r="224" spans="1:10" s="21" customFormat="1">
      <c r="A224" s="46"/>
      <c r="G224" s="2"/>
      <c r="H224" s="2"/>
      <c r="I224" s="2"/>
      <c r="J224" s="2"/>
    </row>
    <row r="225" spans="1:10" s="21" customFormat="1">
      <c r="A225" s="46"/>
      <c r="G225" s="2"/>
      <c r="H225" s="2"/>
      <c r="I225" s="2"/>
      <c r="J225" s="2"/>
    </row>
    <row r="226" spans="1:10" s="21" customFormat="1">
      <c r="A226" s="46"/>
      <c r="G226" s="2"/>
      <c r="H226" s="2"/>
      <c r="I226" s="2"/>
      <c r="J226" s="2"/>
    </row>
    <row r="227" spans="1:10" s="21" customFormat="1">
      <c r="A227" s="46"/>
      <c r="G227" s="2"/>
      <c r="H227" s="2"/>
      <c r="I227" s="2"/>
      <c r="J227" s="2"/>
    </row>
    <row r="228" spans="1:10" s="21" customFormat="1">
      <c r="A228" s="46"/>
      <c r="G228" s="2"/>
      <c r="H228" s="2"/>
      <c r="I228" s="2"/>
      <c r="J228" s="2"/>
    </row>
    <row r="229" spans="1:10" s="21" customFormat="1">
      <c r="A229" s="46"/>
      <c r="G229" s="2"/>
      <c r="H229" s="2"/>
      <c r="I229" s="2"/>
      <c r="J229" s="2"/>
    </row>
    <row r="230" spans="1:10" s="21" customFormat="1">
      <c r="A230" s="46"/>
      <c r="G230" s="2"/>
      <c r="H230" s="2"/>
      <c r="I230" s="2"/>
      <c r="J230" s="2"/>
    </row>
    <row r="231" spans="1:10" s="21" customFormat="1">
      <c r="A231" s="46"/>
      <c r="G231" s="2"/>
      <c r="H231" s="2"/>
      <c r="I231" s="2"/>
      <c r="J231" s="2"/>
    </row>
    <row r="232" spans="1:10" s="21" customFormat="1">
      <c r="A232" s="46"/>
      <c r="G232" s="2"/>
      <c r="H232" s="2"/>
      <c r="I232" s="2"/>
      <c r="J232" s="2"/>
    </row>
    <row r="233" spans="1:10" s="21" customFormat="1">
      <c r="A233" s="46"/>
      <c r="G233" s="2"/>
      <c r="H233" s="2"/>
      <c r="I233" s="2"/>
      <c r="J233" s="2"/>
    </row>
    <row r="234" spans="1:10" s="21" customFormat="1">
      <c r="A234" s="46"/>
      <c r="G234" s="2"/>
      <c r="H234" s="2"/>
      <c r="I234" s="2"/>
      <c r="J234" s="2"/>
    </row>
    <row r="235" spans="1:10" s="21" customFormat="1">
      <c r="A235" s="46"/>
      <c r="G235" s="2"/>
      <c r="H235" s="2"/>
      <c r="I235" s="2"/>
      <c r="J235" s="2"/>
    </row>
    <row r="236" spans="1:10" s="21" customFormat="1">
      <c r="A236" s="46"/>
      <c r="G236" s="2"/>
      <c r="H236" s="2"/>
      <c r="I236" s="2"/>
      <c r="J236" s="2"/>
    </row>
    <row r="237" spans="1:10" s="21" customFormat="1">
      <c r="A237" s="46"/>
      <c r="G237" s="2"/>
      <c r="H237" s="2"/>
      <c r="I237" s="2"/>
      <c r="J237" s="2"/>
    </row>
    <row r="238" spans="1:10" s="21" customFormat="1">
      <c r="A238" s="46"/>
      <c r="G238" s="2"/>
      <c r="H238" s="2"/>
      <c r="I238" s="2"/>
      <c r="J238" s="2"/>
    </row>
    <row r="239" spans="1:10" s="21" customFormat="1">
      <c r="A239" s="46"/>
      <c r="G239" s="2"/>
      <c r="H239" s="2"/>
      <c r="I239" s="2"/>
      <c r="J239" s="2"/>
    </row>
    <row r="240" spans="1:10" s="21" customFormat="1">
      <c r="A240" s="46"/>
      <c r="G240" s="2"/>
      <c r="H240" s="2"/>
      <c r="I240" s="2"/>
      <c r="J240" s="2"/>
    </row>
    <row r="241" spans="1:10" s="21" customFormat="1">
      <c r="A241" s="46"/>
      <c r="G241" s="2"/>
      <c r="H241" s="2"/>
      <c r="I241" s="2"/>
      <c r="J241" s="2"/>
    </row>
    <row r="242" spans="1:10" s="21" customFormat="1">
      <c r="A242" s="46"/>
      <c r="G242" s="2"/>
      <c r="H242" s="2"/>
      <c r="I242" s="2"/>
      <c r="J242" s="2"/>
    </row>
    <row r="243" spans="1:10" s="21" customFormat="1">
      <c r="A243" s="46"/>
      <c r="G243" s="2"/>
      <c r="H243" s="2"/>
      <c r="I243" s="2"/>
      <c r="J243" s="2"/>
    </row>
    <row r="244" spans="1:10" s="21" customFormat="1">
      <c r="A244" s="46"/>
      <c r="G244" s="2"/>
      <c r="H244" s="2"/>
      <c r="I244" s="2"/>
      <c r="J244" s="2"/>
    </row>
    <row r="245" spans="1:10" s="21" customFormat="1">
      <c r="A245" s="46"/>
      <c r="G245" s="2"/>
      <c r="H245" s="2"/>
      <c r="I245" s="2"/>
      <c r="J245" s="2"/>
    </row>
    <row r="246" spans="1:10" s="21" customFormat="1">
      <c r="A246" s="46"/>
      <c r="G246" s="2"/>
      <c r="H246" s="2"/>
      <c r="I246" s="2"/>
      <c r="J246" s="2"/>
    </row>
    <row r="247" spans="1:10" s="21" customFormat="1">
      <c r="A247" s="46"/>
      <c r="G247" s="2"/>
      <c r="H247" s="2"/>
      <c r="I247" s="2"/>
      <c r="J247" s="2"/>
    </row>
    <row r="248" spans="1:10" s="21" customFormat="1">
      <c r="A248" s="46"/>
      <c r="G248" s="2"/>
      <c r="H248" s="2"/>
      <c r="I248" s="2"/>
      <c r="J248" s="2"/>
    </row>
    <row r="249" spans="1:10" s="21" customFormat="1">
      <c r="A249" s="46"/>
      <c r="G249" s="2"/>
      <c r="H249" s="2"/>
      <c r="I249" s="2"/>
      <c r="J249" s="2"/>
    </row>
    <row r="250" spans="1:10" s="21" customFormat="1">
      <c r="A250" s="46"/>
      <c r="G250" s="2"/>
      <c r="H250" s="2"/>
      <c r="I250" s="2"/>
      <c r="J250" s="2"/>
    </row>
    <row r="251" spans="1:10" s="21" customFormat="1">
      <c r="A251" s="46"/>
      <c r="G251" s="2"/>
      <c r="H251" s="2"/>
      <c r="I251" s="2"/>
      <c r="J251" s="2"/>
    </row>
    <row r="252" spans="1:10" s="21" customFormat="1">
      <c r="A252" s="46"/>
      <c r="G252" s="2"/>
      <c r="H252" s="2"/>
      <c r="I252" s="2"/>
      <c r="J252" s="2"/>
    </row>
    <row r="253" spans="1:10" s="21" customFormat="1">
      <c r="A253" s="46"/>
      <c r="G253" s="2"/>
      <c r="H253" s="2"/>
      <c r="I253" s="2"/>
      <c r="J253" s="2"/>
    </row>
    <row r="254" spans="1:10" s="21" customFormat="1">
      <c r="A254" s="46"/>
      <c r="G254" s="2"/>
      <c r="H254" s="2"/>
      <c r="I254" s="2"/>
      <c r="J254" s="2"/>
    </row>
    <row r="255" spans="1:10" s="21" customFormat="1">
      <c r="A255" s="46"/>
      <c r="G255" s="2"/>
      <c r="H255" s="2"/>
      <c r="I255" s="2"/>
      <c r="J255" s="2"/>
    </row>
    <row r="256" spans="1:10" s="21" customFormat="1">
      <c r="A256" s="46"/>
      <c r="G256" s="2"/>
      <c r="H256" s="2"/>
      <c r="I256" s="2"/>
      <c r="J256" s="2"/>
    </row>
    <row r="257" spans="1:10" s="21" customFormat="1">
      <c r="A257" s="46"/>
      <c r="G257" s="2"/>
      <c r="H257" s="2"/>
      <c r="I257" s="2"/>
      <c r="J257" s="2"/>
    </row>
  </sheetData>
  <sheetProtection formatCells="0" formatColumns="0" formatRows="0"/>
  <mergeCells count="47">
    <mergeCell ref="C88:F88"/>
    <mergeCell ref="H88:J88"/>
    <mergeCell ref="A35:A36"/>
    <mergeCell ref="B35:B36"/>
    <mergeCell ref="E35:E36"/>
    <mergeCell ref="G35:J35"/>
    <mergeCell ref="A38:J38"/>
    <mergeCell ref="A70:J70"/>
    <mergeCell ref="C35:C36"/>
    <mergeCell ref="C87:F87"/>
    <mergeCell ref="F35:F36"/>
    <mergeCell ref="H87:J87"/>
    <mergeCell ref="D35:D36"/>
    <mergeCell ref="A68:J68"/>
    <mergeCell ref="A61:J61"/>
    <mergeCell ref="A74:J74"/>
    <mergeCell ref="A54:J54"/>
    <mergeCell ref="A25:F25"/>
    <mergeCell ref="B26:F26"/>
    <mergeCell ref="B27:F27"/>
    <mergeCell ref="B28:F28"/>
    <mergeCell ref="A33:J33"/>
    <mergeCell ref="A31:J31"/>
    <mergeCell ref="B24:F24"/>
    <mergeCell ref="G24:I24"/>
    <mergeCell ref="B19:F19"/>
    <mergeCell ref="B20:F20"/>
    <mergeCell ref="B21:F21"/>
    <mergeCell ref="B22:F22"/>
    <mergeCell ref="A23:F23"/>
    <mergeCell ref="G23:I23"/>
    <mergeCell ref="B17:F17"/>
    <mergeCell ref="B18:F18"/>
    <mergeCell ref="A2:B2"/>
    <mergeCell ref="F2:J4"/>
    <mergeCell ref="A3:B3"/>
    <mergeCell ref="A5:B5"/>
    <mergeCell ref="G5:H5"/>
    <mergeCell ref="F7:J7"/>
    <mergeCell ref="F9:J9"/>
    <mergeCell ref="F10:J10"/>
    <mergeCell ref="A4:B4"/>
    <mergeCell ref="A7:B8"/>
    <mergeCell ref="F8:J8"/>
    <mergeCell ref="F12:J12"/>
    <mergeCell ref="B16:F16"/>
    <mergeCell ref="A6:B6"/>
  </mergeCells>
  <phoneticPr fontId="3" type="noConversion"/>
  <pageMargins left="0.78740157480314965" right="0.39370078740157483" top="0.59055118110236227" bottom="0.59055118110236227" header="0.39370078740157483" footer="0.19685039370078741"/>
  <pageSetup paperSize="9" scale="49" orientation="portrait" r:id="rId1"/>
  <headerFooter alignWithMargins="0">
    <oddHeader xml:space="preserve">&amp;C&amp;"Times New Roman,обычный"&amp;14
&amp;R&amp;"Times New Roman,обычный"&amp;14 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335"/>
  <sheetViews>
    <sheetView view="pageBreakPreview" topLeftCell="A93" zoomScale="65" zoomScaleNormal="65" zoomScaleSheetLayoutView="65" workbookViewId="0">
      <selection activeCell="D100" sqref="D100"/>
    </sheetView>
  </sheetViews>
  <sheetFormatPr defaultRowHeight="18.75"/>
  <cols>
    <col min="1" max="1" width="48.42578125" style="2" customWidth="1"/>
    <col min="2" max="2" width="14.85546875" style="21" customWidth="1"/>
    <col min="3" max="3" width="13.42578125" style="21" customWidth="1"/>
    <col min="4" max="4" width="13.7109375" style="21" customWidth="1"/>
    <col min="5" max="5" width="13.42578125" style="21" customWidth="1"/>
    <col min="6" max="6" width="13" style="2" customWidth="1"/>
    <col min="7" max="7" width="13.85546875" style="2" customWidth="1"/>
    <col min="8" max="9" width="13.140625" style="2" customWidth="1"/>
    <col min="10" max="10" width="21" style="2" customWidth="1"/>
    <col min="11" max="16384" width="9.140625" style="2"/>
  </cols>
  <sheetData>
    <row r="1" spans="1:14">
      <c r="A1" s="341" t="s">
        <v>383</v>
      </c>
      <c r="B1" s="341"/>
      <c r="C1" s="341"/>
      <c r="D1" s="341"/>
      <c r="E1" s="341"/>
      <c r="F1" s="341"/>
      <c r="G1" s="341"/>
      <c r="H1" s="341"/>
      <c r="I1" s="341"/>
      <c r="J1" s="341"/>
    </row>
    <row r="2" spans="1:14">
      <c r="A2" s="205"/>
      <c r="B2" s="206"/>
      <c r="C2" s="205"/>
      <c r="D2" s="205"/>
      <c r="E2" s="206"/>
      <c r="F2" s="205"/>
      <c r="G2" s="205"/>
      <c r="H2" s="205"/>
      <c r="I2" s="205"/>
      <c r="J2" s="207"/>
    </row>
    <row r="3" spans="1:14" ht="36" customHeight="1">
      <c r="A3" s="319" t="s">
        <v>280</v>
      </c>
      <c r="B3" s="320" t="s">
        <v>18</v>
      </c>
      <c r="C3" s="320" t="s">
        <v>32</v>
      </c>
      <c r="D3" s="348" t="s">
        <v>40</v>
      </c>
      <c r="E3" s="347" t="s">
        <v>185</v>
      </c>
      <c r="F3" s="320" t="s">
        <v>378</v>
      </c>
      <c r="G3" s="320"/>
      <c r="H3" s="320"/>
      <c r="I3" s="320"/>
      <c r="J3" s="320" t="s">
        <v>254</v>
      </c>
    </row>
    <row r="4" spans="1:14" ht="37.5">
      <c r="A4" s="319"/>
      <c r="B4" s="320"/>
      <c r="C4" s="320"/>
      <c r="D4" s="348"/>
      <c r="E4" s="347"/>
      <c r="F4" s="208" t="s">
        <v>379</v>
      </c>
      <c r="G4" s="208" t="s">
        <v>380</v>
      </c>
      <c r="H4" s="208" t="s">
        <v>381</v>
      </c>
      <c r="I4" s="208" t="s">
        <v>86</v>
      </c>
      <c r="J4" s="320"/>
    </row>
    <row r="5" spans="1:14" ht="18" customHeight="1">
      <c r="A5" s="94">
        <v>1</v>
      </c>
      <c r="B5" s="95">
        <v>2</v>
      </c>
      <c r="C5" s="95">
        <v>3</v>
      </c>
      <c r="D5" s="95">
        <v>4</v>
      </c>
      <c r="E5" s="95">
        <v>5</v>
      </c>
      <c r="F5" s="95">
        <v>6</v>
      </c>
      <c r="G5" s="95">
        <v>7</v>
      </c>
      <c r="H5" s="95">
        <v>8</v>
      </c>
      <c r="I5" s="95">
        <v>9</v>
      </c>
      <c r="J5" s="95">
        <v>10</v>
      </c>
    </row>
    <row r="6" spans="1:14" s="4" customFormat="1" ht="20.100000000000001" customHeight="1">
      <c r="A6" s="324" t="s">
        <v>287</v>
      </c>
      <c r="B6" s="325"/>
      <c r="C6" s="325"/>
      <c r="D6" s="325"/>
      <c r="E6" s="325"/>
      <c r="F6" s="325"/>
      <c r="G6" s="325"/>
      <c r="H6" s="325"/>
      <c r="I6" s="325"/>
      <c r="J6" s="326"/>
    </row>
    <row r="7" spans="1:14" s="4" customFormat="1" ht="42" customHeight="1">
      <c r="A7" s="68" t="s">
        <v>121</v>
      </c>
      <c r="B7" s="164">
        <v>1000</v>
      </c>
      <c r="C7" s="187">
        <f>C8</f>
        <v>2178</v>
      </c>
      <c r="D7" s="187">
        <f t="shared" ref="D7:I7" si="0">D8</f>
        <v>2722</v>
      </c>
      <c r="E7" s="187">
        <f t="shared" si="0"/>
        <v>2305</v>
      </c>
      <c r="F7" s="187">
        <f t="shared" si="0"/>
        <v>737</v>
      </c>
      <c r="G7" s="187">
        <f t="shared" si="0"/>
        <v>1460</v>
      </c>
      <c r="H7" s="187">
        <f t="shared" si="0"/>
        <v>2220</v>
      </c>
      <c r="I7" s="187">
        <f t="shared" si="0"/>
        <v>2915</v>
      </c>
      <c r="J7" s="210"/>
    </row>
    <row r="8" spans="1:14" s="4" customFormat="1" ht="27.75" customHeight="1">
      <c r="A8" s="288" t="s">
        <v>432</v>
      </c>
      <c r="B8" s="183" t="s">
        <v>410</v>
      </c>
      <c r="C8" s="199">
        <v>2178</v>
      </c>
      <c r="D8" s="199">
        <v>2722</v>
      </c>
      <c r="E8" s="185">
        <v>2305</v>
      </c>
      <c r="F8" s="199">
        <v>737</v>
      </c>
      <c r="G8" s="199">
        <v>1460</v>
      </c>
      <c r="H8" s="199">
        <v>2220</v>
      </c>
      <c r="I8" s="199">
        <v>2915</v>
      </c>
      <c r="J8" s="210"/>
    </row>
    <row r="9" spans="1:14" ht="35.25" customHeight="1">
      <c r="A9" s="68" t="s">
        <v>140</v>
      </c>
      <c r="B9" s="164">
        <v>1010</v>
      </c>
      <c r="C9" s="187">
        <f>SUM(C10:C17)</f>
        <v>1957</v>
      </c>
      <c r="D9" s="187">
        <f t="shared" ref="D9:I9" si="1">SUM(D10:D17)</f>
        <v>1998</v>
      </c>
      <c r="E9" s="230">
        <f t="shared" si="1"/>
        <v>1684</v>
      </c>
      <c r="F9" s="187">
        <f t="shared" si="1"/>
        <v>560</v>
      </c>
      <c r="G9" s="187">
        <f t="shared" si="1"/>
        <v>1116</v>
      </c>
      <c r="H9" s="187">
        <f>SUM(H10:H17)</f>
        <v>1679</v>
      </c>
      <c r="I9" s="187">
        <f t="shared" si="1"/>
        <v>2264</v>
      </c>
      <c r="J9" s="144"/>
    </row>
    <row r="10" spans="1:14" s="1" customFormat="1" ht="20.100000000000001" customHeight="1">
      <c r="A10" s="68" t="s">
        <v>317</v>
      </c>
      <c r="B10" s="165">
        <v>1011</v>
      </c>
      <c r="C10" s="199">
        <v>1073</v>
      </c>
      <c r="D10" s="185">
        <v>982</v>
      </c>
      <c r="E10" s="185">
        <v>783</v>
      </c>
      <c r="F10" s="199">
        <v>275</v>
      </c>
      <c r="G10" s="199">
        <v>551</v>
      </c>
      <c r="H10" s="199">
        <v>825</v>
      </c>
      <c r="I10" s="199">
        <v>1130</v>
      </c>
      <c r="J10" s="144"/>
    </row>
    <row r="11" spans="1:14" s="1" customFormat="1" ht="20.100000000000001" customHeight="1">
      <c r="A11" s="260" t="s">
        <v>517</v>
      </c>
      <c r="B11" s="165">
        <v>1012</v>
      </c>
      <c r="C11" s="226"/>
      <c r="D11" s="185"/>
      <c r="E11" s="185"/>
      <c r="F11" s="183"/>
      <c r="G11" s="183"/>
      <c r="H11" s="183"/>
      <c r="I11" s="183"/>
      <c r="J11" s="144"/>
    </row>
    <row r="12" spans="1:14" s="1" customFormat="1" ht="20.100000000000001" customHeight="1">
      <c r="A12" s="68" t="s">
        <v>68</v>
      </c>
      <c r="B12" s="165">
        <v>1013</v>
      </c>
      <c r="C12" s="199">
        <v>296</v>
      </c>
      <c r="D12" s="185">
        <v>326</v>
      </c>
      <c r="E12" s="185">
        <v>346</v>
      </c>
      <c r="F12" s="185">
        <v>88</v>
      </c>
      <c r="G12" s="185">
        <v>172</v>
      </c>
      <c r="H12" s="185">
        <v>266</v>
      </c>
      <c r="I12" s="185">
        <v>346</v>
      </c>
      <c r="J12" s="144"/>
    </row>
    <row r="13" spans="1:14" s="1" customFormat="1" ht="20.100000000000001" customHeight="1">
      <c r="A13" s="68" t="s">
        <v>43</v>
      </c>
      <c r="B13" s="165">
        <v>1014</v>
      </c>
      <c r="C13" s="199">
        <v>315</v>
      </c>
      <c r="D13" s="185">
        <v>423</v>
      </c>
      <c r="E13" s="185">
        <v>281</v>
      </c>
      <c r="F13" s="185">
        <v>109</v>
      </c>
      <c r="G13" s="185">
        <v>218</v>
      </c>
      <c r="H13" s="185">
        <v>326</v>
      </c>
      <c r="I13" s="185">
        <v>435</v>
      </c>
      <c r="J13" s="144"/>
      <c r="K13" s="285">
        <f>штатка!I35/1000</f>
        <v>108.81</v>
      </c>
      <c r="L13" s="285">
        <f>штатка!J35/1000</f>
        <v>217.62</v>
      </c>
      <c r="M13" s="285">
        <f>штатка!K35/1000</f>
        <v>326.43</v>
      </c>
      <c r="N13" s="285">
        <f>штатка!L35/1000</f>
        <v>435.24</v>
      </c>
    </row>
    <row r="14" spans="1:14" s="1" customFormat="1" ht="20.100000000000001" customHeight="1">
      <c r="A14" s="68" t="s">
        <v>44</v>
      </c>
      <c r="B14" s="165">
        <v>1015</v>
      </c>
      <c r="C14" s="199">
        <v>67</v>
      </c>
      <c r="D14" s="185">
        <v>92</v>
      </c>
      <c r="E14" s="185">
        <v>58</v>
      </c>
      <c r="F14" s="185">
        <v>24</v>
      </c>
      <c r="G14" s="185">
        <v>48</v>
      </c>
      <c r="H14" s="185">
        <v>72</v>
      </c>
      <c r="I14" s="185">
        <v>96</v>
      </c>
      <c r="J14" s="144"/>
      <c r="K14" s="285">
        <f>штатка!I36/1000</f>
        <v>23.938200000000002</v>
      </c>
      <c r="L14" s="285">
        <f>штатка!J36/1000</f>
        <v>47.876400000000004</v>
      </c>
      <c r="M14" s="285">
        <f>штатка!K36/1000</f>
        <v>71.814600000000013</v>
      </c>
      <c r="N14" s="285">
        <f>штатка!L36/1000</f>
        <v>95.752800000000008</v>
      </c>
    </row>
    <row r="15" spans="1:14" s="1" customFormat="1" ht="93.75">
      <c r="A15" s="68" t="s">
        <v>269</v>
      </c>
      <c r="B15" s="165">
        <v>1016</v>
      </c>
      <c r="C15" s="199"/>
      <c r="D15" s="185"/>
      <c r="E15" s="185"/>
      <c r="F15" s="185"/>
      <c r="G15" s="185"/>
      <c r="H15" s="185"/>
      <c r="I15" s="185"/>
      <c r="J15" s="144"/>
    </row>
    <row r="16" spans="1:14" s="1" customFormat="1" ht="37.5">
      <c r="A16" s="68" t="s">
        <v>67</v>
      </c>
      <c r="B16" s="165">
        <v>1017</v>
      </c>
      <c r="C16" s="199">
        <v>155</v>
      </c>
      <c r="D16" s="185">
        <v>138</v>
      </c>
      <c r="E16" s="185">
        <v>197</v>
      </c>
      <c r="F16" s="185">
        <v>59</v>
      </c>
      <c r="G16" s="185">
        <v>118</v>
      </c>
      <c r="H16" s="185">
        <v>177</v>
      </c>
      <c r="I16" s="185">
        <v>237</v>
      </c>
      <c r="J16" s="144"/>
    </row>
    <row r="17" spans="1:14" s="1" customFormat="1" ht="20.100000000000001" customHeight="1">
      <c r="A17" s="68" t="s">
        <v>138</v>
      </c>
      <c r="B17" s="165">
        <v>1018</v>
      </c>
      <c r="C17" s="185">
        <v>51</v>
      </c>
      <c r="D17" s="185">
        <v>37</v>
      </c>
      <c r="E17" s="185">
        <f>E18+E19</f>
        <v>19</v>
      </c>
      <c r="F17" s="185">
        <f t="shared" ref="F17:I17" si="2">F18+F19</f>
        <v>5</v>
      </c>
      <c r="G17" s="185">
        <f t="shared" si="2"/>
        <v>9</v>
      </c>
      <c r="H17" s="185">
        <f t="shared" si="2"/>
        <v>13</v>
      </c>
      <c r="I17" s="185">
        <f t="shared" si="2"/>
        <v>20</v>
      </c>
      <c r="J17" s="144"/>
    </row>
    <row r="18" spans="1:14" s="1" customFormat="1" ht="34.5" customHeight="1">
      <c r="A18" s="260" t="s">
        <v>509</v>
      </c>
      <c r="B18" s="165" t="s">
        <v>439</v>
      </c>
      <c r="C18" s="185">
        <v>14</v>
      </c>
      <c r="D18" s="185">
        <v>29</v>
      </c>
      <c r="E18" s="185">
        <v>19</v>
      </c>
      <c r="F18" s="258">
        <v>5</v>
      </c>
      <c r="G18" s="258">
        <v>9</v>
      </c>
      <c r="H18" s="258">
        <v>13</v>
      </c>
      <c r="I18" s="258">
        <v>20</v>
      </c>
      <c r="J18" s="144"/>
    </row>
    <row r="19" spans="1:14" s="1" customFormat="1" ht="20.100000000000001" customHeight="1">
      <c r="A19" s="260" t="s">
        <v>510</v>
      </c>
      <c r="B19" s="165" t="s">
        <v>440</v>
      </c>
      <c r="C19" s="185">
        <v>37</v>
      </c>
      <c r="D19" s="185">
        <v>8</v>
      </c>
      <c r="E19" s="185"/>
      <c r="F19" s="185"/>
      <c r="G19" s="185"/>
      <c r="H19" s="185"/>
      <c r="I19" s="185"/>
      <c r="J19" s="144"/>
    </row>
    <row r="20" spans="1:14" s="4" customFormat="1" ht="20.100000000000001" customHeight="1">
      <c r="A20" s="163" t="s">
        <v>24</v>
      </c>
      <c r="B20" s="217">
        <v>1020</v>
      </c>
      <c r="C20" s="197">
        <f t="shared" ref="C20:I20" si="3">C7-C9</f>
        <v>221</v>
      </c>
      <c r="D20" s="197">
        <f t="shared" si="3"/>
        <v>724</v>
      </c>
      <c r="E20" s="197">
        <f t="shared" si="3"/>
        <v>621</v>
      </c>
      <c r="F20" s="197">
        <f t="shared" si="3"/>
        <v>177</v>
      </c>
      <c r="G20" s="197">
        <f t="shared" si="3"/>
        <v>344</v>
      </c>
      <c r="H20" s="197">
        <f t="shared" si="3"/>
        <v>541</v>
      </c>
      <c r="I20" s="197">
        <f t="shared" si="3"/>
        <v>651</v>
      </c>
      <c r="J20" s="145"/>
    </row>
    <row r="21" spans="1:14" ht="37.5">
      <c r="A21" s="68" t="s">
        <v>237</v>
      </c>
      <c r="B21" s="164">
        <v>1030</v>
      </c>
      <c r="C21" s="185">
        <v>477</v>
      </c>
      <c r="D21" s="185">
        <v>562</v>
      </c>
      <c r="E21" s="185">
        <v>561</v>
      </c>
      <c r="F21" s="185">
        <v>180</v>
      </c>
      <c r="G21" s="185">
        <v>290</v>
      </c>
      <c r="H21" s="185">
        <v>397</v>
      </c>
      <c r="I21" s="185">
        <f>I22</f>
        <v>562</v>
      </c>
      <c r="J21" s="261"/>
    </row>
    <row r="22" spans="1:14" ht="75">
      <c r="A22" s="260" t="s">
        <v>511</v>
      </c>
      <c r="B22" s="183" t="s">
        <v>438</v>
      </c>
      <c r="C22" s="185">
        <v>477</v>
      </c>
      <c r="D22" s="185">
        <v>562</v>
      </c>
      <c r="E22" s="185">
        <v>561</v>
      </c>
      <c r="F22" s="185">
        <v>180</v>
      </c>
      <c r="G22" s="185">
        <v>290</v>
      </c>
      <c r="H22" s="185">
        <v>397</v>
      </c>
      <c r="I22" s="185">
        <v>562</v>
      </c>
      <c r="J22" s="144"/>
    </row>
    <row r="23" spans="1:14" ht="20.100000000000001" customHeight="1">
      <c r="A23" s="68" t="s">
        <v>238</v>
      </c>
      <c r="B23" s="164">
        <v>1031</v>
      </c>
      <c r="C23" s="185"/>
      <c r="D23" s="185"/>
      <c r="E23" s="185"/>
      <c r="F23" s="185"/>
      <c r="G23" s="185"/>
      <c r="H23" s="185"/>
      <c r="I23" s="185"/>
      <c r="J23" s="144"/>
    </row>
    <row r="24" spans="1:14" ht="20.100000000000001" customHeight="1">
      <c r="A24" s="68" t="s">
        <v>245</v>
      </c>
      <c r="B24" s="164">
        <v>1040</v>
      </c>
      <c r="C24" s="187">
        <f>SUM(C25:C44)+C46</f>
        <v>284</v>
      </c>
      <c r="D24" s="187">
        <f t="shared" ref="D24:I24" si="4">SUM(D25:D44)+D46</f>
        <v>285</v>
      </c>
      <c r="E24" s="187">
        <f t="shared" si="4"/>
        <v>323</v>
      </c>
      <c r="F24" s="187">
        <f t="shared" si="4"/>
        <v>113</v>
      </c>
      <c r="G24" s="187">
        <f t="shared" si="4"/>
        <v>224</v>
      </c>
      <c r="H24" s="187">
        <f t="shared" si="4"/>
        <v>337</v>
      </c>
      <c r="I24" s="187">
        <f t="shared" si="4"/>
        <v>450</v>
      </c>
      <c r="J24" s="144"/>
    </row>
    <row r="25" spans="1:14" ht="37.5">
      <c r="A25" s="68" t="s">
        <v>120</v>
      </c>
      <c r="B25" s="164">
        <v>1041</v>
      </c>
      <c r="C25" s="185"/>
      <c r="D25" s="185"/>
      <c r="E25" s="185"/>
      <c r="F25" s="185"/>
      <c r="G25" s="185"/>
      <c r="H25" s="185"/>
      <c r="I25" s="185"/>
      <c r="J25" s="144"/>
    </row>
    <row r="26" spans="1:14" ht="20.100000000000001" customHeight="1">
      <c r="A26" s="68" t="s">
        <v>227</v>
      </c>
      <c r="B26" s="164">
        <v>1042</v>
      </c>
      <c r="C26" s="185"/>
      <c r="D26" s="185"/>
      <c r="E26" s="185"/>
      <c r="F26" s="185"/>
      <c r="G26" s="185"/>
      <c r="H26" s="185"/>
      <c r="I26" s="185"/>
      <c r="J26" s="144"/>
    </row>
    <row r="27" spans="1:14" ht="20.100000000000001" customHeight="1">
      <c r="A27" s="68" t="s">
        <v>66</v>
      </c>
      <c r="B27" s="164">
        <v>1043</v>
      </c>
      <c r="C27" s="185"/>
      <c r="D27" s="185"/>
      <c r="E27" s="185"/>
      <c r="F27" s="185"/>
      <c r="G27" s="185"/>
      <c r="H27" s="185"/>
      <c r="I27" s="185"/>
      <c r="J27" s="144"/>
    </row>
    <row r="28" spans="1:14" ht="20.100000000000001" customHeight="1">
      <c r="A28" s="68" t="s">
        <v>22</v>
      </c>
      <c r="B28" s="164">
        <v>1044</v>
      </c>
      <c r="C28" s="185"/>
      <c r="D28" s="185">
        <v>1</v>
      </c>
      <c r="E28" s="185">
        <v>1</v>
      </c>
      <c r="F28" s="185"/>
      <c r="G28" s="185">
        <v>1</v>
      </c>
      <c r="H28" s="185">
        <v>1</v>
      </c>
      <c r="I28" s="185">
        <v>1</v>
      </c>
      <c r="J28" s="144"/>
    </row>
    <row r="29" spans="1:14" ht="20.100000000000001" customHeight="1">
      <c r="A29" s="68" t="s">
        <v>23</v>
      </c>
      <c r="B29" s="164">
        <v>1045</v>
      </c>
      <c r="C29" s="185"/>
      <c r="D29" s="185"/>
      <c r="E29" s="185"/>
      <c r="F29" s="185"/>
      <c r="G29" s="185"/>
      <c r="H29" s="185"/>
      <c r="I29" s="185"/>
      <c r="J29" s="144"/>
    </row>
    <row r="30" spans="1:14" s="1" customFormat="1" ht="20.100000000000001" customHeight="1">
      <c r="A30" s="68" t="s">
        <v>41</v>
      </c>
      <c r="B30" s="164">
        <v>1046</v>
      </c>
      <c r="C30" s="185"/>
      <c r="D30" s="185"/>
      <c r="E30" s="185"/>
      <c r="F30" s="185"/>
      <c r="G30" s="185"/>
      <c r="H30" s="185"/>
      <c r="I30" s="185"/>
      <c r="J30" s="144"/>
    </row>
    <row r="31" spans="1:14" s="1" customFormat="1" ht="20.100000000000001" customHeight="1">
      <c r="A31" s="68" t="s">
        <v>42</v>
      </c>
      <c r="B31" s="164">
        <v>1047</v>
      </c>
      <c r="C31" s="185">
        <v>2</v>
      </c>
      <c r="D31" s="185">
        <v>1</v>
      </c>
      <c r="E31" s="185">
        <v>1</v>
      </c>
      <c r="F31" s="185"/>
      <c r="G31" s="185">
        <v>1</v>
      </c>
      <c r="H31" s="185">
        <v>1</v>
      </c>
      <c r="I31" s="185">
        <v>1</v>
      </c>
      <c r="J31" s="144"/>
    </row>
    <row r="32" spans="1:14" s="1" customFormat="1" ht="20.100000000000001" customHeight="1">
      <c r="A32" s="68" t="s">
        <v>43</v>
      </c>
      <c r="B32" s="164">
        <v>1048</v>
      </c>
      <c r="C32" s="185">
        <v>184</v>
      </c>
      <c r="D32" s="185">
        <v>202</v>
      </c>
      <c r="E32" s="185">
        <v>231</v>
      </c>
      <c r="F32" s="185">
        <v>84</v>
      </c>
      <c r="G32" s="185">
        <v>167</v>
      </c>
      <c r="H32" s="185">
        <v>251</v>
      </c>
      <c r="I32" s="185">
        <v>335</v>
      </c>
      <c r="J32" s="144"/>
      <c r="K32" s="285">
        <f>штатка!I37/1000</f>
        <v>83.689499999999995</v>
      </c>
      <c r="L32" s="285">
        <f>штатка!J37/1000</f>
        <v>167.37899999999999</v>
      </c>
      <c r="M32" s="285">
        <f>штатка!K37/1000</f>
        <v>251.0685</v>
      </c>
      <c r="N32" s="285">
        <f>штатка!L37/1000</f>
        <v>334.75799999999998</v>
      </c>
    </row>
    <row r="33" spans="1:14" s="1" customFormat="1" ht="20.100000000000001" customHeight="1">
      <c r="A33" s="68" t="s">
        <v>44</v>
      </c>
      <c r="B33" s="164">
        <v>1049</v>
      </c>
      <c r="C33" s="185">
        <v>42</v>
      </c>
      <c r="D33" s="185">
        <v>44</v>
      </c>
      <c r="E33" s="185">
        <v>51</v>
      </c>
      <c r="F33" s="185">
        <v>19</v>
      </c>
      <c r="G33" s="185">
        <v>37</v>
      </c>
      <c r="H33" s="185">
        <v>55</v>
      </c>
      <c r="I33" s="185">
        <v>74</v>
      </c>
      <c r="J33" s="144"/>
      <c r="K33" s="286">
        <f>штатка!I38/1000</f>
        <v>18.41169</v>
      </c>
      <c r="L33" s="285">
        <f>штатка!J38/1000</f>
        <v>36.82338</v>
      </c>
      <c r="M33" s="285">
        <f>штатка!K38/1000</f>
        <v>55.23507</v>
      </c>
      <c r="N33" s="286">
        <f>штатка!L38/1000</f>
        <v>73.64676</v>
      </c>
    </row>
    <row r="34" spans="1:14" s="1" customFormat="1" ht="56.25">
      <c r="A34" s="68" t="s">
        <v>45</v>
      </c>
      <c r="B34" s="164">
        <v>1050</v>
      </c>
      <c r="C34" s="185">
        <v>14</v>
      </c>
      <c r="D34" s="185">
        <v>7</v>
      </c>
      <c r="E34" s="185">
        <v>8</v>
      </c>
      <c r="F34" s="185">
        <v>2</v>
      </c>
      <c r="G34" s="185">
        <v>4</v>
      </c>
      <c r="H34" s="185">
        <v>7</v>
      </c>
      <c r="I34" s="185">
        <v>9</v>
      </c>
      <c r="J34" s="144"/>
    </row>
    <row r="35" spans="1:14" s="1" customFormat="1" ht="56.25">
      <c r="A35" s="68" t="s">
        <v>46</v>
      </c>
      <c r="B35" s="164">
        <v>1051</v>
      </c>
      <c r="C35" s="185">
        <v>10</v>
      </c>
      <c r="D35" s="185"/>
      <c r="E35" s="185"/>
      <c r="F35" s="185"/>
      <c r="G35" s="185"/>
      <c r="H35" s="185"/>
      <c r="I35" s="185"/>
      <c r="J35" s="144"/>
    </row>
    <row r="36" spans="1:14" s="1" customFormat="1" ht="37.5">
      <c r="A36" s="68" t="s">
        <v>47</v>
      </c>
      <c r="B36" s="164">
        <v>1052</v>
      </c>
      <c r="C36" s="185"/>
      <c r="D36" s="185"/>
      <c r="E36" s="185"/>
      <c r="F36" s="185"/>
      <c r="G36" s="185"/>
      <c r="H36" s="185"/>
      <c r="I36" s="185"/>
      <c r="J36" s="144"/>
    </row>
    <row r="37" spans="1:14" s="1" customFormat="1" ht="37.5">
      <c r="A37" s="68" t="s">
        <v>48</v>
      </c>
      <c r="B37" s="164">
        <v>1053</v>
      </c>
      <c r="C37" s="185"/>
      <c r="D37" s="185"/>
      <c r="E37" s="185"/>
      <c r="F37" s="185"/>
      <c r="G37" s="185"/>
      <c r="H37" s="185"/>
      <c r="I37" s="185"/>
      <c r="J37" s="144"/>
    </row>
    <row r="38" spans="1:14" s="1" customFormat="1" ht="20.100000000000001" customHeight="1">
      <c r="A38" s="68" t="s">
        <v>49</v>
      </c>
      <c r="B38" s="164">
        <v>1054</v>
      </c>
      <c r="C38" s="185"/>
      <c r="D38" s="185"/>
      <c r="E38" s="185"/>
      <c r="F38" s="185"/>
      <c r="G38" s="185"/>
      <c r="H38" s="185"/>
      <c r="I38" s="185"/>
      <c r="J38" s="144"/>
    </row>
    <row r="39" spans="1:14" s="1" customFormat="1" ht="20.100000000000001" customHeight="1">
      <c r="A39" s="68" t="s">
        <v>69</v>
      </c>
      <c r="B39" s="164">
        <v>1055</v>
      </c>
      <c r="C39" s="185"/>
      <c r="D39" s="185"/>
      <c r="E39" s="185"/>
      <c r="F39" s="185"/>
      <c r="G39" s="185"/>
      <c r="H39" s="185"/>
      <c r="I39" s="185"/>
      <c r="J39" s="144"/>
    </row>
    <row r="40" spans="1:14" s="1" customFormat="1" ht="20.100000000000001" customHeight="1">
      <c r="A40" s="68" t="s">
        <v>50</v>
      </c>
      <c r="B40" s="164">
        <v>1056</v>
      </c>
      <c r="C40" s="185"/>
      <c r="D40" s="185"/>
      <c r="E40" s="185"/>
      <c r="F40" s="185"/>
      <c r="G40" s="185"/>
      <c r="H40" s="185"/>
      <c r="I40" s="185"/>
      <c r="J40" s="144"/>
    </row>
    <row r="41" spans="1:14" s="1" customFormat="1" ht="20.100000000000001" customHeight="1">
      <c r="A41" s="68" t="s">
        <v>51</v>
      </c>
      <c r="B41" s="164">
        <v>1057</v>
      </c>
      <c r="C41" s="185"/>
      <c r="D41" s="185"/>
      <c r="E41" s="185"/>
      <c r="F41" s="185"/>
      <c r="G41" s="185"/>
      <c r="H41" s="185"/>
      <c r="I41" s="185"/>
      <c r="J41" s="144"/>
    </row>
    <row r="42" spans="1:14" s="1" customFormat="1" ht="37.5">
      <c r="A42" s="68" t="s">
        <v>52</v>
      </c>
      <c r="B42" s="164">
        <v>1058</v>
      </c>
      <c r="C42" s="185"/>
      <c r="D42" s="185"/>
      <c r="E42" s="185"/>
      <c r="F42" s="185"/>
      <c r="G42" s="185"/>
      <c r="H42" s="185"/>
      <c r="I42" s="185"/>
      <c r="J42" s="144"/>
    </row>
    <row r="43" spans="1:14" s="1" customFormat="1" ht="37.5">
      <c r="A43" s="68" t="s">
        <v>53</v>
      </c>
      <c r="B43" s="164">
        <v>1059</v>
      </c>
      <c r="C43" s="185"/>
      <c r="D43" s="185"/>
      <c r="E43" s="185"/>
      <c r="F43" s="185"/>
      <c r="G43" s="185"/>
      <c r="H43" s="185"/>
      <c r="I43" s="185"/>
      <c r="J43" s="144"/>
    </row>
    <row r="44" spans="1:14" s="1" customFormat="1" ht="75">
      <c r="A44" s="68" t="s">
        <v>82</v>
      </c>
      <c r="B44" s="164">
        <v>1060</v>
      </c>
      <c r="C44" s="185">
        <v>2</v>
      </c>
      <c r="D44" s="185">
        <v>4</v>
      </c>
      <c r="E44" s="185">
        <v>1</v>
      </c>
      <c r="F44" s="185">
        <v>1</v>
      </c>
      <c r="G44" s="185">
        <v>2</v>
      </c>
      <c r="H44" s="185">
        <v>3</v>
      </c>
      <c r="I44" s="185">
        <v>4</v>
      </c>
      <c r="J44" s="144"/>
    </row>
    <row r="45" spans="1:14" s="1" customFormat="1" ht="20.100000000000001" customHeight="1">
      <c r="A45" s="68" t="s">
        <v>54</v>
      </c>
      <c r="B45" s="164">
        <v>1061</v>
      </c>
      <c r="C45" s="185"/>
      <c r="D45" s="185"/>
      <c r="E45" s="185"/>
      <c r="F45" s="185"/>
      <c r="G45" s="185"/>
      <c r="H45" s="185"/>
      <c r="I45" s="185"/>
      <c r="J45" s="144"/>
    </row>
    <row r="46" spans="1:14" s="1" customFormat="1" ht="37.5">
      <c r="A46" s="68" t="s">
        <v>124</v>
      </c>
      <c r="B46" s="164">
        <v>1062</v>
      </c>
      <c r="C46" s="185">
        <v>30</v>
      </c>
      <c r="D46" s="185">
        <v>26</v>
      </c>
      <c r="E46" s="185">
        <v>30</v>
      </c>
      <c r="F46" s="185">
        <v>7</v>
      </c>
      <c r="G46" s="185">
        <v>12</v>
      </c>
      <c r="H46" s="185">
        <v>19</v>
      </c>
      <c r="I46" s="185">
        <v>26</v>
      </c>
      <c r="J46" s="144"/>
    </row>
    <row r="47" spans="1:14" s="1" customFormat="1" ht="37.5">
      <c r="A47" s="260" t="s">
        <v>512</v>
      </c>
      <c r="B47" s="183" t="s">
        <v>453</v>
      </c>
      <c r="C47" s="185">
        <v>30</v>
      </c>
      <c r="D47" s="185">
        <v>26</v>
      </c>
      <c r="E47" s="185">
        <v>30</v>
      </c>
      <c r="F47" s="185">
        <v>7</v>
      </c>
      <c r="G47" s="185">
        <v>12</v>
      </c>
      <c r="H47" s="185">
        <v>19</v>
      </c>
      <c r="I47" s="185">
        <v>26</v>
      </c>
      <c r="J47" s="144"/>
    </row>
    <row r="48" spans="1:14" s="1" customFormat="1">
      <c r="A48" s="260"/>
      <c r="B48" s="183" t="s">
        <v>454</v>
      </c>
      <c r="C48" s="185"/>
      <c r="D48" s="185"/>
      <c r="E48" s="185"/>
      <c r="F48" s="185"/>
      <c r="G48" s="185"/>
      <c r="H48" s="185"/>
      <c r="I48" s="185"/>
      <c r="J48" s="144"/>
    </row>
    <row r="49" spans="1:14" ht="20.100000000000001" customHeight="1">
      <c r="A49" s="68" t="s">
        <v>246</v>
      </c>
      <c r="B49" s="164">
        <v>1070</v>
      </c>
      <c r="C49" s="187">
        <f>SUM(C50:C55)</f>
        <v>681</v>
      </c>
      <c r="D49" s="187">
        <f t="shared" ref="D49:I49" si="5">SUM(D50:D55)</f>
        <v>695</v>
      </c>
      <c r="E49" s="187">
        <f t="shared" si="5"/>
        <v>661</v>
      </c>
      <c r="F49" s="187">
        <f t="shared" si="5"/>
        <v>203</v>
      </c>
      <c r="G49" s="187">
        <f t="shared" si="5"/>
        <v>408</v>
      </c>
      <c r="H49" s="187">
        <f t="shared" si="5"/>
        <v>612</v>
      </c>
      <c r="I49" s="187">
        <f t="shared" si="5"/>
        <v>816</v>
      </c>
      <c r="J49" s="144"/>
    </row>
    <row r="50" spans="1:14" s="1" customFormat="1" ht="20.100000000000001" customHeight="1">
      <c r="A50" s="68" t="s">
        <v>205</v>
      </c>
      <c r="B50" s="164">
        <v>1071</v>
      </c>
      <c r="C50" s="185"/>
      <c r="D50" s="185"/>
      <c r="E50" s="185"/>
      <c r="F50" s="185"/>
      <c r="G50" s="185"/>
      <c r="H50" s="185"/>
      <c r="I50" s="185"/>
      <c r="J50" s="144"/>
    </row>
    <row r="51" spans="1:14" s="1" customFormat="1" ht="20.100000000000001" customHeight="1">
      <c r="A51" s="68" t="s">
        <v>206</v>
      </c>
      <c r="B51" s="164">
        <v>1072</v>
      </c>
      <c r="C51" s="185">
        <v>12</v>
      </c>
      <c r="D51" s="185">
        <v>10</v>
      </c>
      <c r="E51" s="185">
        <v>10</v>
      </c>
      <c r="F51" s="185">
        <v>2</v>
      </c>
      <c r="G51" s="185">
        <v>4</v>
      </c>
      <c r="H51" s="185">
        <v>7</v>
      </c>
      <c r="I51" s="185">
        <v>10</v>
      </c>
      <c r="J51" s="144"/>
    </row>
    <row r="52" spans="1:14" s="1" customFormat="1" ht="20.100000000000001" customHeight="1">
      <c r="A52" s="68" t="s">
        <v>43</v>
      </c>
      <c r="B52" s="164">
        <v>1073</v>
      </c>
      <c r="C52" s="185">
        <v>315</v>
      </c>
      <c r="D52" s="185">
        <v>353</v>
      </c>
      <c r="E52" s="185">
        <v>331</v>
      </c>
      <c r="F52" s="185">
        <v>115</v>
      </c>
      <c r="G52" s="185">
        <v>231</v>
      </c>
      <c r="H52" s="185">
        <v>346</v>
      </c>
      <c r="I52" s="185">
        <v>461</v>
      </c>
      <c r="J52" s="144"/>
      <c r="K52" s="285">
        <f>штатка!I39/1000</f>
        <v>115.26</v>
      </c>
      <c r="L52" s="285">
        <f>штатка!J39/1000</f>
        <v>230.52</v>
      </c>
      <c r="M52" s="285">
        <f>штатка!K39/1000</f>
        <v>345.78</v>
      </c>
      <c r="N52" s="285">
        <f>штатка!L39/1000</f>
        <v>461.04</v>
      </c>
    </row>
    <row r="53" spans="1:14" s="1" customFormat="1" ht="37.5">
      <c r="A53" s="68" t="s">
        <v>67</v>
      </c>
      <c r="B53" s="164">
        <v>1074</v>
      </c>
      <c r="C53" s="185">
        <v>177</v>
      </c>
      <c r="D53" s="185">
        <v>168</v>
      </c>
      <c r="E53" s="185">
        <v>210</v>
      </c>
      <c r="F53" s="185">
        <v>39</v>
      </c>
      <c r="G53" s="185">
        <v>79</v>
      </c>
      <c r="H53" s="185">
        <v>119</v>
      </c>
      <c r="I53" s="185">
        <v>158</v>
      </c>
      <c r="J53" s="144"/>
    </row>
    <row r="54" spans="1:14" s="1" customFormat="1" ht="20.100000000000001" customHeight="1">
      <c r="A54" s="68" t="s">
        <v>85</v>
      </c>
      <c r="B54" s="164">
        <v>1075</v>
      </c>
      <c r="C54" s="185">
        <v>17</v>
      </c>
      <c r="D54" s="185"/>
      <c r="E54" s="185"/>
      <c r="F54" s="199"/>
      <c r="G54" s="199"/>
      <c r="H54" s="199"/>
      <c r="I54" s="199"/>
      <c r="J54" s="231"/>
    </row>
    <row r="55" spans="1:14" s="1" customFormat="1" ht="20.100000000000001" customHeight="1">
      <c r="A55" s="68" t="s">
        <v>139</v>
      </c>
      <c r="B55" s="164">
        <v>1076</v>
      </c>
      <c r="C55" s="185">
        <f>C56+C57+C58</f>
        <v>160</v>
      </c>
      <c r="D55" s="185">
        <f>D56+D57+D58</f>
        <v>164</v>
      </c>
      <c r="E55" s="185">
        <f t="shared" ref="E55:I55" si="6">E56+E57+E58</f>
        <v>110</v>
      </c>
      <c r="F55" s="185">
        <f t="shared" si="6"/>
        <v>47</v>
      </c>
      <c r="G55" s="185">
        <f t="shared" si="6"/>
        <v>94</v>
      </c>
      <c r="H55" s="185">
        <f t="shared" si="6"/>
        <v>140</v>
      </c>
      <c r="I55" s="185">
        <f t="shared" si="6"/>
        <v>187</v>
      </c>
      <c r="J55" s="144"/>
    </row>
    <row r="56" spans="1:14" s="1" customFormat="1" ht="20.100000000000001" customHeight="1">
      <c r="A56" s="68" t="s">
        <v>44</v>
      </c>
      <c r="B56" s="183" t="s">
        <v>411</v>
      </c>
      <c r="C56" s="185">
        <v>69</v>
      </c>
      <c r="D56" s="185">
        <v>72</v>
      </c>
      <c r="E56" s="185">
        <v>66</v>
      </c>
      <c r="F56" s="185">
        <v>23</v>
      </c>
      <c r="G56" s="185">
        <v>47</v>
      </c>
      <c r="H56" s="185">
        <v>70</v>
      </c>
      <c r="I56" s="185">
        <v>93</v>
      </c>
      <c r="J56" s="144"/>
      <c r="K56" s="286">
        <f>штатка!I40/1000</f>
        <v>23.420625000000001</v>
      </c>
      <c r="L56" s="285">
        <f>штатка!J40/1000</f>
        <v>46.841250000000002</v>
      </c>
      <c r="M56" s="285">
        <f>штатка!K40/1000</f>
        <v>70.261875000000003</v>
      </c>
      <c r="N56" s="286">
        <f>штатка!L40/1000</f>
        <v>93.682500000000005</v>
      </c>
    </row>
    <row r="57" spans="1:14" s="1" customFormat="1" ht="20.100000000000001" customHeight="1">
      <c r="A57" s="260" t="s">
        <v>513</v>
      </c>
      <c r="B57" s="183" t="s">
        <v>455</v>
      </c>
      <c r="C57" s="185">
        <v>30</v>
      </c>
      <c r="D57" s="185">
        <v>10</v>
      </c>
      <c r="E57" s="185">
        <v>5</v>
      </c>
      <c r="F57" s="185">
        <v>1</v>
      </c>
      <c r="G57" s="185">
        <v>2</v>
      </c>
      <c r="H57" s="185">
        <v>3</v>
      </c>
      <c r="I57" s="185">
        <v>5</v>
      </c>
      <c r="J57" s="144"/>
    </row>
    <row r="58" spans="1:14" s="1" customFormat="1" ht="20.100000000000001" customHeight="1">
      <c r="A58" s="260" t="s">
        <v>516</v>
      </c>
      <c r="B58" s="183" t="s">
        <v>456</v>
      </c>
      <c r="C58" s="185">
        <v>61</v>
      </c>
      <c r="D58" s="185">
        <v>82</v>
      </c>
      <c r="E58" s="185">
        <v>39</v>
      </c>
      <c r="F58" s="185">
        <v>23</v>
      </c>
      <c r="G58" s="185">
        <v>45</v>
      </c>
      <c r="H58" s="185">
        <v>67</v>
      </c>
      <c r="I58" s="185">
        <v>89</v>
      </c>
      <c r="J58" s="144"/>
    </row>
    <row r="59" spans="1:14" s="1" customFormat="1" ht="37.5">
      <c r="A59" s="218" t="s">
        <v>87</v>
      </c>
      <c r="B59" s="164">
        <v>1080</v>
      </c>
      <c r="C59" s="187">
        <f>SUM(C60:C64)</f>
        <v>167</v>
      </c>
      <c r="D59" s="187">
        <f t="shared" ref="D59:I59" si="7">SUM(D60:D64)</f>
        <v>207</v>
      </c>
      <c r="E59" s="187">
        <f t="shared" si="7"/>
        <v>394</v>
      </c>
      <c r="F59" s="187">
        <f t="shared" si="7"/>
        <v>87</v>
      </c>
      <c r="G59" s="187">
        <f t="shared" si="7"/>
        <v>109</v>
      </c>
      <c r="H59" s="187">
        <f t="shared" si="7"/>
        <v>118</v>
      </c>
      <c r="I59" s="187">
        <f t="shared" si="7"/>
        <v>196</v>
      </c>
      <c r="J59" s="144"/>
    </row>
    <row r="60" spans="1:14" s="1" customFormat="1" ht="20.100000000000001" customHeight="1">
      <c r="A60" s="68" t="s">
        <v>76</v>
      </c>
      <c r="B60" s="164">
        <v>1081</v>
      </c>
      <c r="C60" s="185"/>
      <c r="D60" s="185"/>
      <c r="E60" s="185"/>
      <c r="F60" s="185"/>
      <c r="G60" s="185"/>
      <c r="H60" s="185"/>
      <c r="I60" s="185"/>
      <c r="J60" s="144"/>
    </row>
    <row r="61" spans="1:14" s="1" customFormat="1" ht="27" customHeight="1">
      <c r="A61" s="68" t="s">
        <v>55</v>
      </c>
      <c r="B61" s="164">
        <v>1082</v>
      </c>
      <c r="C61" s="185"/>
      <c r="D61" s="185"/>
      <c r="E61" s="185"/>
      <c r="F61" s="185"/>
      <c r="G61" s="185"/>
      <c r="H61" s="185"/>
      <c r="I61" s="185"/>
      <c r="J61" s="144"/>
    </row>
    <row r="62" spans="1:14" s="1" customFormat="1" ht="37.5">
      <c r="A62" s="68" t="s">
        <v>65</v>
      </c>
      <c r="B62" s="164">
        <v>1083</v>
      </c>
      <c r="C62" s="185"/>
      <c r="D62" s="185"/>
      <c r="E62" s="185"/>
      <c r="F62" s="185"/>
      <c r="G62" s="185"/>
      <c r="H62" s="185"/>
      <c r="I62" s="185"/>
      <c r="J62" s="144"/>
    </row>
    <row r="63" spans="1:14" s="1" customFormat="1" ht="20.100000000000001" customHeight="1">
      <c r="A63" s="68" t="s">
        <v>238</v>
      </c>
      <c r="B63" s="164">
        <v>1084</v>
      </c>
      <c r="C63" s="185"/>
      <c r="D63" s="185"/>
      <c r="E63" s="185"/>
      <c r="F63" s="185"/>
      <c r="G63" s="185"/>
      <c r="H63" s="185"/>
      <c r="I63" s="185"/>
      <c r="J63" s="144"/>
    </row>
    <row r="64" spans="1:14" s="1" customFormat="1" ht="20.100000000000001" customHeight="1">
      <c r="A64" s="68" t="s">
        <v>270</v>
      </c>
      <c r="B64" s="164">
        <v>1085</v>
      </c>
      <c r="C64" s="185">
        <v>167</v>
      </c>
      <c r="D64" s="185">
        <v>207</v>
      </c>
      <c r="E64" s="185">
        <v>394</v>
      </c>
      <c r="F64" s="185">
        <v>87</v>
      </c>
      <c r="G64" s="185">
        <v>109</v>
      </c>
      <c r="H64" s="185">
        <v>118</v>
      </c>
      <c r="I64" s="185">
        <v>196</v>
      </c>
      <c r="J64" s="144"/>
    </row>
    <row r="65" spans="1:10" s="1" customFormat="1" ht="20.100000000000001" customHeight="1">
      <c r="A65" s="260" t="s">
        <v>514</v>
      </c>
      <c r="B65" s="183" t="s">
        <v>441</v>
      </c>
      <c r="C65" s="185">
        <v>167</v>
      </c>
      <c r="D65" s="185">
        <v>207</v>
      </c>
      <c r="E65" s="185">
        <v>394</v>
      </c>
      <c r="F65" s="185">
        <v>87</v>
      </c>
      <c r="G65" s="185">
        <v>109</v>
      </c>
      <c r="H65" s="185">
        <v>118</v>
      </c>
      <c r="I65" s="185">
        <v>196</v>
      </c>
      <c r="J65" s="144"/>
    </row>
    <row r="66" spans="1:10" s="1" customFormat="1" ht="20.100000000000001" customHeight="1">
      <c r="A66" s="260"/>
      <c r="B66" s="183" t="s">
        <v>442</v>
      </c>
      <c r="C66" s="185"/>
      <c r="D66" s="185"/>
      <c r="E66" s="185"/>
      <c r="F66" s="185"/>
      <c r="G66" s="185"/>
      <c r="H66" s="185"/>
      <c r="I66" s="185"/>
      <c r="J66" s="144"/>
    </row>
    <row r="67" spans="1:10" s="4" customFormat="1" ht="37.5">
      <c r="A67" s="163" t="s">
        <v>4</v>
      </c>
      <c r="B67" s="217">
        <v>1100</v>
      </c>
      <c r="C67" s="187">
        <f t="shared" ref="C67:I67" si="8">C20+C21-C24-C49-C59</f>
        <v>-434</v>
      </c>
      <c r="D67" s="187">
        <f t="shared" si="8"/>
        <v>99</v>
      </c>
      <c r="E67" s="187">
        <f t="shared" si="8"/>
        <v>-196</v>
      </c>
      <c r="F67" s="187">
        <f t="shared" si="8"/>
        <v>-46</v>
      </c>
      <c r="G67" s="187">
        <f t="shared" si="8"/>
        <v>-107</v>
      </c>
      <c r="H67" s="187">
        <f t="shared" si="8"/>
        <v>-129</v>
      </c>
      <c r="I67" s="187">
        <f t="shared" si="8"/>
        <v>-249</v>
      </c>
      <c r="J67" s="145"/>
    </row>
    <row r="68" spans="1:10" ht="37.5">
      <c r="A68" s="68" t="s">
        <v>122</v>
      </c>
      <c r="B68" s="164">
        <v>1110</v>
      </c>
      <c r="C68" s="185"/>
      <c r="D68" s="185"/>
      <c r="E68" s="185"/>
      <c r="F68" s="185"/>
      <c r="G68" s="185"/>
      <c r="H68" s="185"/>
      <c r="I68" s="185"/>
      <c r="J68" s="144"/>
    </row>
    <row r="69" spans="1:10" ht="20.100000000000001" customHeight="1">
      <c r="A69" s="68" t="s">
        <v>123</v>
      </c>
      <c r="B69" s="164">
        <v>1120</v>
      </c>
      <c r="C69" s="185"/>
      <c r="D69" s="185"/>
      <c r="E69" s="185"/>
      <c r="F69" s="185"/>
      <c r="G69" s="185"/>
      <c r="H69" s="185"/>
      <c r="I69" s="185"/>
      <c r="J69" s="144"/>
    </row>
    <row r="70" spans="1:10" ht="37.5">
      <c r="A70" s="68" t="s">
        <v>126</v>
      </c>
      <c r="B70" s="164">
        <v>1130</v>
      </c>
      <c r="C70" s="185"/>
      <c r="D70" s="185"/>
      <c r="E70" s="185"/>
      <c r="F70" s="185"/>
      <c r="G70" s="185"/>
      <c r="H70" s="185"/>
      <c r="I70" s="185"/>
      <c r="J70" s="144"/>
    </row>
    <row r="71" spans="1:10" ht="20.100000000000001" customHeight="1">
      <c r="A71" s="68" t="s">
        <v>125</v>
      </c>
      <c r="B71" s="164">
        <v>1140</v>
      </c>
      <c r="C71" s="185"/>
      <c r="D71" s="185"/>
      <c r="E71" s="185"/>
      <c r="F71" s="185"/>
      <c r="G71" s="185"/>
      <c r="H71" s="185"/>
      <c r="I71" s="185"/>
      <c r="J71" s="144"/>
    </row>
    <row r="72" spans="1:10" ht="37.5">
      <c r="A72" s="68" t="s">
        <v>239</v>
      </c>
      <c r="B72" s="164">
        <v>1150</v>
      </c>
      <c r="C72" s="185">
        <v>267</v>
      </c>
      <c r="D72" s="185">
        <v>266</v>
      </c>
      <c r="E72" s="185">
        <v>281</v>
      </c>
      <c r="F72" s="185">
        <v>89</v>
      </c>
      <c r="G72" s="185">
        <v>179</v>
      </c>
      <c r="H72" s="185">
        <v>269</v>
      </c>
      <c r="I72" s="185">
        <v>359</v>
      </c>
      <c r="J72" s="144"/>
    </row>
    <row r="73" spans="1:10" ht="37.5">
      <c r="A73" s="260" t="s">
        <v>515</v>
      </c>
      <c r="B73" s="183" t="s">
        <v>457</v>
      </c>
      <c r="C73" s="185">
        <v>267</v>
      </c>
      <c r="D73" s="185">
        <v>266</v>
      </c>
      <c r="E73" s="185">
        <v>281</v>
      </c>
      <c r="F73" s="185">
        <v>89</v>
      </c>
      <c r="G73" s="185">
        <v>179</v>
      </c>
      <c r="H73" s="185">
        <v>269</v>
      </c>
      <c r="I73" s="185">
        <v>359</v>
      </c>
      <c r="J73" s="144"/>
    </row>
    <row r="74" spans="1:10" ht="20.100000000000001" customHeight="1">
      <c r="A74" s="68" t="s">
        <v>238</v>
      </c>
      <c r="B74" s="164">
        <v>1151</v>
      </c>
      <c r="C74" s="185"/>
      <c r="D74" s="185"/>
      <c r="E74" s="185"/>
      <c r="F74" s="185"/>
      <c r="G74" s="185"/>
      <c r="H74" s="185"/>
      <c r="I74" s="185"/>
      <c r="J74" s="144"/>
    </row>
    <row r="75" spans="1:10" ht="37.5">
      <c r="A75" s="68" t="s">
        <v>240</v>
      </c>
      <c r="B75" s="164">
        <v>1160</v>
      </c>
      <c r="C75" s="185"/>
      <c r="D75" s="185"/>
      <c r="E75" s="185"/>
      <c r="F75" s="185"/>
      <c r="G75" s="185"/>
      <c r="H75" s="185"/>
      <c r="I75" s="185"/>
      <c r="J75" s="144"/>
    </row>
    <row r="76" spans="1:10" ht="20.100000000000001" customHeight="1">
      <c r="A76" s="68" t="s">
        <v>238</v>
      </c>
      <c r="B76" s="164">
        <v>1161</v>
      </c>
      <c r="C76" s="185"/>
      <c r="D76" s="185"/>
      <c r="E76" s="185"/>
      <c r="F76" s="185"/>
      <c r="G76" s="185"/>
      <c r="H76" s="185"/>
      <c r="I76" s="185"/>
      <c r="J76" s="144"/>
    </row>
    <row r="77" spans="1:10" s="4" customFormat="1" ht="37.5">
      <c r="A77" s="163" t="s">
        <v>106</v>
      </c>
      <c r="B77" s="217">
        <v>1170</v>
      </c>
      <c r="C77" s="184">
        <f>C67+C68+C69+C72-C71-C70-C75</f>
        <v>-167</v>
      </c>
      <c r="D77" s="184">
        <f t="shared" ref="D77:I77" si="9">D67+D68+D69+D72-D71-D70-D75</f>
        <v>365</v>
      </c>
      <c r="E77" s="184">
        <f t="shared" si="9"/>
        <v>85</v>
      </c>
      <c r="F77" s="184">
        <f t="shared" si="9"/>
        <v>43</v>
      </c>
      <c r="G77" s="184">
        <f t="shared" si="9"/>
        <v>72</v>
      </c>
      <c r="H77" s="184">
        <f t="shared" si="9"/>
        <v>140</v>
      </c>
      <c r="I77" s="184">
        <f t="shared" si="9"/>
        <v>110</v>
      </c>
      <c r="J77" s="145"/>
    </row>
    <row r="78" spans="1:10" ht="20.100000000000001" customHeight="1">
      <c r="A78" s="68" t="s">
        <v>156</v>
      </c>
      <c r="B78" s="164">
        <v>1180</v>
      </c>
      <c r="C78" s="185"/>
      <c r="D78" s="185">
        <v>66</v>
      </c>
      <c r="E78" s="185">
        <f>ROUND(E77*18%,0)</f>
        <v>15</v>
      </c>
      <c r="F78" s="185"/>
      <c r="G78" s="185"/>
      <c r="H78" s="185"/>
      <c r="I78" s="187">
        <f>ROUND(I77*18%,0)</f>
        <v>20</v>
      </c>
      <c r="J78" s="144"/>
    </row>
    <row r="79" spans="1:10" ht="37.5">
      <c r="A79" s="68" t="s">
        <v>157</v>
      </c>
      <c r="B79" s="164">
        <v>1190</v>
      </c>
      <c r="C79" s="185"/>
      <c r="D79" s="185"/>
      <c r="E79" s="185"/>
      <c r="F79" s="185"/>
      <c r="G79" s="185"/>
      <c r="H79" s="185"/>
      <c r="I79" s="185"/>
      <c r="J79" s="144"/>
    </row>
    <row r="80" spans="1:10" s="4" customFormat="1" ht="37.5">
      <c r="A80" s="163" t="s">
        <v>107</v>
      </c>
      <c r="B80" s="217">
        <v>1200</v>
      </c>
      <c r="C80" s="184">
        <f t="shared" ref="C80:I80" si="10">C77-C78-C79</f>
        <v>-167</v>
      </c>
      <c r="D80" s="184">
        <f t="shared" si="10"/>
        <v>299</v>
      </c>
      <c r="E80" s="184">
        <f t="shared" si="10"/>
        <v>70</v>
      </c>
      <c r="F80" s="184">
        <f t="shared" si="10"/>
        <v>43</v>
      </c>
      <c r="G80" s="184">
        <f t="shared" si="10"/>
        <v>72</v>
      </c>
      <c r="H80" s="184">
        <f t="shared" si="10"/>
        <v>140</v>
      </c>
      <c r="I80" s="184">
        <f t="shared" si="10"/>
        <v>90</v>
      </c>
      <c r="J80" s="294"/>
    </row>
    <row r="81" spans="1:10" ht="20.100000000000001" customHeight="1">
      <c r="A81" s="68" t="s">
        <v>25</v>
      </c>
      <c r="B81" s="183">
        <v>1201</v>
      </c>
      <c r="C81" s="184">
        <f>SUMIF(C80,"&gt;0")</f>
        <v>0</v>
      </c>
      <c r="D81" s="184">
        <f t="shared" ref="D81:I81" si="11">SUMIF(D80,"&gt;0")</f>
        <v>299</v>
      </c>
      <c r="E81" s="184">
        <f t="shared" si="11"/>
        <v>70</v>
      </c>
      <c r="F81" s="184">
        <f t="shared" si="11"/>
        <v>43</v>
      </c>
      <c r="G81" s="184">
        <f t="shared" si="11"/>
        <v>72</v>
      </c>
      <c r="H81" s="184">
        <f t="shared" si="11"/>
        <v>140</v>
      </c>
      <c r="I81" s="184">
        <f t="shared" si="11"/>
        <v>90</v>
      </c>
      <c r="J81" s="144"/>
    </row>
    <row r="82" spans="1:10" ht="20.100000000000001" customHeight="1">
      <c r="A82" s="68" t="s">
        <v>26</v>
      </c>
      <c r="B82" s="183">
        <v>1202</v>
      </c>
      <c r="C82" s="232">
        <f>SUMIF(C80,"&lt;0")</f>
        <v>-167</v>
      </c>
      <c r="D82" s="184">
        <f t="shared" ref="D82:I82" si="12">SUMIF(D80,"&lt;0")</f>
        <v>0</v>
      </c>
      <c r="E82" s="184">
        <f t="shared" si="12"/>
        <v>0</v>
      </c>
      <c r="F82" s="184">
        <f t="shared" si="12"/>
        <v>0</v>
      </c>
      <c r="G82" s="184">
        <f t="shared" si="12"/>
        <v>0</v>
      </c>
      <c r="H82" s="184">
        <f t="shared" si="12"/>
        <v>0</v>
      </c>
      <c r="I82" s="184">
        <f t="shared" si="12"/>
        <v>0</v>
      </c>
      <c r="J82" s="144"/>
    </row>
    <row r="83" spans="1:10" ht="19.5" customHeight="1">
      <c r="A83" s="68" t="s">
        <v>271</v>
      </c>
      <c r="B83" s="164">
        <v>1210</v>
      </c>
      <c r="C83" s="185"/>
      <c r="D83" s="185"/>
      <c r="E83" s="185"/>
      <c r="F83" s="185"/>
      <c r="G83" s="185"/>
      <c r="H83" s="185"/>
      <c r="I83" s="185"/>
      <c r="J83" s="144"/>
    </row>
    <row r="84" spans="1:10" s="4" customFormat="1" ht="20.100000000000001" customHeight="1">
      <c r="A84" s="343" t="s">
        <v>318</v>
      </c>
      <c r="B84" s="344"/>
      <c r="C84" s="344"/>
      <c r="D84" s="344"/>
      <c r="E84" s="344"/>
      <c r="F84" s="344"/>
      <c r="G84" s="344"/>
      <c r="H84" s="344"/>
      <c r="I84" s="344"/>
      <c r="J84" s="345"/>
    </row>
    <row r="85" spans="1:10" ht="42.75" customHeight="1">
      <c r="A85" s="211" t="s">
        <v>294</v>
      </c>
      <c r="B85" s="94">
        <v>1300</v>
      </c>
      <c r="C85" s="187">
        <f t="shared" ref="C85:I85" si="13">C21-C59</f>
        <v>310</v>
      </c>
      <c r="D85" s="187">
        <f t="shared" si="13"/>
        <v>355</v>
      </c>
      <c r="E85" s="187">
        <f t="shared" si="13"/>
        <v>167</v>
      </c>
      <c r="F85" s="187">
        <f t="shared" si="13"/>
        <v>93</v>
      </c>
      <c r="G85" s="187">
        <f t="shared" si="13"/>
        <v>181</v>
      </c>
      <c r="H85" s="187">
        <f t="shared" si="13"/>
        <v>279</v>
      </c>
      <c r="I85" s="187">
        <f t="shared" si="13"/>
        <v>366</v>
      </c>
      <c r="J85" s="144"/>
    </row>
    <row r="86" spans="1:10" ht="75">
      <c r="A86" s="101" t="s">
        <v>288</v>
      </c>
      <c r="B86" s="94">
        <v>1310</v>
      </c>
      <c r="C86" s="187">
        <f t="shared" ref="C86:I86" si="14">C68+C69-C70-C71</f>
        <v>0</v>
      </c>
      <c r="D86" s="187">
        <f t="shared" si="14"/>
        <v>0</v>
      </c>
      <c r="E86" s="187">
        <f t="shared" si="14"/>
        <v>0</v>
      </c>
      <c r="F86" s="187">
        <f t="shared" si="14"/>
        <v>0</v>
      </c>
      <c r="G86" s="187">
        <f t="shared" si="14"/>
        <v>0</v>
      </c>
      <c r="H86" s="187">
        <f t="shared" si="14"/>
        <v>0</v>
      </c>
      <c r="I86" s="187">
        <f t="shared" si="14"/>
        <v>0</v>
      </c>
      <c r="J86" s="144"/>
    </row>
    <row r="87" spans="1:10" ht="42.75" customHeight="1">
      <c r="A87" s="211" t="s">
        <v>289</v>
      </c>
      <c r="B87" s="94">
        <v>1320</v>
      </c>
      <c r="C87" s="187">
        <f>C72-C75</f>
        <v>267</v>
      </c>
      <c r="D87" s="187">
        <f t="shared" ref="D87:I87" si="15">D72-D75</f>
        <v>266</v>
      </c>
      <c r="E87" s="187">
        <f t="shared" si="15"/>
        <v>281</v>
      </c>
      <c r="F87" s="187">
        <f t="shared" si="15"/>
        <v>89</v>
      </c>
      <c r="G87" s="187">
        <f t="shared" si="15"/>
        <v>179</v>
      </c>
      <c r="H87" s="187">
        <f t="shared" si="15"/>
        <v>269</v>
      </c>
      <c r="I87" s="187">
        <f t="shared" si="15"/>
        <v>359</v>
      </c>
      <c r="J87" s="144"/>
    </row>
    <row r="88" spans="1:10" ht="56.25">
      <c r="A88" s="101" t="s">
        <v>376</v>
      </c>
      <c r="B88" s="209">
        <v>1330</v>
      </c>
      <c r="C88" s="187">
        <f t="shared" ref="C88:I88" si="16">C7+C21+C68+C69+C72</f>
        <v>2922</v>
      </c>
      <c r="D88" s="187">
        <f t="shared" si="16"/>
        <v>3550</v>
      </c>
      <c r="E88" s="187">
        <f t="shared" si="16"/>
        <v>3147</v>
      </c>
      <c r="F88" s="187">
        <f t="shared" si="16"/>
        <v>1006</v>
      </c>
      <c r="G88" s="187">
        <f t="shared" si="16"/>
        <v>1929</v>
      </c>
      <c r="H88" s="187">
        <f t="shared" si="16"/>
        <v>2886</v>
      </c>
      <c r="I88" s="187">
        <f t="shared" si="16"/>
        <v>3836</v>
      </c>
      <c r="J88" s="144"/>
    </row>
    <row r="89" spans="1:10" ht="75">
      <c r="A89" s="101" t="s">
        <v>377</v>
      </c>
      <c r="B89" s="209">
        <v>1340</v>
      </c>
      <c r="C89" s="187">
        <f t="shared" ref="C89:I89" si="17">C9+C24+C49+C59+C70+C71+C75+C78+C79</f>
        <v>3089</v>
      </c>
      <c r="D89" s="187">
        <f t="shared" si="17"/>
        <v>3251</v>
      </c>
      <c r="E89" s="187">
        <f t="shared" si="17"/>
        <v>3077</v>
      </c>
      <c r="F89" s="187">
        <f t="shared" si="17"/>
        <v>963</v>
      </c>
      <c r="G89" s="187">
        <f t="shared" si="17"/>
        <v>1857</v>
      </c>
      <c r="H89" s="187">
        <f t="shared" si="17"/>
        <v>2746</v>
      </c>
      <c r="I89" s="187">
        <f t="shared" si="17"/>
        <v>3746</v>
      </c>
      <c r="J89" s="144"/>
    </row>
    <row r="90" spans="1:10" ht="20.100000000000001" customHeight="1">
      <c r="A90" s="343" t="s">
        <v>186</v>
      </c>
      <c r="B90" s="344"/>
      <c r="C90" s="344"/>
      <c r="D90" s="344"/>
      <c r="E90" s="344"/>
      <c r="F90" s="344"/>
      <c r="G90" s="344"/>
      <c r="H90" s="344"/>
      <c r="I90" s="344"/>
      <c r="J90" s="345"/>
    </row>
    <row r="91" spans="1:10" ht="37.5">
      <c r="A91" s="101" t="s">
        <v>290</v>
      </c>
      <c r="B91" s="209">
        <v>1400</v>
      </c>
      <c r="C91" s="187">
        <f>C67</f>
        <v>-434</v>
      </c>
      <c r="D91" s="187">
        <f t="shared" ref="D91:I91" si="18">D67</f>
        <v>99</v>
      </c>
      <c r="E91" s="187">
        <f t="shared" si="18"/>
        <v>-196</v>
      </c>
      <c r="F91" s="187">
        <f t="shared" si="18"/>
        <v>-46</v>
      </c>
      <c r="G91" s="187">
        <f t="shared" si="18"/>
        <v>-107</v>
      </c>
      <c r="H91" s="187">
        <f t="shared" si="18"/>
        <v>-129</v>
      </c>
      <c r="I91" s="187">
        <f t="shared" si="18"/>
        <v>-249</v>
      </c>
      <c r="J91" s="144"/>
    </row>
    <row r="92" spans="1:10">
      <c r="A92" s="101" t="s">
        <v>291</v>
      </c>
      <c r="B92" s="209">
        <v>1401</v>
      </c>
      <c r="C92" s="187">
        <f>C103</f>
        <v>346</v>
      </c>
      <c r="D92" s="187">
        <f t="shared" ref="D92:I92" si="19">D103</f>
        <v>313</v>
      </c>
      <c r="E92" s="187">
        <f t="shared" si="19"/>
        <v>415</v>
      </c>
      <c r="F92" s="187">
        <f t="shared" si="19"/>
        <v>100</v>
      </c>
      <c r="G92" s="187">
        <f t="shared" si="19"/>
        <v>201</v>
      </c>
      <c r="H92" s="187">
        <f t="shared" si="19"/>
        <v>303</v>
      </c>
      <c r="I92" s="187">
        <f t="shared" si="19"/>
        <v>404</v>
      </c>
      <c r="J92" s="144"/>
    </row>
    <row r="93" spans="1:10" ht="37.5">
      <c r="A93" s="101" t="s">
        <v>292</v>
      </c>
      <c r="B93" s="209">
        <v>1402</v>
      </c>
      <c r="C93" s="187">
        <f>C23</f>
        <v>0</v>
      </c>
      <c r="D93" s="187">
        <f t="shared" ref="D93:I93" si="20">D23</f>
        <v>0</v>
      </c>
      <c r="E93" s="187">
        <f t="shared" si="20"/>
        <v>0</v>
      </c>
      <c r="F93" s="187">
        <f t="shared" si="20"/>
        <v>0</v>
      </c>
      <c r="G93" s="187">
        <f t="shared" si="20"/>
        <v>0</v>
      </c>
      <c r="H93" s="187">
        <f t="shared" si="20"/>
        <v>0</v>
      </c>
      <c r="I93" s="187">
        <f t="shared" si="20"/>
        <v>0</v>
      </c>
      <c r="J93" s="144"/>
    </row>
    <row r="94" spans="1:10" ht="37.5">
      <c r="A94" s="101" t="s">
        <v>293</v>
      </c>
      <c r="B94" s="209">
        <v>1403</v>
      </c>
      <c r="C94" s="187">
        <f>C63</f>
        <v>0</v>
      </c>
      <c r="D94" s="187">
        <f t="shared" ref="D94:I94" si="21">D63</f>
        <v>0</v>
      </c>
      <c r="E94" s="187">
        <f t="shared" si="21"/>
        <v>0</v>
      </c>
      <c r="F94" s="187">
        <f t="shared" si="21"/>
        <v>0</v>
      </c>
      <c r="G94" s="187">
        <f t="shared" si="21"/>
        <v>0</v>
      </c>
      <c r="H94" s="187">
        <f t="shared" si="21"/>
        <v>0</v>
      </c>
      <c r="I94" s="187">
        <f t="shared" si="21"/>
        <v>0</v>
      </c>
      <c r="J94" s="144"/>
    </row>
    <row r="95" spans="1:10" ht="37.5">
      <c r="A95" s="101" t="s">
        <v>362</v>
      </c>
      <c r="B95" s="209">
        <v>1404</v>
      </c>
      <c r="C95" s="212"/>
      <c r="D95" s="212"/>
      <c r="E95" s="212"/>
      <c r="F95" s="212"/>
      <c r="G95" s="212"/>
      <c r="H95" s="212"/>
      <c r="I95" s="212"/>
      <c r="J95" s="144"/>
    </row>
    <row r="96" spans="1:10" s="4" customFormat="1" ht="20.100000000000001" customHeight="1">
      <c r="A96" s="103" t="s">
        <v>160</v>
      </c>
      <c r="B96" s="213">
        <v>1410</v>
      </c>
      <c r="C96" s="197">
        <f>C91+C92-C93+C94</f>
        <v>-88</v>
      </c>
      <c r="D96" s="197">
        <f t="shared" ref="D96:I96" si="22">D91+D92-D93+D94</f>
        <v>412</v>
      </c>
      <c r="E96" s="197">
        <f t="shared" si="22"/>
        <v>219</v>
      </c>
      <c r="F96" s="197">
        <f t="shared" si="22"/>
        <v>54</v>
      </c>
      <c r="G96" s="197">
        <f t="shared" si="22"/>
        <v>94</v>
      </c>
      <c r="H96" s="197">
        <f t="shared" si="22"/>
        <v>174</v>
      </c>
      <c r="I96" s="197">
        <f t="shared" si="22"/>
        <v>155</v>
      </c>
      <c r="J96" s="145"/>
    </row>
    <row r="97" spans="1:16" ht="20.100000000000001" customHeight="1">
      <c r="A97" s="343" t="s">
        <v>255</v>
      </c>
      <c r="B97" s="344"/>
      <c r="C97" s="344"/>
      <c r="D97" s="344"/>
      <c r="E97" s="344"/>
      <c r="F97" s="344"/>
      <c r="G97" s="344"/>
      <c r="H97" s="344"/>
      <c r="I97" s="344"/>
      <c r="J97" s="345"/>
    </row>
    <row r="98" spans="1:16" ht="20.100000000000001" customHeight="1">
      <c r="A98" s="7" t="s">
        <v>319</v>
      </c>
      <c r="B98" s="70">
        <v>1500</v>
      </c>
      <c r="C98" s="185">
        <f t="shared" ref="C98:H98" si="23">C99+C100</f>
        <v>1603</v>
      </c>
      <c r="D98" s="185">
        <f t="shared" si="23"/>
        <v>1533</v>
      </c>
      <c r="E98" s="185">
        <f t="shared" si="23"/>
        <v>1528</v>
      </c>
      <c r="F98" s="185">
        <f t="shared" si="23"/>
        <v>451</v>
      </c>
      <c r="G98" s="185">
        <f t="shared" si="23"/>
        <v>834</v>
      </c>
      <c r="H98" s="185">
        <f t="shared" si="23"/>
        <v>1212</v>
      </c>
      <c r="I98" s="185">
        <f>I99+I100</f>
        <v>1677</v>
      </c>
      <c r="J98" s="144"/>
    </row>
    <row r="99" spans="1:16" ht="20.100000000000001" customHeight="1">
      <c r="A99" s="7" t="s">
        <v>317</v>
      </c>
      <c r="B99" s="6">
        <v>1501</v>
      </c>
      <c r="C99" s="185">
        <f>C10+C19+C57</f>
        <v>1140</v>
      </c>
      <c r="D99" s="185">
        <f t="shared" ref="D99:I99" si="24">D10+D19+D57</f>
        <v>1000</v>
      </c>
      <c r="E99" s="185">
        <f t="shared" si="24"/>
        <v>788</v>
      </c>
      <c r="F99" s="185">
        <f t="shared" si="24"/>
        <v>276</v>
      </c>
      <c r="G99" s="185">
        <f t="shared" si="24"/>
        <v>553</v>
      </c>
      <c r="H99" s="185">
        <f t="shared" si="24"/>
        <v>828</v>
      </c>
      <c r="I99" s="185">
        <f t="shared" si="24"/>
        <v>1135</v>
      </c>
      <c r="J99" s="144"/>
    </row>
    <row r="100" spans="1:16" ht="20.100000000000001" customHeight="1">
      <c r="A100" s="7" t="s">
        <v>29</v>
      </c>
      <c r="B100" s="6">
        <v>1502</v>
      </c>
      <c r="C100" s="185">
        <f>C11+C12+C64</f>
        <v>463</v>
      </c>
      <c r="D100" s="185">
        <f t="shared" ref="D100:I100" si="25">D11+D12+D64</f>
        <v>533</v>
      </c>
      <c r="E100" s="185">
        <f t="shared" si="25"/>
        <v>740</v>
      </c>
      <c r="F100" s="185">
        <f t="shared" si="25"/>
        <v>175</v>
      </c>
      <c r="G100" s="185">
        <f t="shared" si="25"/>
        <v>281</v>
      </c>
      <c r="H100" s="185">
        <f t="shared" si="25"/>
        <v>384</v>
      </c>
      <c r="I100" s="185">
        <f t="shared" si="25"/>
        <v>542</v>
      </c>
      <c r="J100" s="261"/>
    </row>
    <row r="101" spans="1:16" ht="20.100000000000001" customHeight="1">
      <c r="A101" s="7" t="s">
        <v>5</v>
      </c>
      <c r="B101" s="70">
        <v>1510</v>
      </c>
      <c r="C101" s="185">
        <f t="shared" ref="C101:I101" si="26">C13+C32+C52</f>
        <v>814</v>
      </c>
      <c r="D101" s="185">
        <f t="shared" si="26"/>
        <v>978</v>
      </c>
      <c r="E101" s="185">
        <f t="shared" si="26"/>
        <v>843</v>
      </c>
      <c r="F101" s="185">
        <f t="shared" si="26"/>
        <v>308</v>
      </c>
      <c r="G101" s="185">
        <f t="shared" si="26"/>
        <v>616</v>
      </c>
      <c r="H101" s="185">
        <f t="shared" si="26"/>
        <v>923</v>
      </c>
      <c r="I101" s="185">
        <f t="shared" si="26"/>
        <v>1231</v>
      </c>
      <c r="J101" s="144"/>
    </row>
    <row r="102" spans="1:16" ht="20.100000000000001" customHeight="1">
      <c r="A102" s="7" t="s">
        <v>6</v>
      </c>
      <c r="B102" s="70">
        <v>1520</v>
      </c>
      <c r="C102" s="185">
        <f t="shared" ref="C102:I102" si="27">C14+C33+C56</f>
        <v>178</v>
      </c>
      <c r="D102" s="185">
        <f t="shared" si="27"/>
        <v>208</v>
      </c>
      <c r="E102" s="185">
        <f t="shared" si="27"/>
        <v>175</v>
      </c>
      <c r="F102" s="185">
        <f t="shared" si="27"/>
        <v>66</v>
      </c>
      <c r="G102" s="185">
        <f t="shared" si="27"/>
        <v>132</v>
      </c>
      <c r="H102" s="185">
        <f t="shared" si="27"/>
        <v>197</v>
      </c>
      <c r="I102" s="185">
        <f t="shared" si="27"/>
        <v>263</v>
      </c>
      <c r="J102" s="144"/>
      <c r="K102" s="198">
        <f>ROUND(Лист1!C17,0)</f>
        <v>66</v>
      </c>
      <c r="L102" s="198">
        <f>ROUND(Лист1!D17,0)</f>
        <v>132</v>
      </c>
      <c r="M102" s="198">
        <f>ROUND(Лист1!E17,0)</f>
        <v>197</v>
      </c>
      <c r="N102" s="198">
        <f>ROUND(Лист1!F17,0)</f>
        <v>263</v>
      </c>
      <c r="O102" s="198"/>
      <c r="P102" s="198"/>
    </row>
    <row r="103" spans="1:16" ht="20.100000000000001" customHeight="1">
      <c r="A103" s="7" t="s">
        <v>7</v>
      </c>
      <c r="B103" s="70">
        <v>1530</v>
      </c>
      <c r="C103" s="185">
        <f t="shared" ref="C103:I103" si="28">C53+C34+C16</f>
        <v>346</v>
      </c>
      <c r="D103" s="185">
        <f t="shared" si="28"/>
        <v>313</v>
      </c>
      <c r="E103" s="185">
        <f t="shared" si="28"/>
        <v>415</v>
      </c>
      <c r="F103" s="185">
        <f t="shared" si="28"/>
        <v>100</v>
      </c>
      <c r="G103" s="185">
        <f t="shared" si="28"/>
        <v>201</v>
      </c>
      <c r="H103" s="185">
        <f t="shared" si="28"/>
        <v>303</v>
      </c>
      <c r="I103" s="185">
        <f t="shared" si="28"/>
        <v>404</v>
      </c>
      <c r="J103" s="144"/>
      <c r="K103" s="198">
        <f>K102-F102</f>
        <v>0</v>
      </c>
      <c r="L103" s="198">
        <f>L102-G102</f>
        <v>0</v>
      </c>
      <c r="M103" s="198">
        <f>M102-H102</f>
        <v>0</v>
      </c>
      <c r="N103" s="198">
        <f>N102-I102</f>
        <v>0</v>
      </c>
    </row>
    <row r="104" spans="1:16" ht="20.100000000000001" customHeight="1">
      <c r="A104" s="7" t="s">
        <v>30</v>
      </c>
      <c r="B104" s="70">
        <v>1540</v>
      </c>
      <c r="C104" s="185">
        <v>148</v>
      </c>
      <c r="D104" s="185">
        <f t="shared" ref="D104:H104" si="29">D89-D78-D98-D101-D102-D103</f>
        <v>153</v>
      </c>
      <c r="E104" s="185">
        <f t="shared" si="29"/>
        <v>101</v>
      </c>
      <c r="F104" s="185">
        <f t="shared" si="29"/>
        <v>38</v>
      </c>
      <c r="G104" s="185">
        <f t="shared" si="29"/>
        <v>74</v>
      </c>
      <c r="H104" s="185">
        <f t="shared" si="29"/>
        <v>111</v>
      </c>
      <c r="I104" s="185">
        <f>I89-I78-I98-I101-I102-I103</f>
        <v>151</v>
      </c>
      <c r="J104" s="144"/>
    </row>
    <row r="105" spans="1:16" s="4" customFormat="1" ht="20.100000000000001" customHeight="1">
      <c r="A105" s="8" t="s">
        <v>61</v>
      </c>
      <c r="B105" s="69">
        <v>1550</v>
      </c>
      <c r="C105" s="186">
        <f>SUM(C98,C101:C104)</f>
        <v>3089</v>
      </c>
      <c r="D105" s="186">
        <f t="shared" ref="D105:I105" si="30">SUM(D98,D101:D104)</f>
        <v>3185</v>
      </c>
      <c r="E105" s="186">
        <f t="shared" si="30"/>
        <v>3062</v>
      </c>
      <c r="F105" s="186">
        <f t="shared" si="30"/>
        <v>963</v>
      </c>
      <c r="G105" s="186">
        <f t="shared" si="30"/>
        <v>1857</v>
      </c>
      <c r="H105" s="186">
        <f t="shared" si="30"/>
        <v>2746</v>
      </c>
      <c r="I105" s="186">
        <f t="shared" si="30"/>
        <v>3726</v>
      </c>
      <c r="J105" s="145"/>
    </row>
    <row r="106" spans="1:16" s="4" customFormat="1" ht="20.100000000000001" customHeight="1">
      <c r="A106" s="135"/>
      <c r="B106" s="139"/>
      <c r="C106" s="140"/>
      <c r="D106" s="140"/>
      <c r="E106" s="229"/>
      <c r="F106" s="229"/>
      <c r="G106" s="229"/>
      <c r="H106" s="229"/>
      <c r="I106" s="229"/>
      <c r="J106" s="142"/>
      <c r="K106" s="287">
        <f>штатка!I45/1000</f>
        <v>307.7595</v>
      </c>
      <c r="L106" s="287">
        <f>штатка!J45/1000</f>
        <v>615.51900000000001</v>
      </c>
      <c r="M106" s="287">
        <f>штатка!K45/1000</f>
        <v>923.27850000000001</v>
      </c>
      <c r="N106" s="287">
        <f>штатка!L45/1000</f>
        <v>1231.038</v>
      </c>
    </row>
    <row r="107" spans="1:16" s="4" customFormat="1" ht="15.75" customHeight="1">
      <c r="A107" s="135"/>
      <c r="B107" s="139"/>
      <c r="C107" s="140"/>
      <c r="D107" s="140"/>
      <c r="E107" s="140"/>
      <c r="F107" s="141"/>
      <c r="G107" s="141"/>
      <c r="H107" s="141"/>
      <c r="I107" s="141"/>
      <c r="J107" s="142"/>
      <c r="K107" s="287">
        <f>штатка!I46/1000</f>
        <v>65.770515000000003</v>
      </c>
      <c r="L107" s="287">
        <f>штатка!J46/1000</f>
        <v>131.54103000000001</v>
      </c>
      <c r="M107" s="287">
        <f>штатка!K46/1000</f>
        <v>197.31154500000002</v>
      </c>
      <c r="N107" s="287">
        <f>штатка!L46/1000</f>
        <v>263.08206000000001</v>
      </c>
    </row>
    <row r="108" spans="1:16" ht="16.5" customHeight="1">
      <c r="A108" s="111"/>
      <c r="B108" s="107"/>
      <c r="C108" s="133"/>
      <c r="D108" s="134"/>
      <c r="E108" s="134"/>
      <c r="F108" s="134"/>
      <c r="G108" s="134"/>
      <c r="H108" s="134"/>
      <c r="I108" s="134"/>
      <c r="J108" s="106"/>
    </row>
    <row r="109" spans="1:16" ht="56.25">
      <c r="A109" s="135" t="s">
        <v>418</v>
      </c>
      <c r="B109" s="136"/>
      <c r="C109" s="346" t="s">
        <v>265</v>
      </c>
      <c r="D109" s="346"/>
      <c r="E109" s="346"/>
      <c r="F109" s="137"/>
      <c r="G109" s="336" t="s">
        <v>435</v>
      </c>
      <c r="H109" s="337"/>
      <c r="I109" s="337"/>
      <c r="J109" s="106"/>
    </row>
    <row r="110" spans="1:16" s="1" customFormat="1" ht="20.100000000000001" customHeight="1">
      <c r="A110" s="93" t="s">
        <v>264</v>
      </c>
      <c r="B110" s="106"/>
      <c r="C110" s="342" t="s">
        <v>347</v>
      </c>
      <c r="D110" s="342"/>
      <c r="E110" s="342"/>
      <c r="F110" s="138"/>
      <c r="G110" s="318" t="s">
        <v>115</v>
      </c>
      <c r="H110" s="318"/>
      <c r="I110" s="318"/>
      <c r="J110" s="143"/>
    </row>
    <row r="111" spans="1:16" ht="20.100000000000001" customHeight="1">
      <c r="A111" s="24"/>
      <c r="C111" s="29"/>
      <c r="D111" s="25"/>
      <c r="E111" s="25"/>
      <c r="F111" s="25"/>
      <c r="G111" s="25"/>
      <c r="H111" s="25"/>
      <c r="I111" s="25"/>
    </row>
    <row r="112" spans="1:16">
      <c r="A112" s="24"/>
      <c r="C112" s="29"/>
      <c r="D112" s="25"/>
      <c r="E112" s="25"/>
      <c r="F112" s="25"/>
      <c r="G112" s="25"/>
      <c r="H112" s="25"/>
      <c r="I112" s="25"/>
    </row>
    <row r="113" spans="1:9">
      <c r="A113" s="24"/>
      <c r="C113" s="29"/>
      <c r="D113" s="25"/>
      <c r="E113" s="25"/>
      <c r="F113" s="25"/>
      <c r="G113" s="25"/>
      <c r="H113" s="25"/>
      <c r="I113" s="25"/>
    </row>
    <row r="114" spans="1:9">
      <c r="A114" s="24"/>
      <c r="C114" s="29"/>
      <c r="D114" s="25"/>
      <c r="E114" s="25"/>
      <c r="F114" s="25"/>
      <c r="G114" s="25"/>
      <c r="H114" s="25"/>
      <c r="I114" s="25"/>
    </row>
    <row r="115" spans="1:9">
      <c r="A115" s="24"/>
      <c r="C115" s="29"/>
      <c r="D115" s="25"/>
      <c r="E115" s="25"/>
      <c r="F115" s="25"/>
      <c r="G115" s="25"/>
      <c r="H115" s="25"/>
      <c r="I115" s="25"/>
    </row>
    <row r="116" spans="1:9">
      <c r="A116" s="24"/>
      <c r="C116" s="29"/>
      <c r="D116" s="25"/>
      <c r="E116" s="25"/>
      <c r="F116" s="25"/>
      <c r="G116" s="25"/>
      <c r="H116" s="25"/>
      <c r="I116" s="25"/>
    </row>
    <row r="117" spans="1:9">
      <c r="A117" s="24"/>
      <c r="C117" s="29"/>
      <c r="D117" s="25"/>
      <c r="E117" s="25"/>
      <c r="F117" s="25"/>
      <c r="G117" s="25"/>
      <c r="H117" s="25"/>
      <c r="I117" s="25"/>
    </row>
    <row r="118" spans="1:9">
      <c r="A118" s="24"/>
      <c r="C118" s="29"/>
      <c r="D118" s="25"/>
      <c r="E118" s="25"/>
      <c r="F118" s="25"/>
      <c r="G118" s="25"/>
      <c r="H118" s="25"/>
      <c r="I118" s="25"/>
    </row>
    <row r="119" spans="1:9">
      <c r="A119" s="24"/>
      <c r="C119" s="29"/>
      <c r="D119" s="25"/>
      <c r="E119" s="25"/>
      <c r="F119" s="25"/>
      <c r="G119" s="25"/>
      <c r="H119" s="25"/>
      <c r="I119" s="25"/>
    </row>
    <row r="120" spans="1:9">
      <c r="A120" s="24"/>
      <c r="C120" s="29"/>
      <c r="D120" s="25"/>
      <c r="E120" s="25"/>
      <c r="F120" s="25"/>
      <c r="G120" s="25"/>
      <c r="H120" s="25"/>
      <c r="I120" s="25"/>
    </row>
    <row r="121" spans="1:9">
      <c r="A121" s="24"/>
      <c r="C121" s="29"/>
      <c r="D121" s="25"/>
      <c r="E121" s="25"/>
      <c r="F121" s="25"/>
      <c r="G121" s="25"/>
      <c r="H121" s="25"/>
      <c r="I121" s="25"/>
    </row>
    <row r="122" spans="1:9">
      <c r="A122" s="24"/>
      <c r="C122" s="29"/>
      <c r="D122" s="25"/>
      <c r="E122" s="25"/>
      <c r="F122" s="25"/>
      <c r="G122" s="25"/>
      <c r="H122" s="25"/>
      <c r="I122" s="25"/>
    </row>
    <row r="123" spans="1:9">
      <c r="A123" s="24"/>
      <c r="C123" s="29"/>
      <c r="D123" s="25"/>
      <c r="E123" s="25"/>
      <c r="F123" s="25"/>
      <c r="G123" s="25"/>
      <c r="H123" s="25"/>
      <c r="I123" s="25"/>
    </row>
    <row r="124" spans="1:9">
      <c r="A124" s="24"/>
      <c r="C124" s="29"/>
      <c r="D124" s="25"/>
      <c r="E124" s="25"/>
      <c r="F124" s="25"/>
      <c r="G124" s="25"/>
      <c r="H124" s="25"/>
      <c r="I124" s="25"/>
    </row>
    <row r="125" spans="1:9">
      <c r="A125" s="24"/>
      <c r="C125" s="29"/>
      <c r="D125" s="25"/>
      <c r="E125" s="25"/>
      <c r="F125" s="25"/>
      <c r="G125" s="25"/>
      <c r="H125" s="25"/>
      <c r="I125" s="25"/>
    </row>
    <row r="126" spans="1:9">
      <c r="A126" s="24"/>
      <c r="C126" s="29"/>
      <c r="D126" s="25"/>
      <c r="E126" s="25"/>
      <c r="F126" s="25"/>
      <c r="G126" s="25"/>
      <c r="H126" s="25"/>
      <c r="I126" s="25"/>
    </row>
    <row r="127" spans="1:9">
      <c r="A127" s="24"/>
      <c r="C127" s="29"/>
      <c r="D127" s="25"/>
      <c r="E127" s="25"/>
      <c r="F127" s="25"/>
      <c r="G127" s="25"/>
      <c r="H127" s="25"/>
      <c r="I127" s="25"/>
    </row>
    <row r="128" spans="1:9">
      <c r="A128" s="24"/>
      <c r="C128" s="29"/>
      <c r="D128" s="25"/>
      <c r="E128" s="25"/>
      <c r="F128" s="25"/>
      <c r="G128" s="25"/>
      <c r="H128" s="25"/>
      <c r="I128" s="25"/>
    </row>
    <row r="129" spans="1:9">
      <c r="A129" s="24"/>
      <c r="C129" s="29"/>
      <c r="D129" s="25"/>
      <c r="E129" s="25"/>
      <c r="F129" s="25"/>
      <c r="G129" s="25"/>
      <c r="H129" s="25"/>
      <c r="I129" s="25"/>
    </row>
    <row r="130" spans="1:9">
      <c r="A130" s="24"/>
      <c r="C130" s="29"/>
      <c r="D130" s="25"/>
      <c r="E130" s="25"/>
      <c r="F130" s="25"/>
      <c r="G130" s="25"/>
      <c r="H130" s="25"/>
      <c r="I130" s="25"/>
    </row>
    <row r="131" spans="1:9">
      <c r="A131" s="24"/>
      <c r="C131" s="29"/>
      <c r="D131" s="25"/>
      <c r="E131" s="25"/>
      <c r="F131" s="25"/>
      <c r="G131" s="25"/>
      <c r="H131" s="25"/>
      <c r="I131" s="25"/>
    </row>
    <row r="132" spans="1:9">
      <c r="A132" s="24"/>
      <c r="C132" s="29"/>
      <c r="D132" s="25"/>
      <c r="E132" s="25"/>
      <c r="F132" s="25"/>
      <c r="G132" s="25"/>
      <c r="H132" s="25"/>
      <c r="I132" s="25"/>
    </row>
    <row r="133" spans="1:9">
      <c r="A133" s="24"/>
      <c r="C133" s="29"/>
      <c r="D133" s="25"/>
      <c r="E133" s="25"/>
      <c r="F133" s="25"/>
      <c r="G133" s="25"/>
      <c r="H133" s="25"/>
      <c r="I133" s="25"/>
    </row>
    <row r="134" spans="1:9">
      <c r="A134" s="24"/>
      <c r="C134" s="29"/>
      <c r="D134" s="25"/>
      <c r="E134" s="25"/>
      <c r="F134" s="25"/>
      <c r="G134" s="25"/>
      <c r="H134" s="25"/>
      <c r="I134" s="25"/>
    </row>
    <row r="135" spans="1:9">
      <c r="A135" s="24"/>
      <c r="C135" s="29"/>
      <c r="D135" s="25"/>
      <c r="E135" s="25"/>
      <c r="F135" s="25"/>
      <c r="G135" s="25"/>
      <c r="H135" s="25"/>
      <c r="I135" s="25"/>
    </row>
    <row r="136" spans="1:9">
      <c r="A136" s="24"/>
      <c r="C136" s="29"/>
      <c r="D136" s="25"/>
      <c r="E136" s="25"/>
      <c r="F136" s="25"/>
      <c r="G136" s="25"/>
      <c r="H136" s="25"/>
      <c r="I136" s="25"/>
    </row>
    <row r="137" spans="1:9">
      <c r="A137" s="24"/>
      <c r="C137" s="29"/>
      <c r="D137" s="25"/>
      <c r="E137" s="25"/>
      <c r="F137" s="25"/>
      <c r="G137" s="25"/>
      <c r="H137" s="25"/>
      <c r="I137" s="25"/>
    </row>
    <row r="138" spans="1:9">
      <c r="A138" s="24"/>
      <c r="C138" s="29"/>
      <c r="D138" s="25"/>
      <c r="E138" s="25"/>
      <c r="F138" s="25"/>
      <c r="G138" s="25"/>
      <c r="H138" s="25"/>
      <c r="I138" s="25"/>
    </row>
    <row r="139" spans="1:9">
      <c r="A139" s="24"/>
      <c r="C139" s="29"/>
      <c r="D139" s="25"/>
      <c r="E139" s="25"/>
      <c r="F139" s="25"/>
      <c r="G139" s="25"/>
      <c r="H139" s="25"/>
      <c r="I139" s="25"/>
    </row>
    <row r="140" spans="1:9">
      <c r="A140" s="24"/>
      <c r="C140" s="29"/>
      <c r="D140" s="25"/>
      <c r="E140" s="25"/>
      <c r="F140" s="25"/>
      <c r="G140" s="25"/>
      <c r="H140" s="25"/>
      <c r="I140" s="25"/>
    </row>
    <row r="141" spans="1:9">
      <c r="A141" s="24"/>
      <c r="C141" s="29"/>
      <c r="D141" s="25"/>
      <c r="E141" s="25"/>
      <c r="F141" s="25"/>
      <c r="G141" s="25"/>
      <c r="H141" s="25"/>
      <c r="I141" s="25"/>
    </row>
    <row r="142" spans="1:9">
      <c r="A142" s="24"/>
      <c r="C142" s="29"/>
      <c r="D142" s="25"/>
      <c r="E142" s="25"/>
      <c r="F142" s="25"/>
      <c r="G142" s="25"/>
      <c r="H142" s="25"/>
      <c r="I142" s="25"/>
    </row>
    <row r="143" spans="1:9">
      <c r="A143" s="24"/>
      <c r="C143" s="29"/>
      <c r="D143" s="25"/>
      <c r="E143" s="25"/>
      <c r="F143" s="25"/>
      <c r="G143" s="25"/>
      <c r="H143" s="25"/>
      <c r="I143" s="25"/>
    </row>
    <row r="144" spans="1:9">
      <c r="A144" s="24"/>
      <c r="C144" s="29"/>
      <c r="D144" s="25"/>
      <c r="E144" s="25"/>
      <c r="F144" s="25"/>
      <c r="G144" s="25"/>
      <c r="H144" s="25"/>
      <c r="I144" s="25"/>
    </row>
    <row r="145" spans="1:9">
      <c r="A145" s="24"/>
      <c r="C145" s="29"/>
      <c r="D145" s="25"/>
      <c r="E145" s="25"/>
      <c r="F145" s="25"/>
      <c r="G145" s="25"/>
      <c r="H145" s="25"/>
      <c r="I145" s="25"/>
    </row>
    <row r="146" spans="1:9">
      <c r="A146" s="24"/>
      <c r="C146" s="29"/>
      <c r="D146" s="25"/>
      <c r="E146" s="25"/>
      <c r="F146" s="25"/>
      <c r="G146" s="25"/>
      <c r="H146" s="25"/>
      <c r="I146" s="25"/>
    </row>
    <row r="147" spans="1:9">
      <c r="A147" s="24"/>
      <c r="C147" s="29"/>
      <c r="D147" s="25"/>
      <c r="E147" s="25"/>
      <c r="F147" s="25"/>
      <c r="G147" s="25"/>
      <c r="H147" s="25"/>
      <c r="I147" s="25"/>
    </row>
    <row r="148" spans="1:9">
      <c r="A148" s="24"/>
      <c r="C148" s="29"/>
      <c r="D148" s="25"/>
      <c r="E148" s="25"/>
      <c r="F148" s="25"/>
      <c r="G148" s="25"/>
      <c r="H148" s="25"/>
      <c r="I148" s="25"/>
    </row>
    <row r="149" spans="1:9">
      <c r="A149" s="24"/>
      <c r="C149" s="29"/>
      <c r="D149" s="25"/>
      <c r="E149" s="25"/>
      <c r="F149" s="25"/>
      <c r="G149" s="25"/>
      <c r="H149" s="25"/>
      <c r="I149" s="25"/>
    </row>
    <row r="150" spans="1:9">
      <c r="A150" s="24"/>
      <c r="C150" s="29"/>
      <c r="D150" s="25"/>
      <c r="E150" s="25"/>
      <c r="F150" s="25"/>
      <c r="G150" s="25"/>
      <c r="H150" s="25"/>
      <c r="I150" s="25"/>
    </row>
    <row r="151" spans="1:9">
      <c r="A151" s="24"/>
      <c r="C151" s="29"/>
      <c r="D151" s="25"/>
      <c r="E151" s="25"/>
      <c r="F151" s="25"/>
      <c r="G151" s="25"/>
      <c r="H151" s="25"/>
      <c r="I151" s="25"/>
    </row>
    <row r="152" spans="1:9">
      <c r="A152" s="24"/>
      <c r="C152" s="29"/>
      <c r="D152" s="25"/>
      <c r="E152" s="25"/>
      <c r="F152" s="25"/>
      <c r="G152" s="25"/>
      <c r="H152" s="25"/>
      <c r="I152" s="25"/>
    </row>
    <row r="153" spans="1:9">
      <c r="A153" s="24"/>
      <c r="C153" s="29"/>
      <c r="D153" s="25"/>
      <c r="E153" s="25"/>
      <c r="F153" s="25"/>
      <c r="G153" s="25"/>
      <c r="H153" s="25"/>
      <c r="I153" s="25"/>
    </row>
    <row r="154" spans="1:9">
      <c r="A154" s="24"/>
      <c r="C154" s="29"/>
      <c r="D154" s="25"/>
      <c r="E154" s="25"/>
      <c r="F154" s="25"/>
      <c r="G154" s="25"/>
      <c r="H154" s="25"/>
      <c r="I154" s="25"/>
    </row>
    <row r="155" spans="1:9">
      <c r="A155" s="24"/>
      <c r="C155" s="29"/>
      <c r="D155" s="25"/>
      <c r="E155" s="25"/>
      <c r="F155" s="25"/>
      <c r="G155" s="25"/>
      <c r="H155" s="25"/>
      <c r="I155" s="25"/>
    </row>
    <row r="156" spans="1:9">
      <c r="A156" s="24"/>
      <c r="C156" s="29"/>
      <c r="D156" s="25"/>
      <c r="E156" s="25"/>
      <c r="F156" s="25"/>
      <c r="G156" s="25"/>
      <c r="H156" s="25"/>
      <c r="I156" s="25"/>
    </row>
    <row r="157" spans="1:9">
      <c r="A157" s="24"/>
      <c r="C157" s="29"/>
      <c r="D157" s="25"/>
      <c r="E157" s="25"/>
      <c r="F157" s="25"/>
      <c r="G157" s="25"/>
      <c r="H157" s="25"/>
      <c r="I157" s="25"/>
    </row>
    <row r="158" spans="1:9">
      <c r="A158" s="24"/>
      <c r="C158" s="29"/>
      <c r="D158" s="25"/>
      <c r="E158" s="25"/>
      <c r="F158" s="25"/>
      <c r="G158" s="25"/>
      <c r="H158" s="25"/>
      <c r="I158" s="25"/>
    </row>
    <row r="159" spans="1:9">
      <c r="A159" s="24"/>
      <c r="C159" s="29"/>
      <c r="D159" s="25"/>
      <c r="E159" s="25"/>
      <c r="F159" s="25"/>
      <c r="G159" s="25"/>
      <c r="H159" s="25"/>
      <c r="I159" s="25"/>
    </row>
    <row r="160" spans="1:9">
      <c r="A160" s="24"/>
      <c r="C160" s="29"/>
      <c r="D160" s="25"/>
      <c r="E160" s="25"/>
      <c r="F160" s="25"/>
      <c r="G160" s="25"/>
      <c r="H160" s="25"/>
      <c r="I160" s="25"/>
    </row>
    <row r="161" spans="1:9">
      <c r="A161" s="24"/>
      <c r="C161" s="29"/>
      <c r="D161" s="25"/>
      <c r="E161" s="25"/>
      <c r="F161" s="25"/>
      <c r="G161" s="25"/>
      <c r="H161" s="25"/>
      <c r="I161" s="25"/>
    </row>
    <row r="162" spans="1:9">
      <c r="A162" s="24"/>
      <c r="C162" s="29"/>
      <c r="D162" s="25"/>
      <c r="E162" s="25"/>
      <c r="F162" s="25"/>
      <c r="G162" s="25"/>
      <c r="H162" s="25"/>
      <c r="I162" s="25"/>
    </row>
    <row r="163" spans="1:9">
      <c r="A163" s="24"/>
      <c r="C163" s="29"/>
      <c r="D163" s="25"/>
      <c r="E163" s="25"/>
      <c r="F163" s="25"/>
      <c r="G163" s="25"/>
      <c r="H163" s="25"/>
      <c r="I163" s="25"/>
    </row>
    <row r="164" spans="1:9">
      <c r="A164" s="24"/>
      <c r="C164" s="29"/>
      <c r="D164" s="25"/>
      <c r="E164" s="25"/>
      <c r="F164" s="25"/>
      <c r="G164" s="25"/>
      <c r="H164" s="25"/>
      <c r="I164" s="25"/>
    </row>
    <row r="165" spans="1:9">
      <c r="A165" s="24"/>
      <c r="C165" s="29"/>
      <c r="D165" s="25"/>
      <c r="E165" s="25"/>
      <c r="F165" s="25"/>
      <c r="G165" s="25"/>
      <c r="H165" s="25"/>
      <c r="I165" s="25"/>
    </row>
    <row r="166" spans="1:9">
      <c r="A166" s="24"/>
      <c r="C166" s="29"/>
      <c r="D166" s="25"/>
      <c r="E166" s="25"/>
      <c r="F166" s="25"/>
      <c r="G166" s="25"/>
      <c r="H166" s="25"/>
      <c r="I166" s="25"/>
    </row>
    <row r="167" spans="1:9">
      <c r="A167" s="24"/>
      <c r="C167" s="29"/>
      <c r="D167" s="25"/>
      <c r="E167" s="25"/>
      <c r="F167" s="25"/>
      <c r="G167" s="25"/>
      <c r="H167" s="25"/>
      <c r="I167" s="25"/>
    </row>
    <row r="168" spans="1:9">
      <c r="A168" s="24"/>
      <c r="C168" s="29"/>
      <c r="D168" s="25"/>
      <c r="E168" s="25"/>
      <c r="F168" s="25"/>
      <c r="G168" s="25"/>
      <c r="H168" s="25"/>
      <c r="I168" s="25"/>
    </row>
    <row r="169" spans="1:9">
      <c r="A169" s="46"/>
    </row>
    <row r="170" spans="1:9">
      <c r="A170" s="46"/>
    </row>
    <row r="171" spans="1:9">
      <c r="A171" s="46"/>
    </row>
    <row r="172" spans="1:9">
      <c r="A172" s="46"/>
    </row>
    <row r="173" spans="1:9">
      <c r="A173" s="46"/>
    </row>
    <row r="174" spans="1:9">
      <c r="A174" s="46"/>
    </row>
    <row r="175" spans="1:9">
      <c r="A175" s="46"/>
    </row>
    <row r="176" spans="1:9">
      <c r="A176" s="46"/>
    </row>
    <row r="177" spans="1:1">
      <c r="A177" s="46"/>
    </row>
    <row r="178" spans="1:1">
      <c r="A178" s="46"/>
    </row>
    <row r="179" spans="1:1">
      <c r="A179" s="46"/>
    </row>
    <row r="180" spans="1:1">
      <c r="A180" s="46"/>
    </row>
    <row r="181" spans="1:1">
      <c r="A181" s="46"/>
    </row>
    <row r="182" spans="1:1">
      <c r="A182" s="46"/>
    </row>
    <row r="183" spans="1:1">
      <c r="A183" s="46"/>
    </row>
    <row r="184" spans="1:1">
      <c r="A184" s="46"/>
    </row>
    <row r="185" spans="1:1">
      <c r="A185" s="46"/>
    </row>
    <row r="186" spans="1:1">
      <c r="A186" s="46"/>
    </row>
    <row r="187" spans="1:1">
      <c r="A187" s="46"/>
    </row>
    <row r="188" spans="1:1">
      <c r="A188" s="46"/>
    </row>
    <row r="189" spans="1:1">
      <c r="A189" s="46"/>
    </row>
    <row r="190" spans="1:1">
      <c r="A190" s="46"/>
    </row>
    <row r="191" spans="1:1">
      <c r="A191" s="46"/>
    </row>
    <row r="192" spans="1:1">
      <c r="A192" s="46"/>
    </row>
    <row r="193" spans="1:1">
      <c r="A193" s="46"/>
    </row>
    <row r="194" spans="1:1">
      <c r="A194" s="46"/>
    </row>
    <row r="195" spans="1:1">
      <c r="A195" s="46"/>
    </row>
    <row r="196" spans="1:1">
      <c r="A196" s="46"/>
    </row>
    <row r="197" spans="1:1">
      <c r="A197" s="46"/>
    </row>
    <row r="198" spans="1:1">
      <c r="A198" s="46"/>
    </row>
    <row r="199" spans="1:1">
      <c r="A199" s="46"/>
    </row>
    <row r="200" spans="1:1">
      <c r="A200" s="46"/>
    </row>
    <row r="201" spans="1:1">
      <c r="A201" s="46"/>
    </row>
    <row r="202" spans="1:1">
      <c r="A202" s="46"/>
    </row>
    <row r="203" spans="1:1">
      <c r="A203" s="46"/>
    </row>
    <row r="204" spans="1:1">
      <c r="A204" s="46"/>
    </row>
    <row r="205" spans="1:1">
      <c r="A205" s="46"/>
    </row>
    <row r="206" spans="1:1">
      <c r="A206" s="46"/>
    </row>
    <row r="207" spans="1:1">
      <c r="A207" s="46"/>
    </row>
    <row r="208" spans="1:1">
      <c r="A208" s="46"/>
    </row>
    <row r="209" spans="1:1">
      <c r="A209" s="46"/>
    </row>
    <row r="210" spans="1:1">
      <c r="A210" s="46"/>
    </row>
    <row r="211" spans="1:1">
      <c r="A211" s="46"/>
    </row>
    <row r="212" spans="1:1">
      <c r="A212" s="46"/>
    </row>
    <row r="213" spans="1:1">
      <c r="A213" s="46"/>
    </row>
    <row r="214" spans="1:1">
      <c r="A214" s="46"/>
    </row>
    <row r="215" spans="1:1">
      <c r="A215" s="46"/>
    </row>
    <row r="216" spans="1:1">
      <c r="A216" s="46"/>
    </row>
    <row r="217" spans="1:1">
      <c r="A217" s="46"/>
    </row>
    <row r="218" spans="1:1">
      <c r="A218" s="46"/>
    </row>
    <row r="219" spans="1:1">
      <c r="A219" s="46"/>
    </row>
    <row r="220" spans="1:1">
      <c r="A220" s="46"/>
    </row>
    <row r="221" spans="1:1">
      <c r="A221" s="46"/>
    </row>
    <row r="222" spans="1:1">
      <c r="A222" s="46"/>
    </row>
    <row r="223" spans="1:1">
      <c r="A223" s="46"/>
    </row>
    <row r="224" spans="1:1">
      <c r="A224" s="46"/>
    </row>
    <row r="225" spans="1:1">
      <c r="A225" s="46"/>
    </row>
    <row r="226" spans="1:1">
      <c r="A226" s="46"/>
    </row>
    <row r="227" spans="1:1">
      <c r="A227" s="46"/>
    </row>
    <row r="228" spans="1:1">
      <c r="A228" s="46"/>
    </row>
    <row r="229" spans="1:1">
      <c r="A229" s="46"/>
    </row>
    <row r="230" spans="1:1">
      <c r="A230" s="46"/>
    </row>
    <row r="231" spans="1:1">
      <c r="A231" s="46"/>
    </row>
    <row r="232" spans="1:1">
      <c r="A232" s="46"/>
    </row>
    <row r="233" spans="1:1">
      <c r="A233" s="46"/>
    </row>
    <row r="234" spans="1:1">
      <c r="A234" s="46"/>
    </row>
    <row r="235" spans="1:1">
      <c r="A235" s="46"/>
    </row>
    <row r="236" spans="1:1">
      <c r="A236" s="46"/>
    </row>
    <row r="237" spans="1:1">
      <c r="A237" s="46"/>
    </row>
    <row r="238" spans="1:1">
      <c r="A238" s="46"/>
    </row>
    <row r="239" spans="1:1">
      <c r="A239" s="46"/>
    </row>
    <row r="240" spans="1:1">
      <c r="A240" s="46"/>
    </row>
    <row r="241" spans="1:1">
      <c r="A241" s="46"/>
    </row>
    <row r="242" spans="1:1">
      <c r="A242" s="46"/>
    </row>
    <row r="243" spans="1:1">
      <c r="A243" s="46"/>
    </row>
    <row r="244" spans="1:1">
      <c r="A244" s="46"/>
    </row>
    <row r="245" spans="1:1">
      <c r="A245" s="46"/>
    </row>
    <row r="246" spans="1:1">
      <c r="A246" s="46"/>
    </row>
    <row r="247" spans="1:1">
      <c r="A247" s="46"/>
    </row>
    <row r="248" spans="1:1">
      <c r="A248" s="46"/>
    </row>
    <row r="249" spans="1:1">
      <c r="A249" s="46"/>
    </row>
    <row r="250" spans="1:1">
      <c r="A250" s="46"/>
    </row>
    <row r="251" spans="1:1">
      <c r="A251" s="46"/>
    </row>
    <row r="252" spans="1:1">
      <c r="A252" s="46"/>
    </row>
    <row r="253" spans="1:1">
      <c r="A253" s="46"/>
    </row>
    <row r="254" spans="1:1">
      <c r="A254" s="46"/>
    </row>
    <row r="255" spans="1:1">
      <c r="A255" s="46"/>
    </row>
    <row r="256" spans="1:1">
      <c r="A256" s="46"/>
    </row>
    <row r="257" spans="1:1">
      <c r="A257" s="46"/>
    </row>
    <row r="258" spans="1:1">
      <c r="A258" s="46"/>
    </row>
    <row r="259" spans="1:1">
      <c r="A259" s="46"/>
    </row>
    <row r="260" spans="1:1">
      <c r="A260" s="46"/>
    </row>
    <row r="261" spans="1:1">
      <c r="A261" s="46"/>
    </row>
    <row r="262" spans="1:1">
      <c r="A262" s="46"/>
    </row>
    <row r="263" spans="1:1">
      <c r="A263" s="46"/>
    </row>
    <row r="264" spans="1:1">
      <c r="A264" s="46"/>
    </row>
    <row r="265" spans="1:1">
      <c r="A265" s="46"/>
    </row>
    <row r="266" spans="1:1">
      <c r="A266" s="46"/>
    </row>
    <row r="267" spans="1:1">
      <c r="A267" s="46"/>
    </row>
    <row r="268" spans="1:1">
      <c r="A268" s="46"/>
    </row>
    <row r="269" spans="1:1">
      <c r="A269" s="46"/>
    </row>
    <row r="270" spans="1:1">
      <c r="A270" s="46"/>
    </row>
    <row r="271" spans="1:1">
      <c r="A271" s="46"/>
    </row>
    <row r="272" spans="1:1">
      <c r="A272" s="46"/>
    </row>
    <row r="273" spans="1:1">
      <c r="A273" s="46"/>
    </row>
    <row r="274" spans="1:1">
      <c r="A274" s="46"/>
    </row>
    <row r="275" spans="1:1">
      <c r="A275" s="46"/>
    </row>
    <row r="276" spans="1:1">
      <c r="A276" s="46"/>
    </row>
    <row r="277" spans="1:1">
      <c r="A277" s="46"/>
    </row>
    <row r="278" spans="1:1">
      <c r="A278" s="46"/>
    </row>
    <row r="279" spans="1:1">
      <c r="A279" s="46"/>
    </row>
    <row r="280" spans="1:1">
      <c r="A280" s="46"/>
    </row>
    <row r="281" spans="1:1">
      <c r="A281" s="46"/>
    </row>
    <row r="282" spans="1:1">
      <c r="A282" s="46"/>
    </row>
    <row r="283" spans="1:1">
      <c r="A283" s="46"/>
    </row>
    <row r="284" spans="1:1">
      <c r="A284" s="46"/>
    </row>
    <row r="285" spans="1:1">
      <c r="A285" s="46"/>
    </row>
    <row r="286" spans="1:1">
      <c r="A286" s="46"/>
    </row>
    <row r="287" spans="1:1">
      <c r="A287" s="46"/>
    </row>
    <row r="288" spans="1:1">
      <c r="A288" s="46"/>
    </row>
    <row r="289" spans="1:1">
      <c r="A289" s="46"/>
    </row>
    <row r="290" spans="1:1">
      <c r="A290" s="46"/>
    </row>
    <row r="291" spans="1:1">
      <c r="A291" s="46"/>
    </row>
    <row r="292" spans="1:1">
      <c r="A292" s="46"/>
    </row>
    <row r="293" spans="1:1">
      <c r="A293" s="46"/>
    </row>
    <row r="294" spans="1:1">
      <c r="A294" s="46"/>
    </row>
    <row r="295" spans="1:1">
      <c r="A295" s="46"/>
    </row>
    <row r="296" spans="1:1">
      <c r="A296" s="46"/>
    </row>
    <row r="297" spans="1:1">
      <c r="A297" s="46"/>
    </row>
    <row r="298" spans="1:1">
      <c r="A298" s="46"/>
    </row>
    <row r="299" spans="1:1">
      <c r="A299" s="46"/>
    </row>
    <row r="300" spans="1:1">
      <c r="A300" s="46"/>
    </row>
    <row r="301" spans="1:1">
      <c r="A301" s="46"/>
    </row>
    <row r="302" spans="1:1">
      <c r="A302" s="46"/>
    </row>
    <row r="303" spans="1:1">
      <c r="A303" s="46"/>
    </row>
    <row r="304" spans="1:1">
      <c r="A304" s="46"/>
    </row>
    <row r="305" spans="1:1">
      <c r="A305" s="46"/>
    </row>
    <row r="306" spans="1:1">
      <c r="A306" s="46"/>
    </row>
    <row r="307" spans="1:1">
      <c r="A307" s="46"/>
    </row>
    <row r="308" spans="1:1">
      <c r="A308" s="46"/>
    </row>
    <row r="309" spans="1:1">
      <c r="A309" s="46"/>
    </row>
    <row r="310" spans="1:1">
      <c r="A310" s="46"/>
    </row>
    <row r="311" spans="1:1">
      <c r="A311" s="46"/>
    </row>
    <row r="312" spans="1:1">
      <c r="A312" s="46"/>
    </row>
    <row r="313" spans="1:1">
      <c r="A313" s="46"/>
    </row>
    <row r="314" spans="1:1">
      <c r="A314" s="46"/>
    </row>
    <row r="315" spans="1:1">
      <c r="A315" s="46"/>
    </row>
    <row r="316" spans="1:1">
      <c r="A316" s="46"/>
    </row>
    <row r="317" spans="1:1">
      <c r="A317" s="46"/>
    </row>
    <row r="318" spans="1:1">
      <c r="A318" s="46"/>
    </row>
    <row r="319" spans="1:1">
      <c r="A319" s="46"/>
    </row>
    <row r="320" spans="1:1">
      <c r="A320" s="46"/>
    </row>
    <row r="321" spans="1:1">
      <c r="A321" s="46"/>
    </row>
    <row r="322" spans="1:1">
      <c r="A322" s="46"/>
    </row>
    <row r="323" spans="1:1">
      <c r="A323" s="46"/>
    </row>
    <row r="324" spans="1:1">
      <c r="A324" s="46"/>
    </row>
    <row r="325" spans="1:1">
      <c r="A325" s="46"/>
    </row>
    <row r="326" spans="1:1">
      <c r="A326" s="46"/>
    </row>
    <row r="327" spans="1:1">
      <c r="A327" s="46"/>
    </row>
    <row r="328" spans="1:1">
      <c r="A328" s="46"/>
    </row>
    <row r="329" spans="1:1">
      <c r="A329" s="46"/>
    </row>
    <row r="330" spans="1:1">
      <c r="A330" s="46"/>
    </row>
    <row r="331" spans="1:1">
      <c r="A331" s="46"/>
    </row>
    <row r="332" spans="1:1">
      <c r="A332" s="46"/>
    </row>
    <row r="333" spans="1:1">
      <c r="A333" s="46"/>
    </row>
    <row r="334" spans="1:1">
      <c r="A334" s="46"/>
    </row>
    <row r="335" spans="1:1">
      <c r="A335" s="46"/>
    </row>
  </sheetData>
  <sheetProtection formatCells="0" formatColumns="0" formatRows="0" insertRows="0" deleteRows="0"/>
  <mergeCells count="16">
    <mergeCell ref="A1:J1"/>
    <mergeCell ref="C110:E110"/>
    <mergeCell ref="G110:I110"/>
    <mergeCell ref="J3:J4"/>
    <mergeCell ref="A6:J6"/>
    <mergeCell ref="A84:J84"/>
    <mergeCell ref="A90:J90"/>
    <mergeCell ref="B3:B4"/>
    <mergeCell ref="A3:A4"/>
    <mergeCell ref="C3:C4"/>
    <mergeCell ref="F3:I3"/>
    <mergeCell ref="A97:J97"/>
    <mergeCell ref="C109:E109"/>
    <mergeCell ref="G109:I109"/>
    <mergeCell ref="E3:E4"/>
    <mergeCell ref="D3:D4"/>
  </mergeCells>
  <phoneticPr fontId="0" type="noConversion"/>
  <pageMargins left="0.78740157480314965" right="0.39370078740157483" top="0.59055118110236227" bottom="0.59055118110236227" header="0.19685039370078741" footer="0.11811023622047245"/>
  <pageSetup paperSize="9" scale="5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K191"/>
  <sheetViews>
    <sheetView view="pageBreakPreview" zoomScale="75" zoomScaleNormal="65" zoomScaleSheetLayoutView="50" workbookViewId="0">
      <pane ySplit="5" topLeftCell="A6" activePane="bottomLeft" state="frozen"/>
      <selection pane="bottomLeft" activeCell="E7" sqref="E7"/>
    </sheetView>
  </sheetViews>
  <sheetFormatPr defaultColWidth="77.85546875" defaultRowHeight="18.75" outlineLevelRow="1"/>
  <cols>
    <col min="1" max="1" width="61.28515625" style="41" customWidth="1"/>
    <col min="2" max="2" width="15.28515625" style="44" customWidth="1"/>
    <col min="3" max="3" width="13" style="44" customWidth="1"/>
    <col min="4" max="4" width="14.85546875" style="44" customWidth="1"/>
    <col min="5" max="5" width="13.42578125" style="44" customWidth="1"/>
    <col min="6" max="6" width="13.7109375" style="41" customWidth="1"/>
    <col min="7" max="7" width="13.28515625" style="41" customWidth="1"/>
    <col min="8" max="8" width="13" style="41" customWidth="1"/>
    <col min="9" max="9" width="11.7109375" style="41" customWidth="1"/>
    <col min="10" max="10" width="10" style="41" customWidth="1"/>
    <col min="11" max="11" width="9.5703125" style="41" customWidth="1"/>
    <col min="12" max="254" width="9.140625" style="41" customWidth="1"/>
    <col min="255" max="16384" width="77.85546875" style="41"/>
  </cols>
  <sheetData>
    <row r="1" spans="1:9">
      <c r="A1" s="349" t="s">
        <v>382</v>
      </c>
      <c r="B1" s="349"/>
      <c r="C1" s="349"/>
      <c r="D1" s="349"/>
      <c r="E1" s="349"/>
      <c r="F1" s="349"/>
      <c r="G1" s="349"/>
      <c r="H1" s="349"/>
      <c r="I1" s="349"/>
    </row>
    <row r="2" spans="1:9" outlineLevel="1">
      <c r="A2" s="40"/>
      <c r="B2" s="49"/>
      <c r="C2" s="40"/>
      <c r="D2" s="40"/>
      <c r="E2" s="40"/>
      <c r="F2" s="40"/>
      <c r="G2" s="40"/>
      <c r="H2" s="40"/>
      <c r="I2" s="40"/>
    </row>
    <row r="3" spans="1:9" ht="38.25" customHeight="1">
      <c r="A3" s="350" t="s">
        <v>280</v>
      </c>
      <c r="B3" s="351" t="s">
        <v>18</v>
      </c>
      <c r="C3" s="351" t="s">
        <v>32</v>
      </c>
      <c r="D3" s="351" t="s">
        <v>40</v>
      </c>
      <c r="E3" s="352" t="s">
        <v>185</v>
      </c>
      <c r="F3" s="353" t="s">
        <v>378</v>
      </c>
      <c r="G3" s="353"/>
      <c r="H3" s="353"/>
      <c r="I3" s="353"/>
    </row>
    <row r="4" spans="1:9" ht="50.25" customHeight="1">
      <c r="A4" s="350"/>
      <c r="B4" s="351"/>
      <c r="C4" s="351"/>
      <c r="D4" s="351"/>
      <c r="E4" s="352"/>
      <c r="F4" s="10" t="s">
        <v>379</v>
      </c>
      <c r="G4" s="10" t="s">
        <v>380</v>
      </c>
      <c r="H4" s="10" t="s">
        <v>381</v>
      </c>
      <c r="I4" s="10" t="s">
        <v>86</v>
      </c>
    </row>
    <row r="5" spans="1:9" ht="18" customHeight="1">
      <c r="A5" s="47">
        <v>1</v>
      </c>
      <c r="B5" s="48">
        <v>2</v>
      </c>
      <c r="C5" s="48">
        <v>3</v>
      </c>
      <c r="D5" s="48">
        <v>4</v>
      </c>
      <c r="E5" s="48">
        <v>5</v>
      </c>
      <c r="F5" s="6">
        <v>6</v>
      </c>
      <c r="G5" s="6">
        <v>7</v>
      </c>
      <c r="H5" s="6">
        <v>8</v>
      </c>
      <c r="I5" s="6">
        <v>9</v>
      </c>
    </row>
    <row r="6" spans="1:9" ht="24.95" customHeight="1">
      <c r="A6" s="354" t="s">
        <v>169</v>
      </c>
      <c r="B6" s="355"/>
      <c r="C6" s="355"/>
      <c r="D6" s="355"/>
      <c r="E6" s="355"/>
      <c r="F6" s="355"/>
      <c r="G6" s="355"/>
      <c r="H6" s="355"/>
      <c r="I6" s="356"/>
    </row>
    <row r="7" spans="1:9" ht="42.75" customHeight="1">
      <c r="A7" s="54" t="s">
        <v>63</v>
      </c>
      <c r="B7" s="6">
        <v>2000</v>
      </c>
      <c r="C7" s="185">
        <v>22</v>
      </c>
      <c r="D7" s="185">
        <v>100</v>
      </c>
      <c r="E7" s="221">
        <f>C17</f>
        <v>-161</v>
      </c>
      <c r="F7" s="221">
        <f>E17</f>
        <v>-137</v>
      </c>
      <c r="G7" s="221">
        <f>E17</f>
        <v>-137</v>
      </c>
      <c r="H7" s="221">
        <f>E17</f>
        <v>-137</v>
      </c>
      <c r="I7" s="221">
        <f>E17</f>
        <v>-137</v>
      </c>
    </row>
    <row r="8" spans="1:9" ht="37.5">
      <c r="A8" s="42" t="s">
        <v>226</v>
      </c>
      <c r="B8" s="289">
        <v>2010</v>
      </c>
      <c r="C8" s="232">
        <f>C9+C10</f>
        <v>0</v>
      </c>
      <c r="D8" s="232">
        <f t="shared" ref="D8:I8" si="0">D9+D10</f>
        <v>371</v>
      </c>
      <c r="E8" s="232">
        <f t="shared" si="0"/>
        <v>46</v>
      </c>
      <c r="F8" s="232">
        <f t="shared" si="0"/>
        <v>28</v>
      </c>
      <c r="G8" s="232">
        <f t="shared" si="0"/>
        <v>48</v>
      </c>
      <c r="H8" s="232">
        <f t="shared" si="0"/>
        <v>92</v>
      </c>
      <c r="I8" s="232">
        <f t="shared" si="0"/>
        <v>92</v>
      </c>
    </row>
    <row r="9" spans="1:9" ht="42.75" customHeight="1">
      <c r="A9" s="7" t="s">
        <v>384</v>
      </c>
      <c r="B9" s="289">
        <v>2011</v>
      </c>
      <c r="C9" s="185"/>
      <c r="D9" s="185">
        <v>84</v>
      </c>
      <c r="E9" s="185">
        <f>ROUND('I. Фін результат'!E81*15%,0)</f>
        <v>11</v>
      </c>
      <c r="F9" s="185">
        <f>ROUND('I. Фін результат'!F81*15%,0)</f>
        <v>6</v>
      </c>
      <c r="G9" s="185">
        <f>ROUND('I. Фін результат'!G81*15%,0)</f>
        <v>11</v>
      </c>
      <c r="H9" s="185">
        <f>ROUND('I. Фін результат'!H81*15%,0)</f>
        <v>21</v>
      </c>
      <c r="I9" s="185">
        <v>21</v>
      </c>
    </row>
    <row r="10" spans="1:9" ht="93.75">
      <c r="A10" s="7" t="s">
        <v>385</v>
      </c>
      <c r="B10" s="289">
        <v>2012</v>
      </c>
      <c r="C10" s="185"/>
      <c r="D10" s="185">
        <v>287</v>
      </c>
      <c r="E10" s="185">
        <f>ROUND(('I. Фін результат'!E81-'ІІ. Розр. з бюджетом'!E9)*60%,0)</f>
        <v>35</v>
      </c>
      <c r="F10" s="185">
        <f>ROUND(('I. Фін результат'!F81-'ІІ. Розр. з бюджетом'!F9)*60%,0)</f>
        <v>22</v>
      </c>
      <c r="G10" s="185">
        <f>ROUND(('I. Фін результат'!G81-'ІІ. Розр. з бюджетом'!G9)*60%,0)</f>
        <v>37</v>
      </c>
      <c r="H10" s="185">
        <f>ROUND(('I. Фін результат'!H81-'ІІ. Розр. з бюджетом'!H9)*60%,0)</f>
        <v>71</v>
      </c>
      <c r="I10" s="185">
        <v>71</v>
      </c>
    </row>
    <row r="11" spans="1:9" ht="20.100000000000001" customHeight="1">
      <c r="A11" s="7" t="s">
        <v>212</v>
      </c>
      <c r="B11" s="289">
        <v>2020</v>
      </c>
      <c r="C11" s="185"/>
      <c r="D11" s="185"/>
      <c r="E11" s="185"/>
      <c r="F11" s="185"/>
      <c r="G11" s="185"/>
      <c r="H11" s="185"/>
      <c r="I11" s="185"/>
    </row>
    <row r="12" spans="1:9" s="43" customFormat="1" ht="20.100000000000001" customHeight="1">
      <c r="A12" s="42" t="s">
        <v>75</v>
      </c>
      <c r="B12" s="289">
        <v>2030</v>
      </c>
      <c r="C12" s="185"/>
      <c r="D12" s="185"/>
      <c r="E12" s="185"/>
      <c r="F12" s="185"/>
      <c r="G12" s="185"/>
      <c r="H12" s="185"/>
      <c r="I12" s="185"/>
    </row>
    <row r="13" spans="1:9" ht="37.5">
      <c r="A13" s="42" t="s">
        <v>147</v>
      </c>
      <c r="B13" s="289">
        <v>2031</v>
      </c>
      <c r="C13" s="185"/>
      <c r="D13" s="185"/>
      <c r="E13" s="185"/>
      <c r="F13" s="185"/>
      <c r="G13" s="185"/>
      <c r="H13" s="185"/>
      <c r="I13" s="185"/>
    </row>
    <row r="14" spans="1:9" ht="20.100000000000001" customHeight="1">
      <c r="A14" s="42" t="s">
        <v>27</v>
      </c>
      <c r="B14" s="289">
        <v>2040</v>
      </c>
      <c r="C14" s="185"/>
      <c r="D14" s="185"/>
      <c r="E14" s="185"/>
      <c r="F14" s="185"/>
      <c r="G14" s="185"/>
      <c r="H14" s="185"/>
      <c r="I14" s="185"/>
    </row>
    <row r="15" spans="1:9" ht="20.100000000000001" customHeight="1">
      <c r="A15" s="179" t="s">
        <v>128</v>
      </c>
      <c r="B15" s="289">
        <v>2050</v>
      </c>
      <c r="C15" s="185">
        <v>16</v>
      </c>
      <c r="D15" s="185"/>
      <c r="E15" s="185"/>
      <c r="F15" s="185"/>
      <c r="G15" s="185"/>
      <c r="H15" s="185"/>
      <c r="I15" s="185"/>
    </row>
    <row r="16" spans="1:9" ht="20.100000000000001" customHeight="1">
      <c r="A16" s="179" t="s">
        <v>129</v>
      </c>
      <c r="B16" s="289">
        <v>2060</v>
      </c>
      <c r="C16" s="185"/>
      <c r="D16" s="185"/>
      <c r="E16" s="185"/>
      <c r="F16" s="185"/>
      <c r="G16" s="185"/>
      <c r="H16" s="185"/>
      <c r="I16" s="185"/>
    </row>
    <row r="17" spans="1:10" ht="42.75" customHeight="1">
      <c r="A17" s="54" t="s">
        <v>64</v>
      </c>
      <c r="B17" s="88">
        <v>2070</v>
      </c>
      <c r="C17" s="295">
        <f>'I. Фін результат'!C80+'ІІ. Розр. з бюджетом'!C7-('ІІ. Розр. з бюджетом'!C8+'ІІ. Розр. з бюджетом'!C11+'ІІ. Розр. з бюджетом'!C12+'ІІ. Розр. з бюджетом'!C14+'ІІ. Розр. з бюджетом'!C15+'ІІ. Розр. з бюджетом'!C16)</f>
        <v>-161</v>
      </c>
      <c r="D17" s="295">
        <f>'I. Фін результат'!D80+'ІІ. Розр. з бюджетом'!D7-('ІІ. Розр. з бюджетом'!D8+'ІІ. Розр. з бюджетом'!D11+'ІІ. Розр. з бюджетом'!D12+'ІІ. Розр. з бюджетом'!D14+'ІІ. Розр. з бюджетом'!D15+'ІІ. Розр. з бюджетом'!D16)</f>
        <v>28</v>
      </c>
      <c r="E17" s="295">
        <f>'I. Фін результат'!E80+'ІІ. Розр. з бюджетом'!E7-('ІІ. Розр. з бюджетом'!E8+'ІІ. Розр. з бюджетом'!E11+'ІІ. Розр. з бюджетом'!E12+'ІІ. Розр. з бюджетом'!E14+'ІІ. Розр. з бюджетом'!E15+'ІІ. Розр. з бюджетом'!E16)</f>
        <v>-137</v>
      </c>
      <c r="F17" s="295">
        <f>'I. Фін результат'!F80+'ІІ. Розр. з бюджетом'!F7-('ІІ. Розр. з бюджетом'!F8+'ІІ. Розр. з бюджетом'!F11+'ІІ. Розр. з бюджетом'!F12+'ІІ. Розр. з бюджетом'!F14+'ІІ. Розр. з бюджетом'!F15+'ІІ. Розр. з бюджетом'!F16)</f>
        <v>-122</v>
      </c>
      <c r="G17" s="295">
        <f>'I. Фін результат'!G80+'ІІ. Розр. з бюджетом'!G7-('ІІ. Розр. з бюджетом'!G8+'ІІ. Розр. з бюджетом'!G11+'ІІ. Розр. з бюджетом'!G12+'ІІ. Розр. з бюджетом'!G14+'ІІ. Розр. з бюджетом'!G15+'ІІ. Розр. з бюджетом'!G16)</f>
        <v>-113</v>
      </c>
      <c r="H17" s="295">
        <f>'I. Фін результат'!H80+'ІІ. Розр. з бюджетом'!H7-('ІІ. Розр. з бюджетом'!H8+'ІІ. Розр. з бюджетом'!H11+'ІІ. Розр. з бюджетом'!H12+'ІІ. Розр. з бюджетом'!H14+'ІІ. Розр. з бюджетом'!H15+'ІІ. Розр. з бюджетом'!H16)</f>
        <v>-89</v>
      </c>
      <c r="I17" s="295">
        <f>'I. Фін результат'!I80+'ІІ. Розр. з бюджетом'!I7-('ІІ. Розр. з бюджетом'!I8+'ІІ. Розр. з бюджетом'!I11+'ІІ. Розр. з бюджетом'!I12+'ІІ. Розр. з бюджетом'!I14+'ІІ. Розр. з бюджетом'!I15+'ІІ. Розр. з бюджетом'!I16)</f>
        <v>-139</v>
      </c>
    </row>
    <row r="18" spans="1:10" ht="20.100000000000001" customHeight="1">
      <c r="A18" s="354" t="s">
        <v>170</v>
      </c>
      <c r="B18" s="355"/>
      <c r="C18" s="355"/>
      <c r="D18" s="355"/>
      <c r="E18" s="355"/>
      <c r="F18" s="355"/>
      <c r="G18" s="355"/>
      <c r="H18" s="355"/>
      <c r="I18" s="356"/>
    </row>
    <row r="19" spans="1:10" ht="37.5">
      <c r="A19" s="179" t="s">
        <v>226</v>
      </c>
      <c r="B19" s="290">
        <v>2100</v>
      </c>
      <c r="C19" s="232">
        <f t="shared" ref="C19:I19" si="1">SUM(C20:C21)</f>
        <v>0</v>
      </c>
      <c r="D19" s="232">
        <f t="shared" si="1"/>
        <v>371</v>
      </c>
      <c r="E19" s="232">
        <f t="shared" si="1"/>
        <v>46</v>
      </c>
      <c r="F19" s="232">
        <f t="shared" si="1"/>
        <v>28</v>
      </c>
      <c r="G19" s="232">
        <f t="shared" si="1"/>
        <v>48</v>
      </c>
      <c r="H19" s="232">
        <f t="shared" si="1"/>
        <v>92</v>
      </c>
      <c r="I19" s="232">
        <f t="shared" si="1"/>
        <v>92</v>
      </c>
    </row>
    <row r="20" spans="1:10" ht="42.75" customHeight="1">
      <c r="A20" s="291" t="s">
        <v>384</v>
      </c>
      <c r="B20" s="290">
        <v>2101</v>
      </c>
      <c r="C20" s="232">
        <f>C9</f>
        <v>0</v>
      </c>
      <c r="D20" s="232">
        <f t="shared" ref="D20:I20" si="2">D9</f>
        <v>84</v>
      </c>
      <c r="E20" s="232">
        <f t="shared" si="2"/>
        <v>11</v>
      </c>
      <c r="F20" s="232">
        <f t="shared" si="2"/>
        <v>6</v>
      </c>
      <c r="G20" s="232">
        <f t="shared" si="2"/>
        <v>11</v>
      </c>
      <c r="H20" s="232">
        <f t="shared" si="2"/>
        <v>21</v>
      </c>
      <c r="I20" s="232">
        <f t="shared" si="2"/>
        <v>21</v>
      </c>
    </row>
    <row r="21" spans="1:10" ht="93.75">
      <c r="A21" s="291" t="s">
        <v>385</v>
      </c>
      <c r="B21" s="290">
        <v>2102</v>
      </c>
      <c r="C21" s="232">
        <f>C10</f>
        <v>0</v>
      </c>
      <c r="D21" s="232">
        <f t="shared" ref="D21:I21" si="3">D10</f>
        <v>287</v>
      </c>
      <c r="E21" s="232">
        <f t="shared" si="3"/>
        <v>35</v>
      </c>
      <c r="F21" s="232">
        <f t="shared" si="3"/>
        <v>22</v>
      </c>
      <c r="G21" s="232">
        <f t="shared" si="3"/>
        <v>37</v>
      </c>
      <c r="H21" s="232">
        <f t="shared" si="3"/>
        <v>71</v>
      </c>
      <c r="I21" s="232">
        <f t="shared" si="3"/>
        <v>71</v>
      </c>
    </row>
    <row r="22" spans="1:10" s="43" customFormat="1" ht="20.100000000000001" customHeight="1">
      <c r="A22" s="179" t="s">
        <v>172</v>
      </c>
      <c r="B22" s="180">
        <v>2110</v>
      </c>
      <c r="C22" s="232">
        <f>'I. Фін результат'!C78</f>
        <v>0</v>
      </c>
      <c r="D22" s="232">
        <f>'I. Фін результат'!D78</f>
        <v>66</v>
      </c>
      <c r="E22" s="232">
        <f>'I. Фін результат'!E78</f>
        <v>15</v>
      </c>
      <c r="F22" s="232">
        <f>'I. Фін результат'!F78</f>
        <v>0</v>
      </c>
      <c r="G22" s="232">
        <f>'I. Фін результат'!G78</f>
        <v>0</v>
      </c>
      <c r="H22" s="232">
        <f>'I. Фін результат'!H78</f>
        <v>0</v>
      </c>
      <c r="I22" s="232">
        <f>'I. Фін результат'!I78</f>
        <v>20</v>
      </c>
    </row>
    <row r="23" spans="1:10" ht="56.25">
      <c r="A23" s="179" t="s">
        <v>348</v>
      </c>
      <c r="B23" s="180">
        <v>2120</v>
      </c>
      <c r="C23" s="185"/>
      <c r="D23" s="185">
        <v>348</v>
      </c>
      <c r="E23" s="185"/>
      <c r="F23" s="185">
        <v>101</v>
      </c>
      <c r="G23" s="185">
        <v>246</v>
      </c>
      <c r="H23" s="185">
        <v>293</v>
      </c>
      <c r="I23" s="185">
        <v>348</v>
      </c>
    </row>
    <row r="24" spans="1:10" ht="56.25">
      <c r="A24" s="179" t="s">
        <v>349</v>
      </c>
      <c r="B24" s="180">
        <v>2130</v>
      </c>
      <c r="C24" s="185"/>
      <c r="D24" s="185"/>
      <c r="E24" s="185"/>
      <c r="F24" s="185"/>
      <c r="G24" s="185"/>
      <c r="H24" s="185"/>
      <c r="I24" s="185"/>
    </row>
    <row r="25" spans="1:10" s="45" customFormat="1" ht="56.25">
      <c r="A25" s="181" t="s">
        <v>263</v>
      </c>
      <c r="B25" s="182">
        <v>2140</v>
      </c>
      <c r="C25" s="296">
        <f t="shared" ref="C25:I25" si="4">SUM(C26:C30,C33,C34)</f>
        <v>176</v>
      </c>
      <c r="D25" s="296">
        <f t="shared" si="4"/>
        <v>192</v>
      </c>
      <c r="E25" s="296">
        <f t="shared" si="4"/>
        <v>13</v>
      </c>
      <c r="F25" s="296">
        <f t="shared" si="4"/>
        <v>60</v>
      </c>
      <c r="G25" s="296">
        <f t="shared" si="4"/>
        <v>120</v>
      </c>
      <c r="H25" s="296">
        <f t="shared" si="4"/>
        <v>180</v>
      </c>
      <c r="I25" s="296">
        <f t="shared" si="4"/>
        <v>240</v>
      </c>
      <c r="J25" s="41"/>
    </row>
    <row r="26" spans="1:10" ht="20.100000000000001" customHeight="1">
      <c r="A26" s="179" t="s">
        <v>91</v>
      </c>
      <c r="B26" s="180">
        <v>2141</v>
      </c>
      <c r="C26" s="185"/>
      <c r="D26" s="185"/>
      <c r="E26" s="185"/>
      <c r="F26" s="185"/>
      <c r="G26" s="185"/>
      <c r="H26" s="185"/>
      <c r="I26" s="185"/>
    </row>
    <row r="27" spans="1:10" ht="20.100000000000001" customHeight="1">
      <c r="A27" s="179" t="s">
        <v>118</v>
      </c>
      <c r="B27" s="180">
        <v>2142</v>
      </c>
      <c r="C27" s="185"/>
      <c r="D27" s="185"/>
      <c r="E27" s="185"/>
      <c r="F27" s="185"/>
      <c r="G27" s="185"/>
      <c r="H27" s="185"/>
      <c r="I27" s="185"/>
    </row>
    <row r="28" spans="1:10" ht="20.100000000000001" customHeight="1">
      <c r="A28" s="179" t="s">
        <v>109</v>
      </c>
      <c r="B28" s="180">
        <v>2143</v>
      </c>
      <c r="C28" s="185"/>
      <c r="D28" s="185"/>
      <c r="E28" s="185"/>
      <c r="F28" s="185"/>
      <c r="G28" s="185"/>
      <c r="H28" s="185"/>
      <c r="I28" s="185"/>
    </row>
    <row r="29" spans="1:10" ht="20.100000000000001" customHeight="1">
      <c r="A29" s="179" t="s">
        <v>89</v>
      </c>
      <c r="B29" s="180">
        <v>2144</v>
      </c>
      <c r="C29" s="185">
        <v>142</v>
      </c>
      <c r="D29" s="185">
        <v>176</v>
      </c>
      <c r="E29" s="185"/>
      <c r="F29" s="230">
        <f>ROUND(Лист1!C18,0)</f>
        <v>55</v>
      </c>
      <c r="G29" s="230">
        <f>ROUND(Лист1!D18,0)</f>
        <v>111</v>
      </c>
      <c r="H29" s="230">
        <f>ROUND(Лист1!E18,0)</f>
        <v>166</v>
      </c>
      <c r="I29" s="230">
        <f>ROUND(Лист1!F18,0)</f>
        <v>222</v>
      </c>
    </row>
    <row r="30" spans="1:10" s="43" customFormat="1" ht="20.100000000000001" customHeight="1">
      <c r="A30" s="179" t="s">
        <v>192</v>
      </c>
      <c r="B30" s="180">
        <v>2145</v>
      </c>
      <c r="C30" s="185">
        <f>C31+C32</f>
        <v>23</v>
      </c>
      <c r="D30" s="185"/>
      <c r="E30" s="185"/>
      <c r="F30" s="185"/>
      <c r="G30" s="185"/>
      <c r="H30" s="185"/>
      <c r="I30" s="185"/>
    </row>
    <row r="31" spans="1:10" ht="56.25">
      <c r="A31" s="179" t="s">
        <v>275</v>
      </c>
      <c r="B31" s="180" t="s">
        <v>241</v>
      </c>
      <c r="C31" s="185"/>
      <c r="D31" s="185"/>
      <c r="E31" s="185"/>
      <c r="F31" s="185"/>
      <c r="G31" s="185"/>
      <c r="H31" s="185"/>
      <c r="I31" s="185"/>
    </row>
    <row r="32" spans="1:10" ht="20.100000000000001" customHeight="1">
      <c r="A32" s="179" t="s">
        <v>28</v>
      </c>
      <c r="B32" s="180" t="s">
        <v>242</v>
      </c>
      <c r="C32" s="185">
        <v>23</v>
      </c>
      <c r="D32" s="185"/>
      <c r="E32" s="185"/>
      <c r="F32" s="185"/>
      <c r="G32" s="185"/>
      <c r="H32" s="185"/>
      <c r="I32" s="185"/>
    </row>
    <row r="33" spans="1:11" s="43" customFormat="1" ht="20.100000000000001" customHeight="1">
      <c r="A33" s="179" t="s">
        <v>130</v>
      </c>
      <c r="B33" s="180">
        <v>2146</v>
      </c>
      <c r="C33" s="185"/>
      <c r="D33" s="185"/>
      <c r="E33" s="185"/>
      <c r="F33" s="185"/>
      <c r="G33" s="185"/>
      <c r="H33" s="185"/>
      <c r="I33" s="185"/>
    </row>
    <row r="34" spans="1:11" ht="20.100000000000001" customHeight="1">
      <c r="A34" s="179" t="s">
        <v>97</v>
      </c>
      <c r="B34" s="180">
        <v>2147</v>
      </c>
      <c r="C34" s="185">
        <f>C35</f>
        <v>11</v>
      </c>
      <c r="D34" s="185">
        <f t="shared" ref="D34:I34" si="5">D35</f>
        <v>16</v>
      </c>
      <c r="E34" s="185">
        <f t="shared" si="5"/>
        <v>13</v>
      </c>
      <c r="F34" s="185">
        <f t="shared" si="5"/>
        <v>5</v>
      </c>
      <c r="G34" s="185">
        <f t="shared" si="5"/>
        <v>9</v>
      </c>
      <c r="H34" s="185">
        <f t="shared" si="5"/>
        <v>14</v>
      </c>
      <c r="I34" s="185">
        <f t="shared" si="5"/>
        <v>18</v>
      </c>
    </row>
    <row r="35" spans="1:11" ht="20.100000000000001" customHeight="1">
      <c r="A35" s="179" t="s">
        <v>399</v>
      </c>
      <c r="B35" s="180" t="s">
        <v>409</v>
      </c>
      <c r="C35" s="185">
        <v>11</v>
      </c>
      <c r="D35" s="185">
        <v>16</v>
      </c>
      <c r="E35" s="185">
        <v>13</v>
      </c>
      <c r="F35" s="230">
        <f>ROUND(Лист1!C19,0)</f>
        <v>5</v>
      </c>
      <c r="G35" s="230">
        <f>ROUND(Лист1!D19,0)</f>
        <v>9</v>
      </c>
      <c r="H35" s="230">
        <f>ROUND(Лист1!E19,0)</f>
        <v>14</v>
      </c>
      <c r="I35" s="230">
        <f>ROUND(Лист1!F19,0)</f>
        <v>18</v>
      </c>
    </row>
    <row r="36" spans="1:11" s="43" customFormat="1" ht="37.5">
      <c r="A36" s="179" t="s">
        <v>90</v>
      </c>
      <c r="B36" s="180">
        <v>2150</v>
      </c>
      <c r="C36" s="185">
        <v>178</v>
      </c>
      <c r="D36" s="185">
        <v>208</v>
      </c>
      <c r="E36" s="185">
        <v>182</v>
      </c>
      <c r="F36" s="230">
        <f>ROUND(Лист1!C17,0)</f>
        <v>66</v>
      </c>
      <c r="G36" s="230">
        <f>ROUND(Лист1!D17,0)</f>
        <v>132</v>
      </c>
      <c r="H36" s="230">
        <f>ROUND(Лист1!E17,0)</f>
        <v>197</v>
      </c>
      <c r="I36" s="230">
        <f>ROUND(Лист1!F17,0)</f>
        <v>263</v>
      </c>
    </row>
    <row r="37" spans="1:11" s="43" customFormat="1" ht="20.100000000000001" customHeight="1">
      <c r="A37" s="181" t="s">
        <v>375</v>
      </c>
      <c r="B37" s="182">
        <v>2200</v>
      </c>
      <c r="C37" s="297">
        <f t="shared" ref="C37:I37" si="6">SUM(C19,C22:C24,C25,C36)</f>
        <v>354</v>
      </c>
      <c r="D37" s="297">
        <f t="shared" si="6"/>
        <v>1185</v>
      </c>
      <c r="E37" s="297">
        <f t="shared" si="6"/>
        <v>256</v>
      </c>
      <c r="F37" s="297">
        <f t="shared" si="6"/>
        <v>255</v>
      </c>
      <c r="G37" s="297">
        <f t="shared" si="6"/>
        <v>546</v>
      </c>
      <c r="H37" s="297">
        <f t="shared" si="6"/>
        <v>762</v>
      </c>
      <c r="I37" s="297">
        <f t="shared" si="6"/>
        <v>963</v>
      </c>
      <c r="J37" s="41"/>
    </row>
    <row r="38" spans="1:11" s="43" customFormat="1" ht="20.100000000000001" customHeight="1">
      <c r="A38" s="147"/>
      <c r="B38" s="148"/>
      <c r="C38" s="149"/>
      <c r="D38" s="150"/>
      <c r="E38" s="150"/>
      <c r="F38" s="150"/>
      <c r="G38" s="150"/>
      <c r="H38" s="150"/>
      <c r="I38" s="150"/>
    </row>
    <row r="39" spans="1:11" s="43" customFormat="1" ht="20.100000000000001" customHeight="1">
      <c r="A39" s="147"/>
      <c r="B39" s="148"/>
      <c r="C39" s="149"/>
      <c r="D39" s="150"/>
      <c r="E39" s="150"/>
      <c r="F39" s="150"/>
      <c r="G39" s="150"/>
      <c r="H39" s="150"/>
      <c r="I39" s="150"/>
    </row>
    <row r="40" spans="1:11" s="2" customFormat="1" ht="20.100000000000001" customHeight="1">
      <c r="A40" s="135" t="s">
        <v>311</v>
      </c>
      <c r="B40" s="136"/>
      <c r="C40" s="346" t="s">
        <v>119</v>
      </c>
      <c r="D40" s="357"/>
      <c r="E40" s="357"/>
      <c r="F40" s="137"/>
      <c r="G40" s="336" t="s">
        <v>435</v>
      </c>
      <c r="H40" s="337"/>
      <c r="I40" s="337"/>
    </row>
    <row r="41" spans="1:11" s="1" customFormat="1" ht="20.100000000000001" customHeight="1">
      <c r="A41" s="93" t="s">
        <v>312</v>
      </c>
      <c r="B41" s="106"/>
      <c r="C41" s="342" t="s">
        <v>310</v>
      </c>
      <c r="D41" s="342"/>
      <c r="E41" s="342"/>
      <c r="F41" s="138"/>
      <c r="G41" s="318" t="s">
        <v>115</v>
      </c>
      <c r="H41" s="318"/>
      <c r="I41" s="318"/>
    </row>
    <row r="42" spans="1:11" s="44" customFormat="1">
      <c r="A42" s="57"/>
      <c r="F42" s="41"/>
      <c r="G42" s="41"/>
      <c r="H42" s="41"/>
      <c r="I42" s="41"/>
      <c r="J42" s="41"/>
      <c r="K42" s="41"/>
    </row>
    <row r="43" spans="1:11" s="44" customFormat="1">
      <c r="A43" s="57"/>
      <c r="F43" s="41"/>
      <c r="G43" s="41"/>
      <c r="H43" s="41"/>
      <c r="I43" s="41"/>
      <c r="J43" s="41"/>
      <c r="K43" s="41"/>
    </row>
    <row r="44" spans="1:11" s="44" customFormat="1">
      <c r="A44" s="57"/>
      <c r="F44" s="41"/>
      <c r="G44" s="41"/>
      <c r="H44" s="41"/>
      <c r="I44" s="41"/>
      <c r="J44" s="41"/>
      <c r="K44" s="41"/>
    </row>
    <row r="45" spans="1:11" s="44" customFormat="1">
      <c r="A45" s="57"/>
      <c r="F45" s="41"/>
      <c r="G45" s="41"/>
      <c r="H45" s="41"/>
      <c r="I45" s="41"/>
      <c r="J45" s="41"/>
      <c r="K45" s="41"/>
    </row>
    <row r="46" spans="1:11" s="44" customFormat="1">
      <c r="A46" s="57"/>
      <c r="F46" s="41"/>
      <c r="G46" s="41"/>
      <c r="H46" s="41"/>
      <c r="I46" s="41"/>
      <c r="J46" s="41"/>
      <c r="K46" s="41"/>
    </row>
    <row r="47" spans="1:11" s="44" customFormat="1">
      <c r="A47" s="57"/>
      <c r="F47" s="41"/>
      <c r="G47" s="41"/>
      <c r="H47" s="41"/>
      <c r="I47" s="41"/>
      <c r="J47" s="41"/>
      <c r="K47" s="41"/>
    </row>
    <row r="48" spans="1:11" s="44" customFormat="1">
      <c r="A48" s="57"/>
      <c r="F48" s="41"/>
      <c r="G48" s="41"/>
      <c r="H48" s="41"/>
      <c r="I48" s="41"/>
      <c r="J48" s="41"/>
      <c r="K48" s="41"/>
    </row>
    <row r="49" spans="1:11" s="44" customFormat="1">
      <c r="A49" s="57"/>
      <c r="F49" s="41"/>
      <c r="G49" s="41"/>
      <c r="H49" s="41"/>
      <c r="I49" s="41"/>
      <c r="J49" s="41"/>
      <c r="K49" s="41"/>
    </row>
    <row r="50" spans="1:11" s="44" customFormat="1">
      <c r="A50" s="57"/>
      <c r="F50" s="41"/>
      <c r="G50" s="41"/>
      <c r="H50" s="41"/>
      <c r="I50" s="41"/>
      <c r="J50" s="41"/>
      <c r="K50" s="41"/>
    </row>
    <row r="51" spans="1:11" s="44" customFormat="1">
      <c r="A51" s="57"/>
      <c r="F51" s="41"/>
      <c r="G51" s="41"/>
      <c r="H51" s="41"/>
      <c r="I51" s="41"/>
      <c r="J51" s="41"/>
      <c r="K51" s="41"/>
    </row>
    <row r="52" spans="1:11" s="44" customFormat="1">
      <c r="A52" s="57"/>
      <c r="F52" s="41"/>
      <c r="G52" s="41"/>
      <c r="H52" s="41"/>
      <c r="I52" s="41"/>
      <c r="J52" s="41"/>
      <c r="K52" s="41"/>
    </row>
    <row r="53" spans="1:11" s="44" customFormat="1">
      <c r="A53" s="57"/>
      <c r="F53" s="41"/>
      <c r="G53" s="41"/>
      <c r="H53" s="41"/>
      <c r="I53" s="41"/>
      <c r="J53" s="41"/>
      <c r="K53" s="41"/>
    </row>
    <row r="54" spans="1:11" s="44" customFormat="1">
      <c r="A54" s="57"/>
      <c r="F54" s="41"/>
      <c r="G54" s="41"/>
      <c r="H54" s="41"/>
      <c r="I54" s="41"/>
      <c r="J54" s="41"/>
      <c r="K54" s="41"/>
    </row>
    <row r="55" spans="1:11" s="44" customFormat="1">
      <c r="A55" s="57"/>
      <c r="F55" s="41"/>
      <c r="G55" s="41"/>
      <c r="H55" s="41"/>
      <c r="I55" s="41"/>
      <c r="J55" s="41"/>
      <c r="K55" s="41"/>
    </row>
    <row r="56" spans="1:11" s="44" customFormat="1">
      <c r="A56" s="57"/>
      <c r="F56" s="41"/>
      <c r="G56" s="41"/>
      <c r="H56" s="41"/>
      <c r="I56" s="41"/>
      <c r="J56" s="41"/>
      <c r="K56" s="41"/>
    </row>
    <row r="57" spans="1:11" s="44" customFormat="1">
      <c r="A57" s="57"/>
      <c r="F57" s="41"/>
      <c r="G57" s="41"/>
      <c r="H57" s="41"/>
      <c r="I57" s="41"/>
      <c r="J57" s="41"/>
      <c r="K57" s="41"/>
    </row>
    <row r="58" spans="1:11" s="44" customFormat="1">
      <c r="A58" s="57"/>
      <c r="F58" s="41"/>
      <c r="G58" s="41"/>
      <c r="H58" s="41"/>
      <c r="I58" s="41"/>
      <c r="J58" s="41"/>
      <c r="K58" s="41"/>
    </row>
    <row r="59" spans="1:11" s="44" customFormat="1">
      <c r="A59" s="57"/>
      <c r="F59" s="41"/>
      <c r="G59" s="41"/>
      <c r="H59" s="41"/>
      <c r="I59" s="41"/>
      <c r="J59" s="41"/>
      <c r="K59" s="41"/>
    </row>
    <row r="60" spans="1:11" s="44" customFormat="1">
      <c r="A60" s="57"/>
      <c r="F60" s="41"/>
      <c r="G60" s="41"/>
      <c r="H60" s="41"/>
      <c r="I60" s="41"/>
      <c r="J60" s="41"/>
      <c r="K60" s="41"/>
    </row>
    <row r="61" spans="1:11" s="44" customFormat="1">
      <c r="A61" s="57"/>
      <c r="F61" s="41"/>
      <c r="G61" s="41"/>
      <c r="H61" s="41"/>
      <c r="I61" s="41"/>
      <c r="J61" s="41"/>
      <c r="K61" s="41"/>
    </row>
    <row r="62" spans="1:11" s="44" customFormat="1">
      <c r="A62" s="57"/>
      <c r="F62" s="41"/>
      <c r="G62" s="41"/>
      <c r="H62" s="41"/>
      <c r="I62" s="41"/>
      <c r="J62" s="41"/>
      <c r="K62" s="41"/>
    </row>
    <row r="63" spans="1:11" s="44" customFormat="1">
      <c r="A63" s="57"/>
      <c r="F63" s="41"/>
      <c r="G63" s="41"/>
      <c r="H63" s="41"/>
      <c r="I63" s="41"/>
      <c r="J63" s="41"/>
      <c r="K63" s="41"/>
    </row>
    <row r="64" spans="1:11" s="44" customFormat="1">
      <c r="A64" s="57"/>
      <c r="F64" s="41"/>
      <c r="G64" s="41"/>
      <c r="H64" s="41"/>
      <c r="I64" s="41"/>
      <c r="J64" s="41"/>
      <c r="K64" s="41"/>
    </row>
    <row r="65" spans="1:11" s="44" customFormat="1">
      <c r="A65" s="57"/>
      <c r="F65" s="41"/>
      <c r="G65" s="41"/>
      <c r="H65" s="41"/>
      <c r="I65" s="41"/>
      <c r="J65" s="41"/>
      <c r="K65" s="41"/>
    </row>
    <row r="66" spans="1:11" s="44" customFormat="1">
      <c r="A66" s="57"/>
      <c r="F66" s="41"/>
      <c r="G66" s="41"/>
      <c r="H66" s="41"/>
      <c r="I66" s="41"/>
      <c r="J66" s="41"/>
      <c r="K66" s="41"/>
    </row>
    <row r="67" spans="1:11" s="44" customFormat="1">
      <c r="A67" s="57"/>
      <c r="F67" s="41"/>
      <c r="G67" s="41"/>
      <c r="H67" s="41"/>
      <c r="I67" s="41"/>
      <c r="J67" s="41"/>
      <c r="K67" s="41"/>
    </row>
    <row r="68" spans="1:11" s="44" customFormat="1">
      <c r="A68" s="57"/>
      <c r="F68" s="41"/>
      <c r="G68" s="41"/>
      <c r="H68" s="41"/>
      <c r="I68" s="41"/>
      <c r="J68" s="41"/>
      <c r="K68" s="41"/>
    </row>
    <row r="69" spans="1:11" s="44" customFormat="1">
      <c r="A69" s="57"/>
      <c r="F69" s="41"/>
      <c r="G69" s="41"/>
      <c r="H69" s="41"/>
      <c r="I69" s="41"/>
      <c r="J69" s="41"/>
      <c r="K69" s="41"/>
    </row>
    <row r="70" spans="1:11" s="44" customFormat="1">
      <c r="A70" s="57"/>
      <c r="F70" s="41"/>
      <c r="G70" s="41"/>
      <c r="H70" s="41"/>
      <c r="I70" s="41"/>
      <c r="J70" s="41"/>
      <c r="K70" s="41"/>
    </row>
    <row r="71" spans="1:11" s="44" customFormat="1">
      <c r="A71" s="57"/>
      <c r="F71" s="41"/>
      <c r="G71" s="41"/>
      <c r="H71" s="41"/>
      <c r="I71" s="41"/>
      <c r="J71" s="41"/>
      <c r="K71" s="41"/>
    </row>
    <row r="72" spans="1:11" s="44" customFormat="1">
      <c r="A72" s="57"/>
      <c r="F72" s="41"/>
      <c r="G72" s="41"/>
      <c r="H72" s="41"/>
      <c r="I72" s="41"/>
      <c r="J72" s="41"/>
      <c r="K72" s="41"/>
    </row>
    <row r="73" spans="1:11" s="44" customFormat="1">
      <c r="A73" s="57"/>
      <c r="F73" s="41"/>
      <c r="G73" s="41"/>
      <c r="H73" s="41"/>
      <c r="I73" s="41"/>
      <c r="J73" s="41"/>
      <c r="K73" s="41"/>
    </row>
    <row r="74" spans="1:11" s="44" customFormat="1">
      <c r="A74" s="57"/>
      <c r="F74" s="41"/>
      <c r="G74" s="41"/>
      <c r="H74" s="41"/>
      <c r="I74" s="41"/>
      <c r="J74" s="41"/>
      <c r="K74" s="41"/>
    </row>
    <row r="75" spans="1:11" s="44" customFormat="1">
      <c r="A75" s="57"/>
      <c r="F75" s="41"/>
      <c r="G75" s="41"/>
      <c r="H75" s="41"/>
      <c r="I75" s="41"/>
      <c r="J75" s="41"/>
      <c r="K75" s="41"/>
    </row>
    <row r="76" spans="1:11" s="44" customFormat="1">
      <c r="A76" s="57"/>
      <c r="F76" s="41"/>
      <c r="G76" s="41"/>
      <c r="H76" s="41"/>
      <c r="I76" s="41"/>
      <c r="J76" s="41"/>
      <c r="K76" s="41"/>
    </row>
    <row r="77" spans="1:11" s="44" customFormat="1">
      <c r="A77" s="57"/>
      <c r="F77" s="41"/>
      <c r="G77" s="41"/>
      <c r="H77" s="41"/>
      <c r="I77" s="41"/>
      <c r="J77" s="41"/>
      <c r="K77" s="41"/>
    </row>
    <row r="78" spans="1:11" s="44" customFormat="1">
      <c r="A78" s="57"/>
      <c r="F78" s="41"/>
      <c r="G78" s="41"/>
      <c r="H78" s="41"/>
      <c r="I78" s="41"/>
      <c r="J78" s="41"/>
      <c r="K78" s="41"/>
    </row>
    <row r="79" spans="1:11" s="44" customFormat="1">
      <c r="A79" s="57"/>
      <c r="F79" s="41"/>
      <c r="G79" s="41"/>
      <c r="H79" s="41"/>
      <c r="I79" s="41"/>
      <c r="J79" s="41"/>
      <c r="K79" s="41"/>
    </row>
    <row r="80" spans="1:11" s="44" customFormat="1">
      <c r="A80" s="57"/>
      <c r="F80" s="41"/>
      <c r="G80" s="41"/>
      <c r="H80" s="41"/>
      <c r="I80" s="41"/>
      <c r="J80" s="41"/>
      <c r="K80" s="41"/>
    </row>
    <row r="81" spans="1:11" s="44" customFormat="1">
      <c r="A81" s="57"/>
      <c r="F81" s="41"/>
      <c r="G81" s="41"/>
      <c r="H81" s="41"/>
      <c r="I81" s="41"/>
      <c r="J81" s="41"/>
      <c r="K81" s="41"/>
    </row>
    <row r="82" spans="1:11" s="44" customFormat="1">
      <c r="A82" s="57"/>
      <c r="F82" s="41"/>
      <c r="G82" s="41"/>
      <c r="H82" s="41"/>
      <c r="I82" s="41"/>
      <c r="J82" s="41"/>
      <c r="K82" s="41"/>
    </row>
    <row r="83" spans="1:11" s="44" customFormat="1">
      <c r="A83" s="57"/>
      <c r="F83" s="41"/>
      <c r="G83" s="41"/>
      <c r="H83" s="41"/>
      <c r="I83" s="41"/>
      <c r="J83" s="41"/>
      <c r="K83" s="41"/>
    </row>
    <row r="84" spans="1:11" s="44" customFormat="1">
      <c r="A84" s="57"/>
      <c r="F84" s="41"/>
      <c r="G84" s="41"/>
      <c r="H84" s="41"/>
      <c r="I84" s="41"/>
      <c r="J84" s="41"/>
      <c r="K84" s="41"/>
    </row>
    <row r="85" spans="1:11" s="44" customFormat="1">
      <c r="A85" s="57"/>
      <c r="F85" s="41"/>
      <c r="G85" s="41"/>
      <c r="H85" s="41"/>
      <c r="I85" s="41"/>
      <c r="J85" s="41"/>
      <c r="K85" s="41"/>
    </row>
    <row r="86" spans="1:11" s="44" customFormat="1">
      <c r="A86" s="57"/>
      <c r="F86" s="41"/>
      <c r="G86" s="41"/>
      <c r="H86" s="41"/>
      <c r="I86" s="41"/>
      <c r="J86" s="41"/>
      <c r="K86" s="41"/>
    </row>
    <row r="87" spans="1:11" s="44" customFormat="1">
      <c r="A87" s="57"/>
      <c r="F87" s="41"/>
      <c r="G87" s="41"/>
      <c r="H87" s="41"/>
      <c r="I87" s="41"/>
      <c r="J87" s="41"/>
      <c r="K87" s="41"/>
    </row>
    <row r="88" spans="1:11" s="44" customFormat="1">
      <c r="A88" s="57"/>
      <c r="F88" s="41"/>
      <c r="G88" s="41"/>
      <c r="H88" s="41"/>
      <c r="I88" s="41"/>
      <c r="J88" s="41"/>
      <c r="K88" s="41"/>
    </row>
    <row r="89" spans="1:11" s="44" customFormat="1">
      <c r="A89" s="57"/>
      <c r="F89" s="41"/>
      <c r="G89" s="41"/>
      <c r="H89" s="41"/>
      <c r="I89" s="41"/>
      <c r="J89" s="41"/>
      <c r="K89" s="41"/>
    </row>
    <row r="90" spans="1:11" s="44" customFormat="1">
      <c r="A90" s="57"/>
      <c r="F90" s="41"/>
      <c r="G90" s="41"/>
      <c r="H90" s="41"/>
      <c r="I90" s="41"/>
      <c r="J90" s="41"/>
      <c r="K90" s="41"/>
    </row>
    <row r="91" spans="1:11" s="44" customFormat="1">
      <c r="A91" s="57"/>
      <c r="F91" s="41"/>
      <c r="G91" s="41"/>
      <c r="H91" s="41"/>
      <c r="I91" s="41"/>
      <c r="J91" s="41"/>
      <c r="K91" s="41"/>
    </row>
    <row r="92" spans="1:11" s="44" customFormat="1">
      <c r="A92" s="57"/>
      <c r="F92" s="41"/>
      <c r="G92" s="41"/>
      <c r="H92" s="41"/>
      <c r="I92" s="41"/>
      <c r="J92" s="41"/>
      <c r="K92" s="41"/>
    </row>
    <row r="93" spans="1:11" s="44" customFormat="1">
      <c r="A93" s="57"/>
      <c r="F93" s="41"/>
      <c r="G93" s="41"/>
      <c r="H93" s="41"/>
      <c r="I93" s="41"/>
      <c r="J93" s="41"/>
      <c r="K93" s="41"/>
    </row>
    <row r="94" spans="1:11" s="44" customFormat="1">
      <c r="A94" s="57"/>
      <c r="F94" s="41"/>
      <c r="G94" s="41"/>
      <c r="H94" s="41"/>
      <c r="I94" s="41"/>
      <c r="J94" s="41"/>
      <c r="K94" s="41"/>
    </row>
    <row r="95" spans="1:11" s="44" customFormat="1">
      <c r="A95" s="57"/>
      <c r="F95" s="41"/>
      <c r="G95" s="41"/>
      <c r="H95" s="41"/>
      <c r="I95" s="41"/>
      <c r="J95" s="41"/>
      <c r="K95" s="41"/>
    </row>
    <row r="96" spans="1:11" s="44" customFormat="1">
      <c r="A96" s="57"/>
      <c r="F96" s="41"/>
      <c r="G96" s="41"/>
      <c r="H96" s="41"/>
      <c r="I96" s="41"/>
      <c r="J96" s="41"/>
      <c r="K96" s="41"/>
    </row>
    <row r="97" spans="1:11" s="44" customFormat="1">
      <c r="A97" s="57"/>
      <c r="F97" s="41"/>
      <c r="G97" s="41"/>
      <c r="H97" s="41"/>
      <c r="I97" s="41"/>
      <c r="J97" s="41"/>
      <c r="K97" s="41"/>
    </row>
    <row r="98" spans="1:11" s="44" customFormat="1">
      <c r="A98" s="57"/>
      <c r="F98" s="41"/>
      <c r="G98" s="41"/>
      <c r="H98" s="41"/>
      <c r="I98" s="41"/>
      <c r="J98" s="41"/>
      <c r="K98" s="41"/>
    </row>
    <row r="99" spans="1:11" s="44" customFormat="1">
      <c r="A99" s="57"/>
      <c r="F99" s="41"/>
      <c r="G99" s="41"/>
      <c r="H99" s="41"/>
      <c r="I99" s="41"/>
      <c r="J99" s="41"/>
      <c r="K99" s="41"/>
    </row>
    <row r="100" spans="1:11" s="44" customFormat="1">
      <c r="A100" s="57"/>
      <c r="F100" s="41"/>
      <c r="G100" s="41"/>
      <c r="H100" s="41"/>
      <c r="I100" s="41"/>
      <c r="J100" s="41"/>
      <c r="K100" s="41"/>
    </row>
    <row r="101" spans="1:11" s="44" customFormat="1">
      <c r="A101" s="57"/>
      <c r="F101" s="41"/>
      <c r="G101" s="41"/>
      <c r="H101" s="41"/>
      <c r="I101" s="41"/>
      <c r="J101" s="41"/>
      <c r="K101" s="41"/>
    </row>
    <row r="102" spans="1:11" s="44" customFormat="1">
      <c r="A102" s="57"/>
      <c r="F102" s="41"/>
      <c r="G102" s="41"/>
      <c r="H102" s="41"/>
      <c r="I102" s="41"/>
      <c r="J102" s="41"/>
      <c r="K102" s="41"/>
    </row>
    <row r="103" spans="1:11" s="44" customFormat="1">
      <c r="A103" s="57"/>
      <c r="F103" s="41"/>
      <c r="G103" s="41"/>
      <c r="H103" s="41"/>
      <c r="I103" s="41"/>
      <c r="J103" s="41"/>
      <c r="K103" s="41"/>
    </row>
    <row r="104" spans="1:11" s="44" customFormat="1">
      <c r="A104" s="57"/>
      <c r="F104" s="41"/>
      <c r="G104" s="41"/>
      <c r="H104" s="41"/>
      <c r="I104" s="41"/>
      <c r="J104" s="41"/>
      <c r="K104" s="41"/>
    </row>
    <row r="105" spans="1:11" s="44" customFormat="1">
      <c r="A105" s="57"/>
      <c r="F105" s="41"/>
      <c r="G105" s="41"/>
      <c r="H105" s="41"/>
      <c r="I105" s="41"/>
      <c r="J105" s="41"/>
      <c r="K105" s="41"/>
    </row>
    <row r="106" spans="1:11" s="44" customFormat="1">
      <c r="A106" s="57"/>
      <c r="F106" s="41"/>
      <c r="G106" s="41"/>
      <c r="H106" s="41"/>
      <c r="I106" s="41"/>
      <c r="J106" s="41"/>
      <c r="K106" s="41"/>
    </row>
    <row r="107" spans="1:11" s="44" customFormat="1">
      <c r="A107" s="57"/>
      <c r="F107" s="41"/>
      <c r="G107" s="41"/>
      <c r="H107" s="41"/>
      <c r="I107" s="41"/>
      <c r="J107" s="41"/>
      <c r="K107" s="41"/>
    </row>
    <row r="108" spans="1:11" s="44" customFormat="1">
      <c r="A108" s="57"/>
      <c r="F108" s="41"/>
      <c r="G108" s="41"/>
      <c r="H108" s="41"/>
      <c r="I108" s="41"/>
      <c r="J108" s="41"/>
      <c r="K108" s="41"/>
    </row>
    <row r="109" spans="1:11" s="44" customFormat="1">
      <c r="A109" s="57"/>
      <c r="F109" s="41"/>
      <c r="G109" s="41"/>
      <c r="H109" s="41"/>
      <c r="I109" s="41"/>
      <c r="J109" s="41"/>
      <c r="K109" s="41"/>
    </row>
    <row r="110" spans="1:11" s="44" customFormat="1">
      <c r="A110" s="57"/>
      <c r="F110" s="41"/>
      <c r="G110" s="41"/>
      <c r="H110" s="41"/>
      <c r="I110" s="41"/>
      <c r="J110" s="41"/>
      <c r="K110" s="41"/>
    </row>
    <row r="111" spans="1:11" s="44" customFormat="1">
      <c r="A111" s="57"/>
      <c r="F111" s="41"/>
      <c r="G111" s="41"/>
      <c r="H111" s="41"/>
      <c r="I111" s="41"/>
      <c r="J111" s="41"/>
      <c r="K111" s="41"/>
    </row>
    <row r="112" spans="1:11" s="44" customFormat="1">
      <c r="A112" s="57"/>
      <c r="F112" s="41"/>
      <c r="G112" s="41"/>
      <c r="H112" s="41"/>
      <c r="I112" s="41"/>
      <c r="J112" s="41"/>
      <c r="K112" s="41"/>
    </row>
    <row r="113" spans="1:11" s="44" customFormat="1">
      <c r="A113" s="57"/>
      <c r="F113" s="41"/>
      <c r="G113" s="41"/>
      <c r="H113" s="41"/>
      <c r="I113" s="41"/>
      <c r="J113" s="41"/>
      <c r="K113" s="41"/>
    </row>
    <row r="114" spans="1:11" s="44" customFormat="1">
      <c r="A114" s="57"/>
      <c r="F114" s="41"/>
      <c r="G114" s="41"/>
      <c r="H114" s="41"/>
      <c r="I114" s="41"/>
      <c r="J114" s="41"/>
      <c r="K114" s="41"/>
    </row>
    <row r="115" spans="1:11" s="44" customFormat="1">
      <c r="A115" s="57"/>
      <c r="F115" s="41"/>
      <c r="G115" s="41"/>
      <c r="H115" s="41"/>
      <c r="I115" s="41"/>
      <c r="J115" s="41"/>
      <c r="K115" s="41"/>
    </row>
    <row r="116" spans="1:11" s="44" customFormat="1">
      <c r="A116" s="57"/>
      <c r="F116" s="41"/>
      <c r="G116" s="41"/>
      <c r="H116" s="41"/>
      <c r="I116" s="41"/>
      <c r="J116" s="41"/>
      <c r="K116" s="41"/>
    </row>
    <row r="117" spans="1:11" s="44" customFormat="1">
      <c r="A117" s="57"/>
      <c r="F117" s="41"/>
      <c r="G117" s="41"/>
      <c r="H117" s="41"/>
      <c r="I117" s="41"/>
      <c r="J117" s="41"/>
      <c r="K117" s="41"/>
    </row>
    <row r="118" spans="1:11" s="44" customFormat="1">
      <c r="A118" s="57"/>
      <c r="F118" s="41"/>
      <c r="G118" s="41"/>
      <c r="H118" s="41"/>
      <c r="I118" s="41"/>
      <c r="J118" s="41"/>
      <c r="K118" s="41"/>
    </row>
    <row r="119" spans="1:11" s="44" customFormat="1">
      <c r="A119" s="57"/>
      <c r="F119" s="41"/>
      <c r="G119" s="41"/>
      <c r="H119" s="41"/>
      <c r="I119" s="41"/>
      <c r="J119" s="41"/>
      <c r="K119" s="41"/>
    </row>
    <row r="120" spans="1:11" s="44" customFormat="1">
      <c r="A120" s="57"/>
      <c r="F120" s="41"/>
      <c r="G120" s="41"/>
      <c r="H120" s="41"/>
      <c r="I120" s="41"/>
      <c r="J120" s="41"/>
      <c r="K120" s="41"/>
    </row>
    <row r="121" spans="1:11" s="44" customFormat="1">
      <c r="A121" s="57"/>
      <c r="F121" s="41"/>
      <c r="G121" s="41"/>
      <c r="H121" s="41"/>
      <c r="I121" s="41"/>
      <c r="J121" s="41"/>
      <c r="K121" s="41"/>
    </row>
    <row r="122" spans="1:11" s="44" customFormat="1">
      <c r="A122" s="57"/>
      <c r="F122" s="41"/>
      <c r="G122" s="41"/>
      <c r="H122" s="41"/>
      <c r="I122" s="41"/>
      <c r="J122" s="41"/>
      <c r="K122" s="41"/>
    </row>
    <row r="123" spans="1:11" s="44" customFormat="1">
      <c r="A123" s="57"/>
      <c r="F123" s="41"/>
      <c r="G123" s="41"/>
      <c r="H123" s="41"/>
      <c r="I123" s="41"/>
      <c r="J123" s="41"/>
      <c r="K123" s="41"/>
    </row>
    <row r="124" spans="1:11" s="44" customFormat="1">
      <c r="A124" s="57"/>
      <c r="F124" s="41"/>
      <c r="G124" s="41"/>
      <c r="H124" s="41"/>
      <c r="I124" s="41"/>
      <c r="J124" s="41"/>
      <c r="K124" s="41"/>
    </row>
    <row r="125" spans="1:11" s="44" customFormat="1">
      <c r="A125" s="57"/>
      <c r="F125" s="41"/>
      <c r="G125" s="41"/>
      <c r="H125" s="41"/>
      <c r="I125" s="41"/>
      <c r="J125" s="41"/>
      <c r="K125" s="41"/>
    </row>
    <row r="126" spans="1:11" s="44" customFormat="1">
      <c r="A126" s="57"/>
      <c r="F126" s="41"/>
      <c r="G126" s="41"/>
      <c r="H126" s="41"/>
      <c r="I126" s="41"/>
      <c r="J126" s="41"/>
      <c r="K126" s="41"/>
    </row>
    <row r="127" spans="1:11" s="44" customFormat="1">
      <c r="A127" s="57"/>
      <c r="F127" s="41"/>
      <c r="G127" s="41"/>
      <c r="H127" s="41"/>
      <c r="I127" s="41"/>
      <c r="J127" s="41"/>
      <c r="K127" s="41"/>
    </row>
    <row r="128" spans="1:11" s="44" customFormat="1">
      <c r="A128" s="57"/>
      <c r="F128" s="41"/>
      <c r="G128" s="41"/>
      <c r="H128" s="41"/>
      <c r="I128" s="41"/>
      <c r="J128" s="41"/>
      <c r="K128" s="41"/>
    </row>
    <row r="129" spans="1:11" s="44" customFormat="1">
      <c r="A129" s="57"/>
      <c r="F129" s="41"/>
      <c r="G129" s="41"/>
      <c r="H129" s="41"/>
      <c r="I129" s="41"/>
      <c r="J129" s="41"/>
      <c r="K129" s="41"/>
    </row>
    <row r="130" spans="1:11" s="44" customFormat="1">
      <c r="A130" s="57"/>
      <c r="F130" s="41"/>
      <c r="G130" s="41"/>
      <c r="H130" s="41"/>
      <c r="I130" s="41"/>
      <c r="J130" s="41"/>
      <c r="K130" s="41"/>
    </row>
    <row r="131" spans="1:11" s="44" customFormat="1">
      <c r="A131" s="57"/>
      <c r="F131" s="41"/>
      <c r="G131" s="41"/>
      <c r="H131" s="41"/>
      <c r="I131" s="41"/>
      <c r="J131" s="41"/>
      <c r="K131" s="41"/>
    </row>
    <row r="132" spans="1:11" s="44" customFormat="1">
      <c r="A132" s="57"/>
      <c r="F132" s="41"/>
      <c r="G132" s="41"/>
      <c r="H132" s="41"/>
      <c r="I132" s="41"/>
      <c r="J132" s="41"/>
      <c r="K132" s="41"/>
    </row>
    <row r="133" spans="1:11" s="44" customFormat="1">
      <c r="A133" s="57"/>
      <c r="F133" s="41"/>
      <c r="G133" s="41"/>
      <c r="H133" s="41"/>
      <c r="I133" s="41"/>
      <c r="J133" s="41"/>
      <c r="K133" s="41"/>
    </row>
    <row r="134" spans="1:11" s="44" customFormat="1">
      <c r="A134" s="57"/>
      <c r="F134" s="41"/>
      <c r="G134" s="41"/>
      <c r="H134" s="41"/>
      <c r="I134" s="41"/>
      <c r="J134" s="41"/>
      <c r="K134" s="41"/>
    </row>
    <row r="135" spans="1:11" s="44" customFormat="1">
      <c r="A135" s="57"/>
      <c r="F135" s="41"/>
      <c r="G135" s="41"/>
      <c r="H135" s="41"/>
      <c r="I135" s="41"/>
      <c r="J135" s="41"/>
      <c r="K135" s="41"/>
    </row>
    <row r="136" spans="1:11" s="44" customFormat="1">
      <c r="A136" s="57"/>
      <c r="F136" s="41"/>
      <c r="G136" s="41"/>
      <c r="H136" s="41"/>
      <c r="I136" s="41"/>
      <c r="J136" s="41"/>
      <c r="K136" s="41"/>
    </row>
    <row r="137" spans="1:11" s="44" customFormat="1">
      <c r="A137" s="57"/>
      <c r="F137" s="41"/>
      <c r="G137" s="41"/>
      <c r="H137" s="41"/>
      <c r="I137" s="41"/>
      <c r="J137" s="41"/>
      <c r="K137" s="41"/>
    </row>
    <row r="138" spans="1:11" s="44" customFormat="1">
      <c r="A138" s="57"/>
      <c r="F138" s="41"/>
      <c r="G138" s="41"/>
      <c r="H138" s="41"/>
      <c r="I138" s="41"/>
      <c r="J138" s="41"/>
      <c r="K138" s="41"/>
    </row>
    <row r="139" spans="1:11" s="44" customFormat="1">
      <c r="A139" s="57"/>
      <c r="F139" s="41"/>
      <c r="G139" s="41"/>
      <c r="H139" s="41"/>
      <c r="I139" s="41"/>
      <c r="J139" s="41"/>
      <c r="K139" s="41"/>
    </row>
    <row r="140" spans="1:11" s="44" customFormat="1">
      <c r="A140" s="57"/>
      <c r="F140" s="41"/>
      <c r="G140" s="41"/>
      <c r="H140" s="41"/>
      <c r="I140" s="41"/>
      <c r="J140" s="41"/>
      <c r="K140" s="41"/>
    </row>
    <row r="141" spans="1:11" s="44" customFormat="1">
      <c r="A141" s="57"/>
      <c r="F141" s="41"/>
      <c r="G141" s="41"/>
      <c r="H141" s="41"/>
      <c r="I141" s="41"/>
      <c r="J141" s="41"/>
      <c r="K141" s="41"/>
    </row>
    <row r="142" spans="1:11" s="44" customFormat="1">
      <c r="A142" s="57"/>
      <c r="F142" s="41"/>
      <c r="G142" s="41"/>
      <c r="H142" s="41"/>
      <c r="I142" s="41"/>
      <c r="J142" s="41"/>
      <c r="K142" s="41"/>
    </row>
    <row r="143" spans="1:11" s="44" customFormat="1">
      <c r="A143" s="57"/>
      <c r="F143" s="41"/>
      <c r="G143" s="41"/>
      <c r="H143" s="41"/>
      <c r="I143" s="41"/>
      <c r="J143" s="41"/>
      <c r="K143" s="41"/>
    </row>
    <row r="144" spans="1:11" s="44" customFormat="1">
      <c r="A144" s="57"/>
      <c r="F144" s="41"/>
      <c r="G144" s="41"/>
      <c r="H144" s="41"/>
      <c r="I144" s="41"/>
      <c r="J144" s="41"/>
      <c r="K144" s="41"/>
    </row>
    <row r="145" spans="1:11" s="44" customFormat="1">
      <c r="A145" s="57"/>
      <c r="F145" s="41"/>
      <c r="G145" s="41"/>
      <c r="H145" s="41"/>
      <c r="I145" s="41"/>
      <c r="J145" s="41"/>
      <c r="K145" s="41"/>
    </row>
    <row r="146" spans="1:11" s="44" customFormat="1">
      <c r="A146" s="57"/>
      <c r="F146" s="41"/>
      <c r="G146" s="41"/>
      <c r="H146" s="41"/>
      <c r="I146" s="41"/>
      <c r="J146" s="41"/>
      <c r="K146" s="41"/>
    </row>
    <row r="147" spans="1:11" s="44" customFormat="1">
      <c r="A147" s="57"/>
      <c r="F147" s="41"/>
      <c r="G147" s="41"/>
      <c r="H147" s="41"/>
      <c r="I147" s="41"/>
      <c r="J147" s="41"/>
      <c r="K147" s="41"/>
    </row>
    <row r="148" spans="1:11" s="44" customFormat="1">
      <c r="A148" s="57"/>
      <c r="F148" s="41"/>
      <c r="G148" s="41"/>
      <c r="H148" s="41"/>
      <c r="I148" s="41"/>
      <c r="J148" s="41"/>
      <c r="K148" s="41"/>
    </row>
    <row r="149" spans="1:11" s="44" customFormat="1">
      <c r="A149" s="57"/>
      <c r="F149" s="41"/>
      <c r="G149" s="41"/>
      <c r="H149" s="41"/>
      <c r="I149" s="41"/>
      <c r="J149" s="41"/>
      <c r="K149" s="41"/>
    </row>
    <row r="150" spans="1:11" s="44" customFormat="1">
      <c r="A150" s="57"/>
      <c r="F150" s="41"/>
      <c r="G150" s="41"/>
      <c r="H150" s="41"/>
      <c r="I150" s="41"/>
      <c r="J150" s="41"/>
      <c r="K150" s="41"/>
    </row>
    <row r="151" spans="1:11" s="44" customFormat="1">
      <c r="A151" s="57"/>
      <c r="F151" s="41"/>
      <c r="G151" s="41"/>
      <c r="H151" s="41"/>
      <c r="I151" s="41"/>
      <c r="J151" s="41"/>
      <c r="K151" s="41"/>
    </row>
    <row r="152" spans="1:11" s="44" customFormat="1">
      <c r="A152" s="57"/>
      <c r="F152" s="41"/>
      <c r="G152" s="41"/>
      <c r="H152" s="41"/>
      <c r="I152" s="41"/>
      <c r="J152" s="41"/>
      <c r="K152" s="41"/>
    </row>
    <row r="153" spans="1:11" s="44" customFormat="1">
      <c r="A153" s="57"/>
      <c r="F153" s="41"/>
      <c r="G153" s="41"/>
      <c r="H153" s="41"/>
      <c r="I153" s="41"/>
      <c r="J153" s="41"/>
      <c r="K153" s="41"/>
    </row>
    <row r="154" spans="1:11" s="44" customFormat="1">
      <c r="A154" s="57"/>
      <c r="F154" s="41"/>
      <c r="G154" s="41"/>
      <c r="H154" s="41"/>
      <c r="I154" s="41"/>
      <c r="J154" s="41"/>
      <c r="K154" s="41"/>
    </row>
    <row r="155" spans="1:11" s="44" customFormat="1">
      <c r="A155" s="57"/>
      <c r="F155" s="41"/>
      <c r="G155" s="41"/>
      <c r="H155" s="41"/>
      <c r="I155" s="41"/>
      <c r="J155" s="41"/>
      <c r="K155" s="41"/>
    </row>
    <row r="156" spans="1:11" s="44" customFormat="1">
      <c r="A156" s="57"/>
      <c r="F156" s="41"/>
      <c r="G156" s="41"/>
      <c r="H156" s="41"/>
      <c r="I156" s="41"/>
      <c r="J156" s="41"/>
      <c r="K156" s="41"/>
    </row>
    <row r="157" spans="1:11" s="44" customFormat="1">
      <c r="A157" s="57"/>
      <c r="F157" s="41"/>
      <c r="G157" s="41"/>
      <c r="H157" s="41"/>
      <c r="I157" s="41"/>
      <c r="J157" s="41"/>
      <c r="K157" s="41"/>
    </row>
    <row r="158" spans="1:11" s="44" customFormat="1">
      <c r="A158" s="57"/>
      <c r="F158" s="41"/>
      <c r="G158" s="41"/>
      <c r="H158" s="41"/>
      <c r="I158" s="41"/>
      <c r="J158" s="41"/>
      <c r="K158" s="41"/>
    </row>
    <row r="159" spans="1:11" s="44" customFormat="1">
      <c r="A159" s="57"/>
      <c r="F159" s="41"/>
      <c r="G159" s="41"/>
      <c r="H159" s="41"/>
      <c r="I159" s="41"/>
      <c r="J159" s="41"/>
      <c r="K159" s="41"/>
    </row>
    <row r="160" spans="1:11" s="44" customFormat="1">
      <c r="A160" s="57"/>
      <c r="F160" s="41"/>
      <c r="G160" s="41"/>
      <c r="H160" s="41"/>
      <c r="I160" s="41"/>
      <c r="J160" s="41"/>
      <c r="K160" s="41"/>
    </row>
    <row r="161" spans="1:11" s="44" customFormat="1">
      <c r="A161" s="57"/>
      <c r="F161" s="41"/>
      <c r="G161" s="41"/>
      <c r="H161" s="41"/>
      <c r="I161" s="41"/>
      <c r="J161" s="41"/>
      <c r="K161" s="41"/>
    </row>
    <row r="162" spans="1:11" s="44" customFormat="1">
      <c r="A162" s="57"/>
      <c r="F162" s="41"/>
      <c r="G162" s="41"/>
      <c r="H162" s="41"/>
      <c r="I162" s="41"/>
      <c r="J162" s="41"/>
      <c r="K162" s="41"/>
    </row>
    <row r="163" spans="1:11" s="44" customFormat="1">
      <c r="A163" s="57"/>
      <c r="F163" s="41"/>
      <c r="G163" s="41"/>
      <c r="H163" s="41"/>
      <c r="I163" s="41"/>
      <c r="J163" s="41"/>
      <c r="K163" s="41"/>
    </row>
    <row r="164" spans="1:11" s="44" customFormat="1">
      <c r="A164" s="57"/>
      <c r="F164" s="41"/>
      <c r="G164" s="41"/>
      <c r="H164" s="41"/>
      <c r="I164" s="41"/>
      <c r="J164" s="41"/>
      <c r="K164" s="41"/>
    </row>
    <row r="165" spans="1:11" s="44" customFormat="1">
      <c r="A165" s="57"/>
      <c r="F165" s="41"/>
      <c r="G165" s="41"/>
      <c r="H165" s="41"/>
      <c r="I165" s="41"/>
      <c r="J165" s="41"/>
      <c r="K165" s="41"/>
    </row>
    <row r="166" spans="1:11" s="44" customFormat="1">
      <c r="A166" s="57"/>
      <c r="F166" s="41"/>
      <c r="G166" s="41"/>
      <c r="H166" s="41"/>
      <c r="I166" s="41"/>
      <c r="J166" s="41"/>
      <c r="K166" s="41"/>
    </row>
    <row r="167" spans="1:11" s="44" customFormat="1">
      <c r="A167" s="57"/>
      <c r="F167" s="41"/>
      <c r="G167" s="41"/>
      <c r="H167" s="41"/>
      <c r="I167" s="41"/>
      <c r="J167" s="41"/>
      <c r="K167" s="41"/>
    </row>
    <row r="168" spans="1:11" s="44" customFormat="1">
      <c r="A168" s="57"/>
      <c r="F168" s="41"/>
      <c r="G168" s="41"/>
      <c r="H168" s="41"/>
      <c r="I168" s="41"/>
      <c r="J168" s="41"/>
      <c r="K168" s="41"/>
    </row>
    <row r="169" spans="1:11" s="44" customFormat="1">
      <c r="A169" s="57"/>
      <c r="F169" s="41"/>
      <c r="G169" s="41"/>
      <c r="H169" s="41"/>
      <c r="I169" s="41"/>
      <c r="J169" s="41"/>
      <c r="K169" s="41"/>
    </row>
    <row r="170" spans="1:11" s="44" customFormat="1">
      <c r="A170" s="57"/>
      <c r="F170" s="41"/>
      <c r="G170" s="41"/>
      <c r="H170" s="41"/>
      <c r="I170" s="41"/>
      <c r="J170" s="41"/>
      <c r="K170" s="41"/>
    </row>
    <row r="171" spans="1:11" s="44" customFormat="1">
      <c r="A171" s="57"/>
      <c r="F171" s="41"/>
      <c r="G171" s="41"/>
      <c r="H171" s="41"/>
      <c r="I171" s="41"/>
      <c r="J171" s="41"/>
      <c r="K171" s="41"/>
    </row>
    <row r="172" spans="1:11" s="44" customFormat="1">
      <c r="A172" s="57"/>
      <c r="F172" s="41"/>
      <c r="G172" s="41"/>
      <c r="H172" s="41"/>
      <c r="I172" s="41"/>
      <c r="J172" s="41"/>
      <c r="K172" s="41"/>
    </row>
    <row r="173" spans="1:11" s="44" customFormat="1">
      <c r="A173" s="57"/>
      <c r="F173" s="41"/>
      <c r="G173" s="41"/>
      <c r="H173" s="41"/>
      <c r="I173" s="41"/>
      <c r="J173" s="41"/>
      <c r="K173" s="41"/>
    </row>
    <row r="174" spans="1:11" s="44" customFormat="1">
      <c r="A174" s="57"/>
      <c r="F174" s="41"/>
      <c r="G174" s="41"/>
      <c r="H174" s="41"/>
      <c r="I174" s="41"/>
      <c r="J174" s="41"/>
      <c r="K174" s="41"/>
    </row>
    <row r="175" spans="1:11" s="44" customFormat="1">
      <c r="A175" s="57"/>
      <c r="F175" s="41"/>
      <c r="G175" s="41"/>
      <c r="H175" s="41"/>
      <c r="I175" s="41"/>
      <c r="J175" s="41"/>
      <c r="K175" s="41"/>
    </row>
    <row r="176" spans="1:11" s="44" customFormat="1">
      <c r="A176" s="57"/>
      <c r="F176" s="41"/>
      <c r="G176" s="41"/>
      <c r="H176" s="41"/>
      <c r="I176" s="41"/>
      <c r="J176" s="41"/>
      <c r="K176" s="41"/>
    </row>
    <row r="177" spans="1:11" s="44" customFormat="1">
      <c r="A177" s="57"/>
      <c r="F177" s="41"/>
      <c r="G177" s="41"/>
      <c r="H177" s="41"/>
      <c r="I177" s="41"/>
      <c r="J177" s="41"/>
      <c r="K177" s="41"/>
    </row>
    <row r="178" spans="1:11" s="44" customFormat="1">
      <c r="A178" s="57"/>
      <c r="F178" s="41"/>
      <c r="G178" s="41"/>
      <c r="H178" s="41"/>
      <c r="I178" s="41"/>
      <c r="J178" s="41"/>
      <c r="K178" s="41"/>
    </row>
    <row r="179" spans="1:11" s="44" customFormat="1">
      <c r="A179" s="57"/>
      <c r="F179" s="41"/>
      <c r="G179" s="41"/>
      <c r="H179" s="41"/>
      <c r="I179" s="41"/>
      <c r="J179" s="41"/>
      <c r="K179" s="41"/>
    </row>
    <row r="180" spans="1:11" s="44" customFormat="1">
      <c r="A180" s="57"/>
      <c r="F180" s="41"/>
      <c r="G180" s="41"/>
      <c r="H180" s="41"/>
      <c r="I180" s="41"/>
      <c r="J180" s="41"/>
      <c r="K180" s="41"/>
    </row>
    <row r="181" spans="1:11" s="44" customFormat="1">
      <c r="A181" s="57"/>
      <c r="F181" s="41"/>
      <c r="G181" s="41"/>
      <c r="H181" s="41"/>
      <c r="I181" s="41"/>
      <c r="J181" s="41"/>
      <c r="K181" s="41"/>
    </row>
    <row r="182" spans="1:11" s="44" customFormat="1">
      <c r="A182" s="57"/>
      <c r="F182" s="41"/>
      <c r="G182" s="41"/>
      <c r="H182" s="41"/>
      <c r="I182" s="41"/>
      <c r="J182" s="41"/>
      <c r="K182" s="41"/>
    </row>
    <row r="183" spans="1:11" s="44" customFormat="1">
      <c r="A183" s="57"/>
      <c r="F183" s="41"/>
      <c r="G183" s="41"/>
      <c r="H183" s="41"/>
      <c r="I183" s="41"/>
      <c r="J183" s="41"/>
      <c r="K183" s="41"/>
    </row>
    <row r="184" spans="1:11" s="44" customFormat="1">
      <c r="A184" s="57"/>
      <c r="F184" s="41"/>
      <c r="G184" s="41"/>
      <c r="H184" s="41"/>
      <c r="I184" s="41"/>
      <c r="J184" s="41"/>
      <c r="K184" s="41"/>
    </row>
    <row r="185" spans="1:11" s="44" customFormat="1">
      <c r="A185" s="57"/>
      <c r="F185" s="41"/>
      <c r="G185" s="41"/>
      <c r="H185" s="41"/>
      <c r="I185" s="41"/>
      <c r="J185" s="41"/>
      <c r="K185" s="41"/>
    </row>
    <row r="186" spans="1:11" s="44" customFormat="1">
      <c r="A186" s="57"/>
      <c r="F186" s="41"/>
      <c r="G186" s="41"/>
      <c r="H186" s="41"/>
      <c r="I186" s="41"/>
      <c r="J186" s="41"/>
      <c r="K186" s="41"/>
    </row>
    <row r="187" spans="1:11" s="44" customFormat="1">
      <c r="A187" s="57"/>
      <c r="F187" s="41"/>
      <c r="G187" s="41"/>
      <c r="H187" s="41"/>
      <c r="I187" s="41"/>
      <c r="J187" s="41"/>
      <c r="K187" s="41"/>
    </row>
    <row r="188" spans="1:11" s="44" customFormat="1">
      <c r="A188" s="57"/>
      <c r="F188" s="41"/>
      <c r="G188" s="41"/>
      <c r="H188" s="41"/>
      <c r="I188" s="41"/>
      <c r="J188" s="41"/>
      <c r="K188" s="41"/>
    </row>
    <row r="189" spans="1:11" s="44" customFormat="1">
      <c r="A189" s="57"/>
      <c r="F189" s="41"/>
      <c r="G189" s="41"/>
      <c r="H189" s="41"/>
      <c r="I189" s="41"/>
      <c r="J189" s="41"/>
      <c r="K189" s="41"/>
    </row>
    <row r="190" spans="1:11" s="44" customFormat="1">
      <c r="A190" s="57"/>
      <c r="F190" s="41"/>
      <c r="G190" s="41"/>
      <c r="H190" s="41"/>
      <c r="I190" s="41"/>
      <c r="J190" s="41"/>
      <c r="K190" s="41"/>
    </row>
    <row r="191" spans="1:11" s="44" customFormat="1">
      <c r="A191" s="57"/>
      <c r="F191" s="41"/>
      <c r="G191" s="41"/>
      <c r="H191" s="41"/>
      <c r="I191" s="41"/>
      <c r="J191" s="41"/>
      <c r="K191" s="41"/>
    </row>
  </sheetData>
  <sheetProtection password="C6FB" sheet="1" formatCells="0" formatColumns="0" formatRows="0" insertRows="0" deleteRows="0"/>
  <mergeCells count="13">
    <mergeCell ref="C41:E41"/>
    <mergeCell ref="G41:I41"/>
    <mergeCell ref="A6:I6"/>
    <mergeCell ref="A18:I18"/>
    <mergeCell ref="C40:E40"/>
    <mergeCell ref="G40:I40"/>
    <mergeCell ref="A1:I1"/>
    <mergeCell ref="A3:A4"/>
    <mergeCell ref="B3:B4"/>
    <mergeCell ref="C3:C4"/>
    <mergeCell ref="D3:D4"/>
    <mergeCell ref="E3:E4"/>
    <mergeCell ref="F3:I3"/>
  </mergeCells>
  <phoneticPr fontId="3" type="noConversion"/>
  <pageMargins left="0.78740157480314965" right="0.39370078740157483" top="0.59055118110236227" bottom="0.59055118110236227" header="0.19685039370078741" footer="0.11811023622047245"/>
  <pageSetup paperSize="9" scale="50" fitToHeight="2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107"/>
  <sheetViews>
    <sheetView tabSelected="1" view="pageBreakPreview" zoomScale="75" zoomScaleNormal="75" zoomScaleSheetLayoutView="50" workbookViewId="0">
      <pane ySplit="5" topLeftCell="A11" activePane="bottomLeft" state="frozen"/>
      <selection pane="bottomLeft" activeCell="C14" sqref="C14"/>
    </sheetView>
  </sheetViews>
  <sheetFormatPr defaultRowHeight="18.75" outlineLevelRow="1"/>
  <cols>
    <col min="1" max="1" width="53.28515625" style="1" customWidth="1"/>
    <col min="2" max="2" width="13.7109375" style="1" customWidth="1"/>
    <col min="3" max="3" width="12.140625" style="1" customWidth="1"/>
    <col min="4" max="4" width="13.140625" style="1" customWidth="1"/>
    <col min="5" max="5" width="13.85546875" style="1" customWidth="1"/>
    <col min="6" max="6" width="12.42578125" style="1" bestFit="1" customWidth="1"/>
    <col min="7" max="7" width="10.7109375" style="1" bestFit="1" customWidth="1"/>
    <col min="8" max="8" width="11.42578125" style="1" bestFit="1" customWidth="1"/>
    <col min="9" max="9" width="10.7109375" style="1" bestFit="1" customWidth="1"/>
    <col min="10" max="16384" width="9.140625" style="1"/>
  </cols>
  <sheetData>
    <row r="1" spans="1:9">
      <c r="A1" s="315" t="s">
        <v>386</v>
      </c>
      <c r="B1" s="315"/>
      <c r="C1" s="315"/>
      <c r="D1" s="315"/>
      <c r="E1" s="315"/>
      <c r="F1" s="315"/>
      <c r="G1" s="315"/>
      <c r="H1" s="315"/>
      <c r="I1" s="315"/>
    </row>
    <row r="2" spans="1:9" outlineLevel="1">
      <c r="A2" s="17"/>
      <c r="B2" s="17"/>
      <c r="C2" s="17"/>
      <c r="D2" s="17"/>
      <c r="E2" s="17"/>
      <c r="F2" s="17"/>
      <c r="G2" s="17"/>
      <c r="H2" s="17"/>
      <c r="I2" s="17"/>
    </row>
    <row r="3" spans="1:9" ht="48" customHeight="1">
      <c r="A3" s="358" t="s">
        <v>280</v>
      </c>
      <c r="B3" s="352" t="s">
        <v>0</v>
      </c>
      <c r="C3" s="352" t="s">
        <v>32</v>
      </c>
      <c r="D3" s="352" t="s">
        <v>70</v>
      </c>
      <c r="E3" s="352" t="s">
        <v>185</v>
      </c>
      <c r="F3" s="353" t="s">
        <v>378</v>
      </c>
      <c r="G3" s="353"/>
      <c r="H3" s="353"/>
      <c r="I3" s="353"/>
    </row>
    <row r="4" spans="1:9" ht="38.25" customHeight="1">
      <c r="A4" s="359"/>
      <c r="B4" s="352"/>
      <c r="C4" s="352"/>
      <c r="D4" s="352"/>
      <c r="E4" s="352"/>
      <c r="F4" s="10" t="s">
        <v>387</v>
      </c>
      <c r="G4" s="10" t="s">
        <v>380</v>
      </c>
      <c r="H4" s="10" t="s">
        <v>381</v>
      </c>
      <c r="I4" s="10" t="s">
        <v>86</v>
      </c>
    </row>
    <row r="5" spans="1:9" ht="18" customHeight="1">
      <c r="A5" s="6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</row>
    <row r="6" spans="1:9" s="55" customFormat="1" ht="20.100000000000001" customHeight="1">
      <c r="A6" s="354" t="s">
        <v>175</v>
      </c>
      <c r="B6" s="355"/>
      <c r="C6" s="355"/>
      <c r="D6" s="355"/>
      <c r="E6" s="355"/>
      <c r="F6" s="355"/>
      <c r="G6" s="355"/>
      <c r="H6" s="355"/>
      <c r="I6" s="356"/>
    </row>
    <row r="7" spans="1:9" ht="37.5">
      <c r="A7" s="179" t="s">
        <v>195</v>
      </c>
      <c r="B7" s="164">
        <v>1170</v>
      </c>
      <c r="C7" s="184">
        <f>'I. Фін результат'!C77</f>
        <v>-167</v>
      </c>
      <c r="D7" s="184">
        <f>'I. Фін результат'!D77</f>
        <v>365</v>
      </c>
      <c r="E7" s="184">
        <f>'I. Фін результат'!E77</f>
        <v>85</v>
      </c>
      <c r="F7" s="184">
        <f>'I. Фін результат'!F77</f>
        <v>43</v>
      </c>
      <c r="G7" s="184">
        <f>'I. Фін результат'!G77</f>
        <v>72</v>
      </c>
      <c r="H7" s="184">
        <f>'I. Фін результат'!H77</f>
        <v>140</v>
      </c>
      <c r="I7" s="184">
        <f>'I. Фін результат'!I77</f>
        <v>110</v>
      </c>
    </row>
    <row r="8" spans="1:9" ht="20.100000000000001" customHeight="1">
      <c r="A8" s="179" t="s">
        <v>196</v>
      </c>
      <c r="B8" s="219"/>
      <c r="C8" s="189"/>
      <c r="D8" s="189"/>
      <c r="E8" s="189"/>
      <c r="F8" s="189"/>
      <c r="G8" s="189"/>
      <c r="H8" s="189"/>
      <c r="I8" s="189"/>
    </row>
    <row r="9" spans="1:9" ht="20.100000000000001" customHeight="1">
      <c r="A9" s="179" t="s">
        <v>199</v>
      </c>
      <c r="B9" s="183">
        <v>3000</v>
      </c>
      <c r="C9" s="184">
        <f>'I. Фін результат'!C103</f>
        <v>346</v>
      </c>
      <c r="D9" s="184">
        <f>'I. Фін результат'!D103</f>
        <v>313</v>
      </c>
      <c r="E9" s="184">
        <f>'I. Фін результат'!E103</f>
        <v>415</v>
      </c>
      <c r="F9" s="184">
        <f>'I. Фін результат'!F103</f>
        <v>100</v>
      </c>
      <c r="G9" s="184">
        <f>'I. Фін результат'!G103</f>
        <v>201</v>
      </c>
      <c r="H9" s="184">
        <f>'I. Фін результат'!H103</f>
        <v>303</v>
      </c>
      <c r="I9" s="184">
        <f>'I. Фін результат'!I103</f>
        <v>404</v>
      </c>
    </row>
    <row r="10" spans="1:9" ht="20.100000000000001" customHeight="1">
      <c r="A10" s="179" t="s">
        <v>200</v>
      </c>
      <c r="B10" s="183">
        <v>3010</v>
      </c>
      <c r="C10" s="185"/>
      <c r="D10" s="185"/>
      <c r="E10" s="185"/>
      <c r="F10" s="185"/>
      <c r="G10" s="185"/>
      <c r="H10" s="185"/>
      <c r="I10" s="185"/>
    </row>
    <row r="11" spans="1:9" ht="37.5">
      <c r="A11" s="179" t="s">
        <v>201</v>
      </c>
      <c r="B11" s="183">
        <v>3020</v>
      </c>
      <c r="C11" s="185"/>
      <c r="D11" s="185"/>
      <c r="E11" s="185"/>
      <c r="F11" s="185"/>
      <c r="G11" s="185"/>
      <c r="H11" s="185"/>
      <c r="I11" s="185"/>
    </row>
    <row r="12" spans="1:9" ht="56.25">
      <c r="A12" s="179" t="s">
        <v>202</v>
      </c>
      <c r="B12" s="183">
        <v>3030</v>
      </c>
      <c r="C12" s="185">
        <f>C13+C14</f>
        <v>506</v>
      </c>
      <c r="D12" s="185">
        <f t="shared" ref="D12:E12" si="0">D13+D14</f>
        <v>0</v>
      </c>
      <c r="E12" s="185">
        <f t="shared" si="0"/>
        <v>-55</v>
      </c>
      <c r="F12" s="185"/>
      <c r="G12" s="185"/>
      <c r="H12" s="185"/>
      <c r="I12" s="185"/>
    </row>
    <row r="13" spans="1:9">
      <c r="A13" s="179" t="s">
        <v>446</v>
      </c>
      <c r="B13" s="183" t="s">
        <v>447</v>
      </c>
      <c r="C13" s="185">
        <v>-16</v>
      </c>
      <c r="D13" s="185"/>
      <c r="E13" s="185"/>
      <c r="F13" s="185"/>
      <c r="G13" s="185"/>
      <c r="H13" s="185"/>
      <c r="I13" s="185"/>
    </row>
    <row r="14" spans="1:9" ht="37.5">
      <c r="A14" s="179" t="s">
        <v>451</v>
      </c>
      <c r="B14" s="183" t="s">
        <v>450</v>
      </c>
      <c r="C14" s="185">
        <v>522</v>
      </c>
      <c r="D14" s="185"/>
      <c r="E14" s="185">
        <v>-55</v>
      </c>
      <c r="F14" s="185"/>
      <c r="G14" s="185"/>
      <c r="H14" s="185"/>
      <c r="I14" s="185"/>
    </row>
    <row r="15" spans="1:9" ht="42.75" customHeight="1">
      <c r="A15" s="181" t="s">
        <v>262</v>
      </c>
      <c r="B15" s="220">
        <v>3040</v>
      </c>
      <c r="C15" s="186">
        <f>SUM(C7:C12)</f>
        <v>685</v>
      </c>
      <c r="D15" s="186">
        <f t="shared" ref="D15:I15" si="1">SUM(D7:D12)</f>
        <v>678</v>
      </c>
      <c r="E15" s="186">
        <f t="shared" si="1"/>
        <v>445</v>
      </c>
      <c r="F15" s="186">
        <f t="shared" si="1"/>
        <v>143</v>
      </c>
      <c r="G15" s="186">
        <f t="shared" si="1"/>
        <v>273</v>
      </c>
      <c r="H15" s="186">
        <f t="shared" si="1"/>
        <v>443</v>
      </c>
      <c r="I15" s="186">
        <f t="shared" si="1"/>
        <v>514</v>
      </c>
    </row>
    <row r="16" spans="1:9" ht="37.5">
      <c r="A16" s="179" t="s">
        <v>203</v>
      </c>
      <c r="B16" s="183">
        <v>3050</v>
      </c>
      <c r="C16" s="185">
        <f>C17</f>
        <v>356</v>
      </c>
      <c r="D16" s="185"/>
      <c r="E16" s="185">
        <f>E17</f>
        <v>74</v>
      </c>
      <c r="F16" s="185"/>
      <c r="G16" s="185"/>
      <c r="H16" s="185"/>
      <c r="I16" s="185"/>
    </row>
    <row r="17" spans="1:9" ht="56.25">
      <c r="A17" s="179" t="s">
        <v>452</v>
      </c>
      <c r="B17" s="183" t="s">
        <v>443</v>
      </c>
      <c r="C17" s="185">
        <v>356</v>
      </c>
      <c r="D17" s="185"/>
      <c r="E17" s="185">
        <v>74</v>
      </c>
      <c r="F17" s="185"/>
      <c r="G17" s="185"/>
      <c r="H17" s="185"/>
      <c r="I17" s="185"/>
    </row>
    <row r="18" spans="1:9" ht="37.5">
      <c r="A18" s="179" t="s">
        <v>204</v>
      </c>
      <c r="B18" s="183">
        <v>3060</v>
      </c>
      <c r="C18" s="185">
        <f>C19</f>
        <v>1006</v>
      </c>
      <c r="D18" s="185"/>
      <c r="E18" s="185">
        <f>E19</f>
        <v>-247</v>
      </c>
      <c r="F18" s="185"/>
      <c r="G18" s="185"/>
      <c r="H18" s="185"/>
      <c r="I18" s="185"/>
    </row>
    <row r="19" spans="1:9" ht="56.25">
      <c r="A19" s="179" t="s">
        <v>445</v>
      </c>
      <c r="B19" s="183" t="s">
        <v>444</v>
      </c>
      <c r="C19" s="185">
        <v>1006</v>
      </c>
      <c r="D19" s="185"/>
      <c r="E19" s="185">
        <v>-247</v>
      </c>
      <c r="F19" s="185"/>
      <c r="G19" s="185"/>
      <c r="H19" s="185"/>
      <c r="I19" s="185"/>
    </row>
    <row r="20" spans="1:9" ht="20.100000000000001" customHeight="1">
      <c r="A20" s="181" t="s">
        <v>197</v>
      </c>
      <c r="B20" s="220">
        <v>3070</v>
      </c>
      <c r="C20" s="186">
        <f>SUM(C15:C16)+C18</f>
        <v>2047</v>
      </c>
      <c r="D20" s="186">
        <f t="shared" ref="D20:I20" si="2">SUM(D15:D16)+D18</f>
        <v>678</v>
      </c>
      <c r="E20" s="186">
        <f t="shared" si="2"/>
        <v>272</v>
      </c>
      <c r="F20" s="186">
        <f t="shared" si="2"/>
        <v>143</v>
      </c>
      <c r="G20" s="186">
        <f t="shared" si="2"/>
        <v>273</v>
      </c>
      <c r="H20" s="186">
        <f t="shared" si="2"/>
        <v>443</v>
      </c>
      <c r="I20" s="186">
        <f t="shared" si="2"/>
        <v>514</v>
      </c>
    </row>
    <row r="21" spans="1:9" ht="20.100000000000001" customHeight="1">
      <c r="A21" s="179" t="s">
        <v>198</v>
      </c>
      <c r="B21" s="183">
        <v>3080</v>
      </c>
      <c r="C21" s="184">
        <f>'I. Фін результат'!C78</f>
        <v>0</v>
      </c>
      <c r="D21" s="184">
        <f>'I. Фін результат'!D78</f>
        <v>66</v>
      </c>
      <c r="E21" s="184">
        <f>'I. Фін результат'!E78</f>
        <v>15</v>
      </c>
      <c r="F21" s="184">
        <f>'I. Фін результат'!F78</f>
        <v>0</v>
      </c>
      <c r="G21" s="184">
        <f>'I. Фін результат'!G78</f>
        <v>0</v>
      </c>
      <c r="H21" s="184">
        <f>'I. Фін результат'!H78</f>
        <v>0</v>
      </c>
      <c r="I21" s="184">
        <f>'I. Фін результат'!I78</f>
        <v>20</v>
      </c>
    </row>
    <row r="22" spans="1:9" ht="37.5">
      <c r="A22" s="163" t="s">
        <v>174</v>
      </c>
      <c r="B22" s="220">
        <v>3090</v>
      </c>
      <c r="C22" s="186">
        <f>C20-C21</f>
        <v>2047</v>
      </c>
      <c r="D22" s="186">
        <f t="shared" ref="D22:I22" si="3">D20-D21</f>
        <v>612</v>
      </c>
      <c r="E22" s="186">
        <f t="shared" si="3"/>
        <v>257</v>
      </c>
      <c r="F22" s="186">
        <f t="shared" si="3"/>
        <v>143</v>
      </c>
      <c r="G22" s="186">
        <f t="shared" si="3"/>
        <v>273</v>
      </c>
      <c r="H22" s="186">
        <f t="shared" si="3"/>
        <v>443</v>
      </c>
      <c r="I22" s="186">
        <f t="shared" si="3"/>
        <v>494</v>
      </c>
    </row>
    <row r="23" spans="1:9" ht="20.100000000000001" customHeight="1">
      <c r="A23" s="354" t="s">
        <v>176</v>
      </c>
      <c r="B23" s="355"/>
      <c r="C23" s="355"/>
      <c r="D23" s="355"/>
      <c r="E23" s="355"/>
      <c r="F23" s="355"/>
      <c r="G23" s="355"/>
      <c r="H23" s="355"/>
      <c r="I23" s="356"/>
    </row>
    <row r="24" spans="1:9" ht="20.100000000000001" customHeight="1">
      <c r="A24" s="181" t="s">
        <v>295</v>
      </c>
      <c r="B24" s="164"/>
      <c r="C24" s="185"/>
      <c r="D24" s="185"/>
      <c r="E24" s="185"/>
      <c r="F24" s="185"/>
      <c r="G24" s="185"/>
      <c r="H24" s="185"/>
      <c r="I24" s="185"/>
    </row>
    <row r="25" spans="1:9" ht="20.100000000000001" customHeight="1">
      <c r="A25" s="68" t="s">
        <v>33</v>
      </c>
      <c r="B25" s="164">
        <v>3200</v>
      </c>
      <c r="C25" s="185"/>
      <c r="D25" s="185"/>
      <c r="E25" s="185"/>
      <c r="F25" s="185"/>
      <c r="G25" s="185"/>
      <c r="H25" s="185"/>
      <c r="I25" s="185"/>
    </row>
    <row r="26" spans="1:9" ht="20.100000000000001" customHeight="1">
      <c r="A26" s="68" t="s">
        <v>34</v>
      </c>
      <c r="B26" s="164">
        <v>3210</v>
      </c>
      <c r="C26" s="185"/>
      <c r="D26" s="185"/>
      <c r="E26" s="185"/>
      <c r="F26" s="185"/>
      <c r="G26" s="185"/>
      <c r="H26" s="185"/>
      <c r="I26" s="185"/>
    </row>
    <row r="27" spans="1:9" ht="20.100000000000001" customHeight="1">
      <c r="A27" s="68" t="s">
        <v>57</v>
      </c>
      <c r="B27" s="164">
        <v>3220</v>
      </c>
      <c r="C27" s="185"/>
      <c r="D27" s="185"/>
      <c r="E27" s="185"/>
      <c r="F27" s="185"/>
      <c r="G27" s="185"/>
      <c r="H27" s="185"/>
      <c r="I27" s="185"/>
    </row>
    <row r="28" spans="1:9" ht="20.100000000000001" customHeight="1">
      <c r="A28" s="179" t="s">
        <v>180</v>
      </c>
      <c r="B28" s="164"/>
      <c r="C28" s="185"/>
      <c r="D28" s="185"/>
      <c r="E28" s="185"/>
      <c r="F28" s="185"/>
      <c r="G28" s="185"/>
      <c r="H28" s="185"/>
      <c r="I28" s="185"/>
    </row>
    <row r="29" spans="1:9" ht="20.100000000000001" customHeight="1">
      <c r="A29" s="68" t="s">
        <v>181</v>
      </c>
      <c r="B29" s="164">
        <v>3230</v>
      </c>
      <c r="C29" s="185"/>
      <c r="D29" s="185"/>
      <c r="E29" s="185"/>
      <c r="F29" s="185"/>
      <c r="G29" s="185"/>
      <c r="H29" s="185"/>
      <c r="I29" s="185"/>
    </row>
    <row r="30" spans="1:9" ht="20.100000000000001" customHeight="1">
      <c r="A30" s="68" t="s">
        <v>182</v>
      </c>
      <c r="B30" s="164">
        <v>3240</v>
      </c>
      <c r="C30" s="185"/>
      <c r="D30" s="185"/>
      <c r="E30" s="185"/>
      <c r="F30" s="185"/>
      <c r="G30" s="185"/>
      <c r="H30" s="185"/>
      <c r="I30" s="185"/>
    </row>
    <row r="31" spans="1:9" ht="20.100000000000001" customHeight="1">
      <c r="A31" s="179" t="s">
        <v>183</v>
      </c>
      <c r="B31" s="164">
        <v>3250</v>
      </c>
      <c r="C31" s="185"/>
      <c r="D31" s="185"/>
      <c r="E31" s="185"/>
      <c r="F31" s="185"/>
      <c r="G31" s="185"/>
      <c r="H31" s="185"/>
      <c r="I31" s="185"/>
    </row>
    <row r="32" spans="1:9" ht="20.100000000000001" customHeight="1">
      <c r="A32" s="68" t="s">
        <v>132</v>
      </c>
      <c r="B32" s="164">
        <v>3260</v>
      </c>
      <c r="C32" s="185"/>
      <c r="D32" s="185"/>
      <c r="E32" s="185"/>
      <c r="F32" s="185"/>
      <c r="G32" s="185"/>
      <c r="H32" s="185"/>
      <c r="I32" s="185"/>
    </row>
    <row r="33" spans="1:9" ht="20.100000000000001" customHeight="1">
      <c r="A33" s="181" t="s">
        <v>297</v>
      </c>
      <c r="B33" s="164"/>
      <c r="C33" s="185"/>
      <c r="D33" s="185"/>
      <c r="E33" s="185"/>
      <c r="F33" s="185"/>
      <c r="G33" s="185"/>
      <c r="H33" s="185"/>
      <c r="I33" s="185"/>
    </row>
    <row r="34" spans="1:9" ht="37.5">
      <c r="A34" s="68" t="s">
        <v>133</v>
      </c>
      <c r="B34" s="164">
        <v>3270</v>
      </c>
      <c r="C34" s="185">
        <v>324</v>
      </c>
      <c r="D34" s="185"/>
      <c r="E34" s="185"/>
      <c r="F34" s="185"/>
      <c r="G34" s="185"/>
      <c r="H34" s="185"/>
      <c r="I34" s="185"/>
    </row>
    <row r="35" spans="1:9" ht="20.100000000000001" customHeight="1">
      <c r="A35" s="68" t="s">
        <v>134</v>
      </c>
      <c r="B35" s="164">
        <v>3280</v>
      </c>
      <c r="C35" s="185"/>
      <c r="D35" s="185"/>
      <c r="E35" s="185"/>
      <c r="F35" s="185"/>
      <c r="G35" s="185"/>
      <c r="H35" s="185"/>
      <c r="I35" s="185"/>
    </row>
    <row r="36" spans="1:9" ht="37.5">
      <c r="A36" s="68" t="s">
        <v>135</v>
      </c>
      <c r="B36" s="164">
        <v>3290</v>
      </c>
      <c r="C36" s="185"/>
      <c r="D36" s="185"/>
      <c r="E36" s="185"/>
      <c r="F36" s="185"/>
      <c r="G36" s="185"/>
      <c r="H36" s="185"/>
      <c r="I36" s="185"/>
    </row>
    <row r="37" spans="1:9" ht="20.100000000000001" customHeight="1">
      <c r="A37" s="68" t="s">
        <v>58</v>
      </c>
      <c r="B37" s="164">
        <v>3300</v>
      </c>
      <c r="C37" s="185"/>
      <c r="D37" s="185"/>
      <c r="E37" s="185"/>
      <c r="F37" s="185"/>
      <c r="G37" s="185"/>
      <c r="H37" s="185"/>
      <c r="I37" s="185"/>
    </row>
    <row r="38" spans="1:9" ht="20.100000000000001" customHeight="1">
      <c r="A38" s="68" t="s">
        <v>127</v>
      </c>
      <c r="B38" s="164">
        <v>3310</v>
      </c>
      <c r="C38" s="185"/>
      <c r="D38" s="185"/>
      <c r="E38" s="185"/>
      <c r="F38" s="185"/>
      <c r="G38" s="185"/>
      <c r="H38" s="185"/>
      <c r="I38" s="185"/>
    </row>
    <row r="39" spans="1:9" ht="37.5">
      <c r="A39" s="181" t="s">
        <v>177</v>
      </c>
      <c r="B39" s="217">
        <v>3320</v>
      </c>
      <c r="C39" s="186">
        <f>(C25+C26+C27+C29+C30+C31+C32)-(C34+C35+C36+C37+C38)</f>
        <v>-324</v>
      </c>
      <c r="D39" s="186">
        <f t="shared" ref="D39:I39" si="4">(D25+D26+D27+D29+D30+D31+D32)-(D34+D35+D36+D37+D38)</f>
        <v>0</v>
      </c>
      <c r="E39" s="186">
        <f t="shared" si="4"/>
        <v>0</v>
      </c>
      <c r="F39" s="186">
        <f t="shared" si="4"/>
        <v>0</v>
      </c>
      <c r="G39" s="186">
        <f t="shared" si="4"/>
        <v>0</v>
      </c>
      <c r="H39" s="186">
        <f t="shared" si="4"/>
        <v>0</v>
      </c>
      <c r="I39" s="186">
        <f t="shared" si="4"/>
        <v>0</v>
      </c>
    </row>
    <row r="40" spans="1:9" ht="20.100000000000001" customHeight="1">
      <c r="A40" s="354" t="s">
        <v>178</v>
      </c>
      <c r="B40" s="355"/>
      <c r="C40" s="355"/>
      <c r="D40" s="355"/>
      <c r="E40" s="355"/>
      <c r="F40" s="355"/>
      <c r="G40" s="355"/>
      <c r="H40" s="355"/>
      <c r="I40" s="356"/>
    </row>
    <row r="41" spans="1:9" ht="20.100000000000001" customHeight="1">
      <c r="A41" s="181" t="s">
        <v>296</v>
      </c>
      <c r="B41" s="164"/>
      <c r="C41" s="185"/>
      <c r="D41" s="185"/>
      <c r="E41" s="185"/>
      <c r="F41" s="185"/>
      <c r="G41" s="185"/>
      <c r="H41" s="185"/>
      <c r="I41" s="185"/>
    </row>
    <row r="42" spans="1:9" ht="20.100000000000001" customHeight="1">
      <c r="A42" s="179" t="s">
        <v>184</v>
      </c>
      <c r="B42" s="164">
        <v>3400</v>
      </c>
      <c r="C42" s="185"/>
      <c r="D42" s="185"/>
      <c r="E42" s="185"/>
      <c r="F42" s="185"/>
      <c r="G42" s="185"/>
      <c r="H42" s="185"/>
      <c r="I42" s="185"/>
    </row>
    <row r="43" spans="1:9" ht="37.5">
      <c r="A43" s="68" t="s">
        <v>100</v>
      </c>
      <c r="B43" s="143"/>
      <c r="C43" s="185"/>
      <c r="D43" s="185"/>
      <c r="E43" s="185"/>
      <c r="F43" s="185"/>
      <c r="G43" s="185"/>
      <c r="H43" s="185"/>
      <c r="I43" s="185"/>
    </row>
    <row r="44" spans="1:9" ht="20.100000000000001" customHeight="1">
      <c r="A44" s="68" t="s">
        <v>99</v>
      </c>
      <c r="B44" s="164">
        <v>3410</v>
      </c>
      <c r="C44" s="185"/>
      <c r="D44" s="185"/>
      <c r="E44" s="185"/>
      <c r="F44" s="185"/>
      <c r="G44" s="185"/>
      <c r="H44" s="185"/>
      <c r="I44" s="185"/>
    </row>
    <row r="45" spans="1:9" ht="20.100000000000001" customHeight="1">
      <c r="A45" s="68" t="s">
        <v>104</v>
      </c>
      <c r="B45" s="183">
        <v>3420</v>
      </c>
      <c r="C45" s="185"/>
      <c r="D45" s="185"/>
      <c r="E45" s="185"/>
      <c r="F45" s="185"/>
      <c r="G45" s="185"/>
      <c r="H45" s="185"/>
      <c r="I45" s="185"/>
    </row>
    <row r="46" spans="1:9" ht="20.100000000000001" customHeight="1">
      <c r="A46" s="68" t="s">
        <v>136</v>
      </c>
      <c r="B46" s="164">
        <v>3430</v>
      </c>
      <c r="C46" s="185"/>
      <c r="D46" s="185"/>
      <c r="E46" s="185"/>
      <c r="F46" s="185"/>
      <c r="G46" s="185"/>
      <c r="H46" s="185"/>
      <c r="I46" s="185"/>
    </row>
    <row r="47" spans="1:9" ht="37.5">
      <c r="A47" s="68" t="s">
        <v>102</v>
      </c>
      <c r="B47" s="164"/>
      <c r="C47" s="185"/>
      <c r="D47" s="185"/>
      <c r="E47" s="185"/>
      <c r="F47" s="185"/>
      <c r="G47" s="185"/>
      <c r="H47" s="185"/>
      <c r="I47" s="185"/>
    </row>
    <row r="48" spans="1:9" ht="20.100000000000001" customHeight="1">
      <c r="A48" s="68" t="s">
        <v>99</v>
      </c>
      <c r="B48" s="183">
        <v>3440</v>
      </c>
      <c r="C48" s="185"/>
      <c r="D48" s="185"/>
      <c r="E48" s="185"/>
      <c r="F48" s="185"/>
      <c r="G48" s="185"/>
      <c r="H48" s="185"/>
      <c r="I48" s="185"/>
    </row>
    <row r="49" spans="1:9" ht="20.100000000000001" customHeight="1">
      <c r="A49" s="68" t="s">
        <v>104</v>
      </c>
      <c r="B49" s="183">
        <v>3450</v>
      </c>
      <c r="C49" s="185"/>
      <c r="D49" s="185"/>
      <c r="E49" s="185"/>
      <c r="F49" s="185"/>
      <c r="G49" s="185"/>
      <c r="H49" s="185"/>
      <c r="I49" s="185"/>
    </row>
    <row r="50" spans="1:9" ht="20.100000000000001" customHeight="1">
      <c r="A50" s="68" t="s">
        <v>136</v>
      </c>
      <c r="B50" s="183">
        <v>3460</v>
      </c>
      <c r="C50" s="185"/>
      <c r="D50" s="185"/>
      <c r="E50" s="185"/>
      <c r="F50" s="185"/>
      <c r="G50" s="185"/>
      <c r="H50" s="185"/>
      <c r="I50" s="185"/>
    </row>
    <row r="51" spans="1:9" ht="20.100000000000001" customHeight="1">
      <c r="A51" s="68" t="s">
        <v>131</v>
      </c>
      <c r="B51" s="183">
        <v>3470</v>
      </c>
      <c r="C51" s="185"/>
      <c r="D51" s="185"/>
      <c r="E51" s="185"/>
      <c r="F51" s="185"/>
      <c r="G51" s="185"/>
      <c r="H51" s="185"/>
      <c r="I51" s="185"/>
    </row>
    <row r="52" spans="1:9" ht="20.100000000000001" customHeight="1">
      <c r="A52" s="68" t="s">
        <v>132</v>
      </c>
      <c r="B52" s="183">
        <v>3480</v>
      </c>
      <c r="C52" s="185"/>
      <c r="D52" s="185"/>
      <c r="E52" s="185"/>
      <c r="F52" s="185"/>
      <c r="G52" s="185"/>
      <c r="H52" s="185"/>
      <c r="I52" s="185"/>
    </row>
    <row r="53" spans="1:9" ht="20.100000000000001" customHeight="1">
      <c r="A53" s="181" t="s">
        <v>297</v>
      </c>
      <c r="B53" s="164"/>
      <c r="C53" s="185"/>
      <c r="D53" s="185"/>
      <c r="E53" s="185"/>
      <c r="F53" s="185"/>
      <c r="G53" s="185"/>
      <c r="H53" s="185"/>
      <c r="I53" s="185"/>
    </row>
    <row r="54" spans="1:9" ht="37.5">
      <c r="A54" s="68" t="s">
        <v>384</v>
      </c>
      <c r="B54" s="164">
        <v>3490</v>
      </c>
      <c r="C54" s="184">
        <f>'ІІ. Розр. з бюджетом'!C9</f>
        <v>0</v>
      </c>
      <c r="D54" s="184">
        <f>'ІІ. Розр. з бюджетом'!D9</f>
        <v>84</v>
      </c>
      <c r="E54" s="184">
        <f>'ІІ. Розр. з бюджетом'!E9</f>
        <v>11</v>
      </c>
      <c r="F54" s="184">
        <f>'ІІ. Розр. з бюджетом'!F9</f>
        <v>6</v>
      </c>
      <c r="G54" s="184">
        <f>'ІІ. Розр. з бюджетом'!G9</f>
        <v>11</v>
      </c>
      <c r="H54" s="184">
        <f>'ІІ. Розр. з бюджетом'!H9</f>
        <v>21</v>
      </c>
      <c r="I54" s="184">
        <f>'ІІ. Розр. з бюджетом'!I9</f>
        <v>21</v>
      </c>
    </row>
    <row r="55" spans="1:9" ht="112.5">
      <c r="A55" s="68" t="s">
        <v>385</v>
      </c>
      <c r="B55" s="164">
        <v>3500</v>
      </c>
      <c r="C55" s="184">
        <f>'ІІ. Розр. з бюджетом'!C10</f>
        <v>0</v>
      </c>
      <c r="D55" s="184">
        <f>'ІІ. Розр. з бюджетом'!D10</f>
        <v>287</v>
      </c>
      <c r="E55" s="184">
        <f>'ІІ. Розр. з бюджетом'!E10</f>
        <v>35</v>
      </c>
      <c r="F55" s="184">
        <f>'ІІ. Розр. з бюджетом'!F10</f>
        <v>22</v>
      </c>
      <c r="G55" s="184">
        <f>'ІІ. Розр. з бюджетом'!G10</f>
        <v>37</v>
      </c>
      <c r="H55" s="184">
        <f>'ІІ. Розр. з бюджетом'!H10</f>
        <v>71</v>
      </c>
      <c r="I55" s="184">
        <f>'ІІ. Розр. з бюджетом'!I10</f>
        <v>71</v>
      </c>
    </row>
    <row r="56" spans="1:9" ht="37.5">
      <c r="A56" s="68" t="s">
        <v>103</v>
      </c>
      <c r="B56" s="164"/>
      <c r="C56" s="185"/>
      <c r="D56" s="185"/>
      <c r="E56" s="185"/>
      <c r="F56" s="185"/>
      <c r="G56" s="185"/>
      <c r="H56" s="185"/>
      <c r="I56" s="185"/>
    </row>
    <row r="57" spans="1:9" ht="20.100000000000001" customHeight="1">
      <c r="A57" s="68" t="s">
        <v>99</v>
      </c>
      <c r="B57" s="183">
        <v>3510</v>
      </c>
      <c r="C57" s="185"/>
      <c r="D57" s="185"/>
      <c r="E57" s="185"/>
      <c r="F57" s="185"/>
      <c r="G57" s="185"/>
      <c r="H57" s="185"/>
      <c r="I57" s="185"/>
    </row>
    <row r="58" spans="1:9" ht="20.100000000000001" customHeight="1">
      <c r="A58" s="68" t="s">
        <v>104</v>
      </c>
      <c r="B58" s="183">
        <v>3520</v>
      </c>
      <c r="C58" s="185"/>
      <c r="D58" s="185"/>
      <c r="E58" s="185"/>
      <c r="F58" s="185"/>
      <c r="G58" s="185"/>
      <c r="H58" s="185"/>
      <c r="I58" s="185"/>
    </row>
    <row r="59" spans="1:9" ht="20.100000000000001" customHeight="1">
      <c r="A59" s="68" t="s">
        <v>136</v>
      </c>
      <c r="B59" s="183">
        <v>3530</v>
      </c>
      <c r="C59" s="185"/>
      <c r="D59" s="185"/>
      <c r="E59" s="185"/>
      <c r="F59" s="185"/>
      <c r="G59" s="185"/>
      <c r="H59" s="185"/>
      <c r="I59" s="185"/>
    </row>
    <row r="60" spans="1:9" ht="37.5">
      <c r="A60" s="68" t="s">
        <v>101</v>
      </c>
      <c r="B60" s="164"/>
      <c r="C60" s="185"/>
      <c r="D60" s="185"/>
      <c r="E60" s="185"/>
      <c r="F60" s="185"/>
      <c r="G60" s="185"/>
      <c r="H60" s="185"/>
      <c r="I60" s="185"/>
    </row>
    <row r="61" spans="1:9" ht="20.100000000000001" customHeight="1">
      <c r="A61" s="68" t="s">
        <v>99</v>
      </c>
      <c r="B61" s="183">
        <v>3540</v>
      </c>
      <c r="C61" s="185"/>
      <c r="D61" s="185"/>
      <c r="E61" s="185"/>
      <c r="F61" s="185"/>
      <c r="G61" s="185"/>
      <c r="H61" s="185"/>
      <c r="I61" s="185"/>
    </row>
    <row r="62" spans="1:9" ht="20.100000000000001" customHeight="1">
      <c r="A62" s="68" t="s">
        <v>104</v>
      </c>
      <c r="B62" s="183">
        <v>3550</v>
      </c>
      <c r="C62" s="185"/>
      <c r="D62" s="185"/>
      <c r="E62" s="185"/>
      <c r="F62" s="185"/>
      <c r="G62" s="185"/>
      <c r="H62" s="185"/>
      <c r="I62" s="185"/>
    </row>
    <row r="63" spans="1:9" ht="20.100000000000001" customHeight="1">
      <c r="A63" s="68" t="s">
        <v>136</v>
      </c>
      <c r="B63" s="183">
        <v>3560</v>
      </c>
      <c r="C63" s="185"/>
      <c r="D63" s="185"/>
      <c r="E63" s="185"/>
      <c r="F63" s="185"/>
      <c r="G63" s="185"/>
      <c r="H63" s="185"/>
      <c r="I63" s="185"/>
    </row>
    <row r="64" spans="1:9" ht="20.100000000000001" customHeight="1">
      <c r="A64" s="68" t="s">
        <v>127</v>
      </c>
      <c r="B64" s="183">
        <v>3570</v>
      </c>
      <c r="C64" s="185">
        <f>C65</f>
        <v>1663</v>
      </c>
      <c r="D64" s="185"/>
      <c r="E64" s="185"/>
      <c r="F64" s="185"/>
      <c r="G64" s="185"/>
      <c r="H64" s="185"/>
      <c r="I64" s="185"/>
    </row>
    <row r="65" spans="1:9" ht="20.100000000000001" customHeight="1">
      <c r="A65" s="68" t="s">
        <v>449</v>
      </c>
      <c r="B65" s="183" t="s">
        <v>448</v>
      </c>
      <c r="C65" s="185">
        <v>1663</v>
      </c>
      <c r="D65" s="185"/>
      <c r="E65" s="185"/>
      <c r="F65" s="185"/>
      <c r="G65" s="185"/>
      <c r="H65" s="185"/>
      <c r="I65" s="185"/>
    </row>
    <row r="66" spans="1:9" ht="37.5">
      <c r="A66" s="54" t="s">
        <v>179</v>
      </c>
      <c r="B66" s="87">
        <v>3580</v>
      </c>
      <c r="C66" s="186">
        <f t="shared" ref="C66:I66" si="5">(C42+C44+C45+C46+C48+C49+C50+C51+C52)-(C54+C55+C57+C58+C59+C61+C62+C63+C64)</f>
        <v>-1663</v>
      </c>
      <c r="D66" s="186">
        <f t="shared" si="5"/>
        <v>-371</v>
      </c>
      <c r="E66" s="186">
        <f t="shared" si="5"/>
        <v>-46</v>
      </c>
      <c r="F66" s="186">
        <f t="shared" si="5"/>
        <v>-28</v>
      </c>
      <c r="G66" s="186">
        <f t="shared" si="5"/>
        <v>-48</v>
      </c>
      <c r="H66" s="186">
        <f t="shared" si="5"/>
        <v>-92</v>
      </c>
      <c r="I66" s="186">
        <f t="shared" si="5"/>
        <v>-92</v>
      </c>
    </row>
    <row r="67" spans="1:9" s="11" customFormat="1" ht="20.100000000000001" customHeight="1">
      <c r="A67" s="7" t="s">
        <v>35</v>
      </c>
      <c r="B67" s="5"/>
      <c r="C67" s="189"/>
      <c r="D67" s="189"/>
      <c r="E67" s="189"/>
      <c r="F67" s="189"/>
      <c r="G67" s="189"/>
      <c r="H67" s="189"/>
      <c r="I67" s="189"/>
    </row>
    <row r="68" spans="1:9" s="11" customFormat="1" ht="20.100000000000001" customHeight="1">
      <c r="A68" s="8" t="s">
        <v>36</v>
      </c>
      <c r="B68" s="5">
        <v>3600</v>
      </c>
      <c r="C68" s="185">
        <v>31</v>
      </c>
      <c r="D68" s="185">
        <v>338</v>
      </c>
      <c r="E68" s="184">
        <f>C70</f>
        <v>91</v>
      </c>
      <c r="F68" s="184">
        <f>E70</f>
        <v>302</v>
      </c>
      <c r="G68" s="184">
        <f>E70</f>
        <v>302</v>
      </c>
      <c r="H68" s="184">
        <f>E70</f>
        <v>302</v>
      </c>
      <c r="I68" s="184">
        <f>E70</f>
        <v>302</v>
      </c>
    </row>
    <row r="69" spans="1:9" s="11" customFormat="1" ht="37.5">
      <c r="A69" s="68" t="s">
        <v>188</v>
      </c>
      <c r="B69" s="5">
        <v>3610</v>
      </c>
      <c r="C69" s="185"/>
      <c r="D69" s="185"/>
      <c r="E69" s="185"/>
      <c r="F69" s="185"/>
      <c r="G69" s="185"/>
      <c r="H69" s="185"/>
      <c r="I69" s="185"/>
    </row>
    <row r="70" spans="1:9" s="11" customFormat="1" ht="20.100000000000001" customHeight="1">
      <c r="A70" s="8" t="s">
        <v>59</v>
      </c>
      <c r="B70" s="5">
        <v>3620</v>
      </c>
      <c r="C70" s="186">
        <f t="shared" ref="C70:I70" si="6">C68+C22+C39+C66</f>
        <v>91</v>
      </c>
      <c r="D70" s="186">
        <f t="shared" si="6"/>
        <v>579</v>
      </c>
      <c r="E70" s="186">
        <f t="shared" si="6"/>
        <v>302</v>
      </c>
      <c r="F70" s="186">
        <f t="shared" si="6"/>
        <v>417</v>
      </c>
      <c r="G70" s="186">
        <f t="shared" si="6"/>
        <v>527</v>
      </c>
      <c r="H70" s="186">
        <f t="shared" si="6"/>
        <v>653</v>
      </c>
      <c r="I70" s="186">
        <f t="shared" si="6"/>
        <v>704</v>
      </c>
    </row>
    <row r="71" spans="1:9" s="11" customFormat="1" ht="20.100000000000001" customHeight="1">
      <c r="A71" s="8" t="s">
        <v>37</v>
      </c>
      <c r="B71" s="5">
        <v>3630</v>
      </c>
      <c r="C71" s="186">
        <f t="shared" ref="C71:I71" si="7">SUM(C22,C39,C66)</f>
        <v>60</v>
      </c>
      <c r="D71" s="186">
        <f t="shared" si="7"/>
        <v>241</v>
      </c>
      <c r="E71" s="186">
        <f t="shared" si="7"/>
        <v>211</v>
      </c>
      <c r="F71" s="186">
        <f t="shared" si="7"/>
        <v>115</v>
      </c>
      <c r="G71" s="186">
        <f t="shared" si="7"/>
        <v>225</v>
      </c>
      <c r="H71" s="186">
        <f t="shared" si="7"/>
        <v>351</v>
      </c>
      <c r="I71" s="186">
        <f t="shared" si="7"/>
        <v>402</v>
      </c>
    </row>
    <row r="72" spans="1:9" s="11" customFormat="1" ht="20.100000000000001" customHeight="1">
      <c r="A72" s="143"/>
      <c r="B72" s="151"/>
      <c r="C72" s="152"/>
      <c r="D72" s="153"/>
      <c r="E72" s="153"/>
      <c r="F72" s="153"/>
      <c r="G72" s="153"/>
      <c r="H72" s="153"/>
      <c r="I72" s="153"/>
    </row>
    <row r="73" spans="1:9" s="11" customFormat="1" ht="20.100000000000001" customHeight="1">
      <c r="A73" s="143"/>
      <c r="B73" s="151"/>
      <c r="C73" s="152"/>
      <c r="D73" s="153"/>
      <c r="E73" s="153"/>
      <c r="F73" s="153"/>
      <c r="G73" s="153"/>
      <c r="H73" s="153"/>
      <c r="I73" s="153"/>
    </row>
    <row r="74" spans="1:9" s="11" customFormat="1" ht="20.100000000000001" customHeight="1">
      <c r="A74" s="143"/>
      <c r="B74" s="151"/>
      <c r="C74" s="152"/>
      <c r="D74" s="153"/>
      <c r="E74" s="153"/>
      <c r="F74" s="153"/>
      <c r="G74" s="153"/>
      <c r="H74" s="153"/>
      <c r="I74" s="153"/>
    </row>
    <row r="75" spans="1:9" s="2" customFormat="1" ht="37.5">
      <c r="A75" s="135" t="s">
        <v>313</v>
      </c>
      <c r="B75" s="136"/>
      <c r="C75" s="332" t="s">
        <v>419</v>
      </c>
      <c r="D75" s="333"/>
      <c r="E75" s="333"/>
      <c r="F75" s="137"/>
      <c r="G75" s="336" t="s">
        <v>435</v>
      </c>
      <c r="H75" s="337"/>
      <c r="I75" s="337"/>
    </row>
    <row r="76" spans="1:9" ht="20.100000000000001" customHeight="1">
      <c r="A76" s="93" t="s">
        <v>398</v>
      </c>
      <c r="B76" s="106"/>
      <c r="C76" s="317" t="s">
        <v>84</v>
      </c>
      <c r="D76" s="317"/>
      <c r="E76" s="317"/>
      <c r="F76" s="138"/>
      <c r="G76" s="318" t="s">
        <v>115</v>
      </c>
      <c r="H76" s="318"/>
      <c r="I76" s="318"/>
    </row>
    <row r="77" spans="1:9">
      <c r="C77" s="3"/>
    </row>
    <row r="78" spans="1:9">
      <c r="C78" s="3"/>
    </row>
    <row r="79" spans="1:9">
      <c r="C79" s="3"/>
    </row>
    <row r="80" spans="1:9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  <row r="89" spans="3:3">
      <c r="C89" s="3"/>
    </row>
    <row r="90" spans="3:3">
      <c r="C90" s="3"/>
    </row>
    <row r="91" spans="3:3">
      <c r="C91" s="3"/>
    </row>
    <row r="92" spans="3:3">
      <c r="C92" s="3"/>
    </row>
    <row r="93" spans="3:3">
      <c r="C93" s="3"/>
    </row>
    <row r="94" spans="3:3">
      <c r="C94" s="3"/>
    </row>
    <row r="95" spans="3:3">
      <c r="C95" s="3"/>
    </row>
    <row r="96" spans="3:3">
      <c r="C96" s="3"/>
    </row>
    <row r="97" spans="3:3">
      <c r="C97" s="3"/>
    </row>
    <row r="98" spans="3:3">
      <c r="C98" s="3"/>
    </row>
    <row r="99" spans="3:3">
      <c r="C99" s="3"/>
    </row>
    <row r="100" spans="3:3">
      <c r="C100" s="3"/>
    </row>
    <row r="101" spans="3:3">
      <c r="C101" s="3"/>
    </row>
    <row r="102" spans="3:3">
      <c r="C102" s="3"/>
    </row>
    <row r="103" spans="3:3">
      <c r="C103" s="3"/>
    </row>
    <row r="104" spans="3:3">
      <c r="C104" s="3"/>
    </row>
    <row r="105" spans="3:3">
      <c r="C105" s="3"/>
    </row>
    <row r="106" spans="3:3">
      <c r="C106" s="3"/>
    </row>
    <row r="107" spans="3:3">
      <c r="C107" s="3"/>
    </row>
  </sheetData>
  <sheetProtection formatCells="0" formatColumns="0" formatRows="0" insertRows="0"/>
  <mergeCells count="14">
    <mergeCell ref="C76:E76"/>
    <mergeCell ref="G76:I76"/>
    <mergeCell ref="A23:I23"/>
    <mergeCell ref="A6:I6"/>
    <mergeCell ref="A40:I40"/>
    <mergeCell ref="C75:E75"/>
    <mergeCell ref="G75:I75"/>
    <mergeCell ref="A1:I1"/>
    <mergeCell ref="A3:A4"/>
    <mergeCell ref="B3:B4"/>
    <mergeCell ref="C3:C4"/>
    <mergeCell ref="D3:D4"/>
    <mergeCell ref="E3:E4"/>
    <mergeCell ref="F3:I3"/>
  </mergeCells>
  <phoneticPr fontId="3" type="noConversion"/>
  <pageMargins left="0.78740157480314965" right="0.39370078740157483" top="0.59055118110236227" bottom="0.59055118110236227" header="0.19685039370078741" footer="0.23622047244094491"/>
  <pageSetup paperSize="9" scale="5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P182"/>
  <sheetViews>
    <sheetView topLeftCell="A10" zoomScale="75" zoomScaleNormal="100" zoomScaleSheetLayoutView="50" workbookViewId="0">
      <selection sqref="A1:I18"/>
    </sheetView>
  </sheetViews>
  <sheetFormatPr defaultRowHeight="18.75"/>
  <cols>
    <col min="1" max="1" width="45" style="2" customWidth="1"/>
    <col min="2" max="2" width="11.7109375" style="21" customWidth="1"/>
    <col min="3" max="4" width="16" style="21" customWidth="1"/>
    <col min="5" max="5" width="15.28515625" style="21" customWidth="1"/>
    <col min="6" max="7" width="16.28515625" style="2" customWidth="1"/>
    <col min="8" max="8" width="15.85546875" style="2" customWidth="1"/>
    <col min="9" max="9" width="15.28515625" style="2" customWidth="1"/>
    <col min="10" max="10" width="9.5703125" style="2" customWidth="1"/>
    <col min="11" max="11" width="9.85546875" style="2" customWidth="1"/>
    <col min="12" max="16384" width="9.140625" style="2"/>
  </cols>
  <sheetData>
    <row r="1" spans="1:16">
      <c r="A1" s="315" t="s">
        <v>233</v>
      </c>
      <c r="B1" s="315"/>
      <c r="C1" s="315"/>
      <c r="D1" s="315"/>
      <c r="E1" s="315"/>
      <c r="F1" s="315"/>
      <c r="G1" s="315"/>
      <c r="H1" s="315"/>
      <c r="I1" s="315"/>
    </row>
    <row r="2" spans="1:16">
      <c r="A2" s="360"/>
      <c r="B2" s="360"/>
      <c r="C2" s="360"/>
      <c r="D2" s="360"/>
      <c r="E2" s="360"/>
      <c r="F2" s="360"/>
      <c r="G2" s="360"/>
      <c r="H2" s="360"/>
      <c r="I2" s="360"/>
    </row>
    <row r="3" spans="1:16" ht="43.5" customHeight="1">
      <c r="A3" s="350" t="s">
        <v>280</v>
      </c>
      <c r="B3" s="353" t="s">
        <v>18</v>
      </c>
      <c r="C3" s="353" t="s">
        <v>32</v>
      </c>
      <c r="D3" s="353" t="s">
        <v>40</v>
      </c>
      <c r="E3" s="352" t="s">
        <v>185</v>
      </c>
      <c r="F3" s="353" t="s">
        <v>378</v>
      </c>
      <c r="G3" s="353"/>
      <c r="H3" s="353"/>
      <c r="I3" s="353"/>
    </row>
    <row r="4" spans="1:16" ht="56.25" customHeight="1">
      <c r="A4" s="350"/>
      <c r="B4" s="353"/>
      <c r="C4" s="353"/>
      <c r="D4" s="353"/>
      <c r="E4" s="352"/>
      <c r="F4" s="10" t="s">
        <v>387</v>
      </c>
      <c r="G4" s="10" t="s">
        <v>380</v>
      </c>
      <c r="H4" s="10" t="s">
        <v>381</v>
      </c>
      <c r="I4" s="10" t="s">
        <v>86</v>
      </c>
    </row>
    <row r="5" spans="1:16" ht="18" customHeight="1">
      <c r="A5" s="5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</row>
    <row r="6" spans="1:16" s="4" customFormat="1" ht="42.75" customHeight="1">
      <c r="A6" s="7" t="s">
        <v>88</v>
      </c>
      <c r="B6" s="71">
        <v>4000</v>
      </c>
      <c r="C6" s="184">
        <f t="shared" ref="C6:I6" si="0">SUM(C7:C11)</f>
        <v>0</v>
      </c>
      <c r="D6" s="184">
        <f t="shared" si="0"/>
        <v>0</v>
      </c>
      <c r="E6" s="184">
        <f t="shared" si="0"/>
        <v>0</v>
      </c>
      <c r="F6" s="184">
        <f t="shared" si="0"/>
        <v>0</v>
      </c>
      <c r="G6" s="184">
        <f t="shared" si="0"/>
        <v>0</v>
      </c>
      <c r="H6" s="184">
        <f t="shared" si="0"/>
        <v>0</v>
      </c>
      <c r="I6" s="184">
        <f t="shared" si="0"/>
        <v>0</v>
      </c>
    </row>
    <row r="7" spans="1:16" ht="20.100000000000001" customHeight="1">
      <c r="A7" s="7" t="s">
        <v>1</v>
      </c>
      <c r="B7" s="72" t="s">
        <v>243</v>
      </c>
      <c r="C7" s="185"/>
      <c r="D7" s="185"/>
      <c r="E7" s="185"/>
      <c r="F7" s="185"/>
      <c r="G7" s="185"/>
      <c r="H7" s="185"/>
      <c r="I7" s="185"/>
    </row>
    <row r="8" spans="1:16" ht="37.5">
      <c r="A8" s="7" t="s">
        <v>2</v>
      </c>
      <c r="B8" s="71">
        <v>4020</v>
      </c>
      <c r="C8" s="185"/>
      <c r="D8" s="185"/>
      <c r="E8" s="185"/>
      <c r="F8" s="185"/>
      <c r="G8" s="185"/>
      <c r="H8" s="185"/>
      <c r="I8" s="185"/>
      <c r="P8" s="17"/>
    </row>
    <row r="9" spans="1:16" ht="37.5">
      <c r="A9" s="7" t="s">
        <v>31</v>
      </c>
      <c r="B9" s="72">
        <v>4030</v>
      </c>
      <c r="C9" s="185"/>
      <c r="D9" s="185"/>
      <c r="E9" s="185"/>
      <c r="F9" s="185"/>
      <c r="G9" s="185"/>
      <c r="H9" s="185"/>
      <c r="I9" s="185"/>
      <c r="O9" s="17"/>
    </row>
    <row r="10" spans="1:16" ht="37.5">
      <c r="A10" s="7" t="s">
        <v>3</v>
      </c>
      <c r="B10" s="71">
        <v>4040</v>
      </c>
      <c r="C10" s="185"/>
      <c r="D10" s="185"/>
      <c r="E10" s="185"/>
      <c r="F10" s="185"/>
      <c r="G10" s="185"/>
      <c r="H10" s="185"/>
      <c r="I10" s="185"/>
    </row>
    <row r="11" spans="1:16" ht="56.25">
      <c r="A11" s="7" t="s">
        <v>74</v>
      </c>
      <c r="B11" s="72">
        <v>4050</v>
      </c>
      <c r="C11" s="185"/>
      <c r="D11" s="185"/>
      <c r="E11" s="185"/>
      <c r="F11" s="185"/>
      <c r="G11" s="185"/>
      <c r="H11" s="185"/>
      <c r="I11" s="185"/>
    </row>
    <row r="12" spans="1:16" ht="20.100000000000001" customHeight="1">
      <c r="A12" s="106"/>
      <c r="B12" s="106"/>
      <c r="C12" s="106"/>
      <c r="D12" s="106"/>
      <c r="E12" s="106"/>
      <c r="F12" s="154"/>
      <c r="G12" s="154"/>
      <c r="H12" s="154"/>
      <c r="I12" s="154"/>
    </row>
    <row r="13" spans="1:16" ht="20.100000000000001" customHeight="1">
      <c r="A13" s="106"/>
      <c r="B13" s="106"/>
      <c r="C13" s="106"/>
      <c r="D13" s="106"/>
      <c r="E13" s="106"/>
      <c r="F13" s="154"/>
      <c r="G13" s="154"/>
      <c r="H13" s="154"/>
      <c r="I13" s="154"/>
    </row>
    <row r="14" spans="1:16" s="1" customFormat="1">
      <c r="A14" s="128"/>
      <c r="B14" s="143"/>
      <c r="C14" s="106"/>
      <c r="D14" s="106"/>
      <c r="E14" s="106"/>
      <c r="F14" s="106"/>
      <c r="G14" s="106"/>
      <c r="H14" s="106"/>
      <c r="I14" s="106"/>
      <c r="J14" s="2"/>
    </row>
    <row r="15" spans="1:16" ht="56.25">
      <c r="A15" s="135" t="s">
        <v>417</v>
      </c>
      <c r="B15" s="136"/>
      <c r="C15" s="332" t="s">
        <v>119</v>
      </c>
      <c r="D15" s="333"/>
      <c r="E15" s="333"/>
      <c r="F15" s="137"/>
      <c r="G15" s="336" t="s">
        <v>435</v>
      </c>
      <c r="H15" s="337"/>
      <c r="I15" s="337"/>
    </row>
    <row r="16" spans="1:16" s="1" customFormat="1" ht="20.100000000000001" customHeight="1">
      <c r="A16" s="107" t="s">
        <v>83</v>
      </c>
      <c r="B16" s="106"/>
      <c r="C16" s="317" t="s">
        <v>84</v>
      </c>
      <c r="D16" s="317"/>
      <c r="E16" s="317"/>
      <c r="F16" s="138"/>
      <c r="G16" s="318" t="s">
        <v>115</v>
      </c>
      <c r="H16" s="318"/>
      <c r="I16" s="318"/>
    </row>
    <row r="17" spans="1:9">
      <c r="A17" s="155"/>
      <c r="B17" s="107"/>
      <c r="C17" s="107"/>
      <c r="D17" s="107"/>
      <c r="E17" s="107"/>
      <c r="F17" s="106"/>
      <c r="G17" s="106"/>
      <c r="H17" s="106"/>
      <c r="I17" s="106"/>
    </row>
    <row r="18" spans="1:9">
      <c r="A18" s="155"/>
      <c r="B18" s="107"/>
      <c r="C18" s="107"/>
      <c r="D18" s="107"/>
      <c r="E18" s="107"/>
      <c r="F18" s="106"/>
      <c r="G18" s="106"/>
      <c r="H18" s="106"/>
      <c r="I18" s="106"/>
    </row>
    <row r="19" spans="1:9">
      <c r="A19" s="46"/>
    </row>
    <row r="20" spans="1:9">
      <c r="A20" s="46"/>
    </row>
    <row r="21" spans="1:9">
      <c r="A21" s="46"/>
    </row>
    <row r="22" spans="1:9">
      <c r="A22" s="46"/>
    </row>
    <row r="23" spans="1:9">
      <c r="A23" s="46"/>
    </row>
    <row r="24" spans="1:9">
      <c r="A24" s="46"/>
    </row>
    <row r="25" spans="1:9">
      <c r="A25" s="46"/>
    </row>
    <row r="26" spans="1:9">
      <c r="A26" s="46"/>
    </row>
    <row r="27" spans="1:9">
      <c r="A27" s="46"/>
    </row>
    <row r="28" spans="1:9">
      <c r="A28" s="46"/>
    </row>
    <row r="29" spans="1:9">
      <c r="A29" s="46"/>
    </row>
    <row r="30" spans="1:9">
      <c r="A30" s="46"/>
    </row>
    <row r="31" spans="1:9">
      <c r="A31" s="46"/>
    </row>
    <row r="32" spans="1:9">
      <c r="A32" s="46"/>
    </row>
    <row r="33" spans="1:1">
      <c r="A33" s="46"/>
    </row>
    <row r="34" spans="1:1">
      <c r="A34" s="46"/>
    </row>
    <row r="35" spans="1:1">
      <c r="A35" s="46"/>
    </row>
    <row r="36" spans="1:1">
      <c r="A36" s="46"/>
    </row>
    <row r="37" spans="1:1">
      <c r="A37" s="46"/>
    </row>
    <row r="38" spans="1:1">
      <c r="A38" s="46"/>
    </row>
    <row r="39" spans="1:1">
      <c r="A39" s="46"/>
    </row>
    <row r="40" spans="1:1">
      <c r="A40" s="46"/>
    </row>
    <row r="41" spans="1:1">
      <c r="A41" s="46"/>
    </row>
    <row r="42" spans="1:1">
      <c r="A42" s="46"/>
    </row>
    <row r="43" spans="1:1">
      <c r="A43" s="46"/>
    </row>
    <row r="44" spans="1:1">
      <c r="A44" s="46"/>
    </row>
    <row r="45" spans="1:1">
      <c r="A45" s="46"/>
    </row>
    <row r="46" spans="1:1">
      <c r="A46" s="46"/>
    </row>
    <row r="47" spans="1:1">
      <c r="A47" s="46"/>
    </row>
    <row r="48" spans="1:1">
      <c r="A48" s="46"/>
    </row>
    <row r="49" spans="1:1">
      <c r="A49" s="46"/>
    </row>
    <row r="50" spans="1:1">
      <c r="A50" s="46"/>
    </row>
    <row r="51" spans="1:1">
      <c r="A51" s="46"/>
    </row>
    <row r="52" spans="1:1">
      <c r="A52" s="46"/>
    </row>
    <row r="53" spans="1:1">
      <c r="A53" s="46"/>
    </row>
    <row r="54" spans="1:1">
      <c r="A54" s="46"/>
    </row>
    <row r="55" spans="1:1">
      <c r="A55" s="46"/>
    </row>
    <row r="56" spans="1:1">
      <c r="A56" s="46"/>
    </row>
    <row r="57" spans="1:1">
      <c r="A57" s="46"/>
    </row>
    <row r="58" spans="1:1">
      <c r="A58" s="46"/>
    </row>
    <row r="59" spans="1:1">
      <c r="A59" s="46"/>
    </row>
    <row r="60" spans="1:1">
      <c r="A60" s="46"/>
    </row>
    <row r="61" spans="1:1">
      <c r="A61" s="46"/>
    </row>
    <row r="62" spans="1:1">
      <c r="A62" s="46"/>
    </row>
    <row r="63" spans="1:1">
      <c r="A63" s="46"/>
    </row>
    <row r="64" spans="1:1">
      <c r="A64" s="46"/>
    </row>
    <row r="65" spans="1:1">
      <c r="A65" s="46"/>
    </row>
    <row r="66" spans="1:1">
      <c r="A66" s="46"/>
    </row>
    <row r="67" spans="1:1">
      <c r="A67" s="46"/>
    </row>
    <row r="68" spans="1:1">
      <c r="A68" s="46"/>
    </row>
    <row r="69" spans="1:1">
      <c r="A69" s="46"/>
    </row>
    <row r="70" spans="1:1">
      <c r="A70" s="46"/>
    </row>
    <row r="71" spans="1:1">
      <c r="A71" s="46"/>
    </row>
    <row r="72" spans="1:1">
      <c r="A72" s="46"/>
    </row>
    <row r="73" spans="1:1">
      <c r="A73" s="46"/>
    </row>
    <row r="74" spans="1:1">
      <c r="A74" s="46"/>
    </row>
    <row r="75" spans="1:1">
      <c r="A75" s="46"/>
    </row>
    <row r="76" spans="1:1">
      <c r="A76" s="46"/>
    </row>
    <row r="77" spans="1:1">
      <c r="A77" s="46"/>
    </row>
    <row r="78" spans="1:1">
      <c r="A78" s="46"/>
    </row>
    <row r="79" spans="1:1">
      <c r="A79" s="46"/>
    </row>
    <row r="80" spans="1:1">
      <c r="A80" s="46"/>
    </row>
    <row r="81" spans="1:1">
      <c r="A81" s="46"/>
    </row>
    <row r="82" spans="1:1">
      <c r="A82" s="46"/>
    </row>
    <row r="83" spans="1:1">
      <c r="A83" s="46"/>
    </row>
    <row r="84" spans="1:1">
      <c r="A84" s="46"/>
    </row>
    <row r="85" spans="1:1">
      <c r="A85" s="46"/>
    </row>
    <row r="86" spans="1:1">
      <c r="A86" s="46"/>
    </row>
    <row r="87" spans="1:1">
      <c r="A87" s="46"/>
    </row>
    <row r="88" spans="1:1">
      <c r="A88" s="46"/>
    </row>
    <row r="89" spans="1:1">
      <c r="A89" s="46"/>
    </row>
    <row r="90" spans="1:1">
      <c r="A90" s="46"/>
    </row>
    <row r="91" spans="1:1">
      <c r="A91" s="46"/>
    </row>
    <row r="92" spans="1:1">
      <c r="A92" s="46"/>
    </row>
    <row r="93" spans="1:1">
      <c r="A93" s="46"/>
    </row>
    <row r="94" spans="1:1">
      <c r="A94" s="46"/>
    </row>
    <row r="95" spans="1:1">
      <c r="A95" s="46"/>
    </row>
    <row r="96" spans="1:1">
      <c r="A96" s="46"/>
    </row>
    <row r="97" spans="1:1">
      <c r="A97" s="46"/>
    </row>
    <row r="98" spans="1:1">
      <c r="A98" s="46"/>
    </row>
    <row r="99" spans="1:1">
      <c r="A99" s="46"/>
    </row>
    <row r="100" spans="1:1">
      <c r="A100" s="46"/>
    </row>
    <row r="101" spans="1:1">
      <c r="A101" s="46"/>
    </row>
    <row r="102" spans="1:1">
      <c r="A102" s="46"/>
    </row>
    <row r="103" spans="1:1">
      <c r="A103" s="46"/>
    </row>
    <row r="104" spans="1:1">
      <c r="A104" s="46"/>
    </row>
    <row r="105" spans="1:1">
      <c r="A105" s="46"/>
    </row>
    <row r="106" spans="1:1">
      <c r="A106" s="46"/>
    </row>
    <row r="107" spans="1:1">
      <c r="A107" s="46"/>
    </row>
    <row r="108" spans="1:1">
      <c r="A108" s="46"/>
    </row>
    <row r="109" spans="1:1">
      <c r="A109" s="46"/>
    </row>
    <row r="110" spans="1:1">
      <c r="A110" s="46"/>
    </row>
    <row r="111" spans="1:1">
      <c r="A111" s="46"/>
    </row>
    <row r="112" spans="1:1">
      <c r="A112" s="46"/>
    </row>
    <row r="113" spans="1:1">
      <c r="A113" s="46"/>
    </row>
    <row r="114" spans="1:1">
      <c r="A114" s="46"/>
    </row>
    <row r="115" spans="1:1">
      <c r="A115" s="46"/>
    </row>
    <row r="116" spans="1:1">
      <c r="A116" s="46"/>
    </row>
    <row r="117" spans="1:1">
      <c r="A117" s="46"/>
    </row>
    <row r="118" spans="1:1">
      <c r="A118" s="46"/>
    </row>
    <row r="119" spans="1:1">
      <c r="A119" s="46"/>
    </row>
    <row r="120" spans="1:1">
      <c r="A120" s="46"/>
    </row>
    <row r="121" spans="1:1">
      <c r="A121" s="46"/>
    </row>
    <row r="122" spans="1:1">
      <c r="A122" s="46"/>
    </row>
    <row r="123" spans="1:1">
      <c r="A123" s="46"/>
    </row>
    <row r="124" spans="1:1">
      <c r="A124" s="46"/>
    </row>
    <row r="125" spans="1:1">
      <c r="A125" s="46"/>
    </row>
    <row r="126" spans="1:1">
      <c r="A126" s="46"/>
    </row>
    <row r="127" spans="1:1">
      <c r="A127" s="46"/>
    </row>
    <row r="128" spans="1:1">
      <c r="A128" s="46"/>
    </row>
    <row r="129" spans="1:1">
      <c r="A129" s="46"/>
    </row>
    <row r="130" spans="1:1">
      <c r="A130" s="46"/>
    </row>
    <row r="131" spans="1:1">
      <c r="A131" s="46"/>
    </row>
    <row r="132" spans="1:1">
      <c r="A132" s="46"/>
    </row>
    <row r="133" spans="1:1">
      <c r="A133" s="46"/>
    </row>
    <row r="134" spans="1:1">
      <c r="A134" s="46"/>
    </row>
    <row r="135" spans="1:1">
      <c r="A135" s="46"/>
    </row>
    <row r="136" spans="1:1">
      <c r="A136" s="46"/>
    </row>
    <row r="137" spans="1:1">
      <c r="A137" s="46"/>
    </row>
    <row r="138" spans="1:1">
      <c r="A138" s="46"/>
    </row>
    <row r="139" spans="1:1">
      <c r="A139" s="46"/>
    </row>
    <row r="140" spans="1:1">
      <c r="A140" s="46"/>
    </row>
    <row r="141" spans="1:1">
      <c r="A141" s="46"/>
    </row>
    <row r="142" spans="1:1">
      <c r="A142" s="46"/>
    </row>
    <row r="143" spans="1:1">
      <c r="A143" s="46"/>
    </row>
    <row r="144" spans="1:1">
      <c r="A144" s="46"/>
    </row>
    <row r="145" spans="1:1">
      <c r="A145" s="46"/>
    </row>
    <row r="146" spans="1:1">
      <c r="A146" s="46"/>
    </row>
    <row r="147" spans="1:1">
      <c r="A147" s="46"/>
    </row>
    <row r="148" spans="1:1">
      <c r="A148" s="46"/>
    </row>
    <row r="149" spans="1:1">
      <c r="A149" s="46"/>
    </row>
    <row r="150" spans="1:1">
      <c r="A150" s="46"/>
    </row>
    <row r="151" spans="1:1">
      <c r="A151" s="46"/>
    </row>
    <row r="152" spans="1:1">
      <c r="A152" s="46"/>
    </row>
    <row r="153" spans="1:1">
      <c r="A153" s="46"/>
    </row>
    <row r="154" spans="1:1">
      <c r="A154" s="46"/>
    </row>
    <row r="155" spans="1:1">
      <c r="A155" s="46"/>
    </row>
    <row r="156" spans="1:1">
      <c r="A156" s="46"/>
    </row>
    <row r="157" spans="1:1">
      <c r="A157" s="46"/>
    </row>
    <row r="158" spans="1:1">
      <c r="A158" s="46"/>
    </row>
    <row r="159" spans="1:1">
      <c r="A159" s="46"/>
    </row>
    <row r="160" spans="1:1">
      <c r="A160" s="46"/>
    </row>
    <row r="161" spans="1:1">
      <c r="A161" s="46"/>
    </row>
    <row r="162" spans="1:1">
      <c r="A162" s="46"/>
    </row>
    <row r="163" spans="1:1">
      <c r="A163" s="46"/>
    </row>
    <row r="164" spans="1:1">
      <c r="A164" s="46"/>
    </row>
    <row r="165" spans="1:1">
      <c r="A165" s="46"/>
    </row>
    <row r="166" spans="1:1">
      <c r="A166" s="46"/>
    </row>
    <row r="167" spans="1:1">
      <c r="A167" s="46"/>
    </row>
    <row r="168" spans="1:1">
      <c r="A168" s="46"/>
    </row>
    <row r="169" spans="1:1">
      <c r="A169" s="46"/>
    </row>
    <row r="170" spans="1:1">
      <c r="A170" s="46"/>
    </row>
    <row r="171" spans="1:1">
      <c r="A171" s="46"/>
    </row>
    <row r="172" spans="1:1">
      <c r="A172" s="46"/>
    </row>
    <row r="173" spans="1:1">
      <c r="A173" s="46"/>
    </row>
    <row r="174" spans="1:1">
      <c r="A174" s="46"/>
    </row>
    <row r="175" spans="1:1">
      <c r="A175" s="46"/>
    </row>
    <row r="176" spans="1:1">
      <c r="A176" s="46"/>
    </row>
    <row r="177" spans="1:1">
      <c r="A177" s="46"/>
    </row>
    <row r="178" spans="1:1">
      <c r="A178" s="46"/>
    </row>
    <row r="179" spans="1:1">
      <c r="A179" s="46"/>
    </row>
    <row r="180" spans="1:1">
      <c r="A180" s="46"/>
    </row>
    <row r="181" spans="1:1">
      <c r="A181" s="46"/>
    </row>
    <row r="182" spans="1:1">
      <c r="A182" s="46"/>
    </row>
  </sheetData>
  <sheetProtection password="C6FB" sheet="1" formatCells="0" formatColumns="0" formatRows="0"/>
  <mergeCells count="12">
    <mergeCell ref="A1:I1"/>
    <mergeCell ref="B3:B4"/>
    <mergeCell ref="C3:C4"/>
    <mergeCell ref="D3:D4"/>
    <mergeCell ref="A2:I2"/>
    <mergeCell ref="F3:I3"/>
    <mergeCell ref="E3:E4"/>
    <mergeCell ref="C15:E15"/>
    <mergeCell ref="G15:I15"/>
    <mergeCell ref="C16:E16"/>
    <mergeCell ref="G16:I16"/>
    <mergeCell ref="A3:A4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0" firstPageNumber="9" orientation="portrait" useFirstPageNumber="1" r:id="rId1"/>
  <headerFooter alignWithMargins="0"/>
  <ignoredErrors>
    <ignoredError sqref="B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31"/>
  <sheetViews>
    <sheetView zoomScale="75" zoomScaleNormal="75" zoomScaleSheetLayoutView="75" workbookViewId="0">
      <pane ySplit="5" topLeftCell="A6" activePane="bottomLeft" state="frozen"/>
      <selection pane="bottomLeft" activeCell="D7" sqref="D7"/>
    </sheetView>
  </sheetViews>
  <sheetFormatPr defaultRowHeight="12.75"/>
  <cols>
    <col min="1" max="1" width="61" style="28" customWidth="1"/>
    <col min="2" max="2" width="13.85546875" style="28" customWidth="1"/>
    <col min="3" max="3" width="17.42578125" style="28" customWidth="1"/>
    <col min="4" max="4" width="18.28515625" style="28" customWidth="1"/>
    <col min="5" max="5" width="19.7109375" style="28" customWidth="1"/>
    <col min="6" max="6" width="18.5703125" style="28" customWidth="1"/>
    <col min="7" max="7" width="18.85546875" style="28" customWidth="1"/>
    <col min="8" max="8" width="37.42578125" style="28" customWidth="1"/>
    <col min="9" max="9" width="9.5703125" style="28" customWidth="1"/>
    <col min="10" max="16384" width="9.140625" style="28"/>
  </cols>
  <sheetData>
    <row r="1" spans="1:8" ht="25.5" customHeight="1">
      <c r="A1" s="363" t="s">
        <v>235</v>
      </c>
      <c r="B1" s="363"/>
      <c r="C1" s="363"/>
      <c r="D1" s="363"/>
      <c r="E1" s="363"/>
      <c r="F1" s="363"/>
      <c r="G1" s="363"/>
      <c r="H1" s="363"/>
    </row>
    <row r="2" spans="1:8" ht="16.5" customHeight="1"/>
    <row r="3" spans="1:8" ht="45" customHeight="1">
      <c r="A3" s="361" t="s">
        <v>280</v>
      </c>
      <c r="B3" s="361" t="s">
        <v>0</v>
      </c>
      <c r="C3" s="361" t="s">
        <v>110</v>
      </c>
      <c r="D3" s="361" t="s">
        <v>32</v>
      </c>
      <c r="E3" s="361" t="s">
        <v>111</v>
      </c>
      <c r="F3" s="364" t="s">
        <v>185</v>
      </c>
      <c r="G3" s="361" t="s">
        <v>112</v>
      </c>
      <c r="H3" s="361" t="s">
        <v>113</v>
      </c>
    </row>
    <row r="4" spans="1:8" ht="52.5" customHeight="1">
      <c r="A4" s="362"/>
      <c r="B4" s="362"/>
      <c r="C4" s="362"/>
      <c r="D4" s="362"/>
      <c r="E4" s="362"/>
      <c r="F4" s="365"/>
      <c r="G4" s="362"/>
      <c r="H4" s="362"/>
    </row>
    <row r="5" spans="1:8" s="59" customFormat="1" ht="18" customHeight="1">
      <c r="A5" s="38">
        <v>1</v>
      </c>
      <c r="B5" s="38">
        <v>2</v>
      </c>
      <c r="C5" s="38">
        <v>3</v>
      </c>
      <c r="D5" s="38">
        <v>4</v>
      </c>
      <c r="E5" s="38">
        <v>5</v>
      </c>
      <c r="F5" s="38">
        <v>6</v>
      </c>
      <c r="G5" s="38">
        <v>7</v>
      </c>
      <c r="H5" s="38">
        <v>8</v>
      </c>
    </row>
    <row r="6" spans="1:8" s="59" customFormat="1" ht="20.100000000000001" customHeight="1">
      <c r="A6" s="73" t="s">
        <v>207</v>
      </c>
      <c r="B6" s="58"/>
      <c r="C6" s="38"/>
      <c r="D6" s="38"/>
      <c r="E6" s="38"/>
      <c r="F6" s="38"/>
      <c r="G6" s="38"/>
      <c r="H6" s="38"/>
    </row>
    <row r="7" spans="1:8" ht="75">
      <c r="A7" s="7" t="s">
        <v>363</v>
      </c>
      <c r="B7" s="6">
        <v>5000</v>
      </c>
      <c r="C7" s="75" t="s">
        <v>350</v>
      </c>
      <c r="D7" s="190">
        <f>'Осн. фін. пок.'!C41*100/'Осн. фін. пок.'!C39</f>
        <v>10.14692378328742</v>
      </c>
      <c r="E7" s="191">
        <v>0.259728351194911</v>
      </c>
      <c r="F7" s="190">
        <f>'Осн. фін. пок.'!F41*100/'Осн. фін. пок.'!F39</f>
        <v>26.941431670281997</v>
      </c>
      <c r="G7" s="190">
        <f>'Осн. фін. пок.'!E41*100/'Осн. фін. пок.'!E39</f>
        <v>22.332761578044597</v>
      </c>
      <c r="H7" s="83"/>
    </row>
    <row r="8" spans="1:8" ht="63.95" customHeight="1">
      <c r="A8" s="7" t="s">
        <v>364</v>
      </c>
      <c r="B8" s="6">
        <v>5010</v>
      </c>
      <c r="C8" s="75" t="s">
        <v>350</v>
      </c>
      <c r="D8" s="190">
        <f>'Осн. фін. пок.'!C46*100/'Осн. фін. пок.'!C39</f>
        <v>-4.0404040404040407</v>
      </c>
      <c r="E8" s="191">
        <v>7.5935583701071882E-2</v>
      </c>
      <c r="F8" s="190">
        <f>'Осн. фін. пок.'!F46*100/'Осн. фін. пок.'!F39</f>
        <v>9.5010845986984815</v>
      </c>
      <c r="G8" s="190">
        <f>'Осн. фін. пок.'!E46*100/'Осн. фін. пок.'!E39</f>
        <v>5.3173241852487134</v>
      </c>
      <c r="H8" s="83"/>
    </row>
    <row r="9" spans="1:8" ht="56.25">
      <c r="A9" s="85" t="s">
        <v>370</v>
      </c>
      <c r="B9" s="6">
        <v>5020</v>
      </c>
      <c r="C9" s="75" t="s">
        <v>350</v>
      </c>
      <c r="D9" s="190">
        <f>'Осн. фін. пок.'!C52/'Осн. фін. пок.'!C78</f>
        <v>-0.10398505603985056</v>
      </c>
      <c r="E9" s="191">
        <v>3.6202185792349961E-2</v>
      </c>
      <c r="F9" s="190">
        <f>'Осн. фін. пок.'!F52/'Осн. фін. пок.'!F78</f>
        <v>5.2005943536404163E-2</v>
      </c>
      <c r="G9" s="190">
        <f>'Осн. фін. пок.'!E52/'Осн. фін. пок.'!E78</f>
        <v>6.637168141592921E-2</v>
      </c>
      <c r="H9" s="83" t="s">
        <v>351</v>
      </c>
    </row>
    <row r="10" spans="1:8" ht="56.25">
      <c r="A10" s="85" t="s">
        <v>371</v>
      </c>
      <c r="B10" s="6">
        <v>5030</v>
      </c>
      <c r="C10" s="75" t="s">
        <v>350</v>
      </c>
      <c r="D10" s="190">
        <f>'Осн. фін. пок.'!C52/'Осн. фін. пок.'!C84</f>
        <v>-0.32115384615384618</v>
      </c>
      <c r="E10" s="191">
        <v>0.1057884231536933</v>
      </c>
      <c r="F10" s="190">
        <f>'Осн. фін. пок.'!F52/'Осн. фін. пок.'!F84</f>
        <v>0.13806706114398423</v>
      </c>
      <c r="G10" s="190">
        <f>'Осн. фін. пок.'!E52/'Осн. фін. пок.'!E84</f>
        <v>0.17821782178217821</v>
      </c>
      <c r="H10" s="83"/>
    </row>
    <row r="11" spans="1:8" ht="75">
      <c r="A11" s="85" t="s">
        <v>372</v>
      </c>
      <c r="B11" s="6">
        <v>5040</v>
      </c>
      <c r="C11" s="75" t="s">
        <v>114</v>
      </c>
      <c r="D11" s="190">
        <f>'Осн. фін. пок.'!C52/'Осн. фін. пок.'!C39</f>
        <v>-7.6675849403122137E-2</v>
      </c>
      <c r="E11" s="191">
        <v>3.0374233480428871E-2</v>
      </c>
      <c r="F11" s="190">
        <f>'Осн. фін. пок.'!F52/'Осн. фін. пок.'!F39</f>
        <v>3.0368763557483729E-2</v>
      </c>
      <c r="G11" s="190">
        <f>'Осн. фін. пок.'!E52/'Осн. фін. пок.'!E39</f>
        <v>3.0874785591766724E-2</v>
      </c>
      <c r="H11" s="83" t="s">
        <v>352</v>
      </c>
    </row>
    <row r="12" spans="1:8" ht="20.100000000000001" customHeight="1">
      <c r="A12" s="73" t="s">
        <v>209</v>
      </c>
      <c r="B12" s="6"/>
      <c r="C12" s="76"/>
      <c r="D12" s="84"/>
      <c r="E12" s="156"/>
      <c r="F12" s="84"/>
      <c r="G12" s="84"/>
      <c r="H12" s="83"/>
    </row>
    <row r="13" spans="1:8" ht="63.95" customHeight="1">
      <c r="A13" s="74" t="s">
        <v>320</v>
      </c>
      <c r="B13" s="6">
        <v>5100</v>
      </c>
      <c r="C13" s="75"/>
      <c r="D13" s="190">
        <f>('Осн. фін. пок.'!C79+'Осн. фін. пок.'!C80)/'Осн. фін. пок.'!C46</f>
        <v>-12.340909090909092</v>
      </c>
      <c r="E13" s="191">
        <v>7.2679245283018679</v>
      </c>
      <c r="F13" s="190">
        <f>('Осн. фін. пок.'!F79+'Осн. фін. пок.'!F80)/'Осн. фін. пок.'!F46</f>
        <v>3.8310502283105023</v>
      </c>
      <c r="G13" s="190">
        <f>('Осн. фін. пок.'!E79+'Осн. фін. пок.'!E80)/'Осн. фін. пок.'!E46</f>
        <v>5.4903225806451612</v>
      </c>
      <c r="H13" s="83"/>
    </row>
    <row r="14" spans="1:8" s="59" customFormat="1" ht="75">
      <c r="A14" s="74" t="s">
        <v>321</v>
      </c>
      <c r="B14" s="6">
        <v>5110</v>
      </c>
      <c r="C14" s="75" t="s">
        <v>194</v>
      </c>
      <c r="D14" s="190">
        <f>'Осн. фін. пок.'!C84/('Осн. фін. пок.'!C79+'Осн. фін. пок.'!C80)</f>
        <v>0.47882136279926335</v>
      </c>
      <c r="E14" s="191">
        <v>0.52024922118380057</v>
      </c>
      <c r="F14" s="190">
        <f>'Осн. фін. пок.'!F84/('Осн. фін. пок.'!F79+'Осн. фін. пок.'!F80)</f>
        <v>0.6042908224076281</v>
      </c>
      <c r="G14" s="190">
        <f>'Осн. фін. пок.'!E84/('Осн. фін. пок.'!E79+'Осн. фін. пок.'!E80)</f>
        <v>0.59341950646298469</v>
      </c>
      <c r="H14" s="83" t="s">
        <v>353</v>
      </c>
    </row>
    <row r="15" spans="1:8" s="59" customFormat="1" ht="112.5">
      <c r="A15" s="74" t="s">
        <v>322</v>
      </c>
      <c r="B15" s="6">
        <v>5120</v>
      </c>
      <c r="C15" s="75" t="s">
        <v>194</v>
      </c>
      <c r="D15" s="190">
        <f>'Осн. фін. пок.'!C76/'Осн. фін. пок.'!C80</f>
        <v>0.19705340699815838</v>
      </c>
      <c r="E15" s="191">
        <v>0.33541017653167188</v>
      </c>
      <c r="F15" s="190">
        <f>'Осн. фін. пок.'!F76/'Осн. фін. пок.'!F80</f>
        <v>0.37425506555423121</v>
      </c>
      <c r="G15" s="190">
        <f>'Осн. фін. пок.'!E76/'Осн. фін. пок.'!E80</f>
        <v>0.85546415981198587</v>
      </c>
      <c r="H15" s="83" t="s">
        <v>355</v>
      </c>
    </row>
    <row r="16" spans="1:8" ht="20.100000000000001" customHeight="1">
      <c r="A16" s="73" t="s">
        <v>208</v>
      </c>
      <c r="B16" s="6"/>
      <c r="C16" s="75"/>
      <c r="D16" s="192"/>
      <c r="E16" s="191"/>
      <c r="F16" s="192"/>
      <c r="G16" s="192"/>
      <c r="H16" s="83"/>
    </row>
    <row r="17" spans="1:10" ht="56.25">
      <c r="A17" s="74" t="s">
        <v>323</v>
      </c>
      <c r="B17" s="6">
        <v>5200</v>
      </c>
      <c r="C17" s="75"/>
      <c r="D17" s="190">
        <f>'Осн. фін. пок.'!C69/'I. Фін результат'!C103</f>
        <v>0</v>
      </c>
      <c r="E17" s="191">
        <v>0</v>
      </c>
      <c r="F17" s="190">
        <f>'Осн. фін. пок.'!F69/'I. Фін результат'!E103</f>
        <v>0</v>
      </c>
      <c r="G17" s="190">
        <f>'Осн. фін. пок.'!E69/'I. Фін результат'!I103</f>
        <v>0</v>
      </c>
      <c r="H17" s="83"/>
    </row>
    <row r="18" spans="1:10" ht="75">
      <c r="A18" s="74" t="s">
        <v>324</v>
      </c>
      <c r="B18" s="6">
        <v>5210</v>
      </c>
      <c r="C18" s="75"/>
      <c r="D18" s="190">
        <f>'Осн. фін. пок.'!C69/'Осн. фін. пок.'!C39</f>
        <v>0</v>
      </c>
      <c r="E18" s="191">
        <v>0</v>
      </c>
      <c r="F18" s="190">
        <f>'Осн. фін. пок.'!F69/'Осн. фін. пок.'!F39</f>
        <v>0</v>
      </c>
      <c r="G18" s="190">
        <f>'Осн. фін. пок.'!E69/'Осн. фін. пок.'!E39</f>
        <v>0</v>
      </c>
      <c r="H18" s="83"/>
    </row>
    <row r="19" spans="1:10" ht="63.95" customHeight="1">
      <c r="A19" s="74" t="s">
        <v>365</v>
      </c>
      <c r="B19" s="6">
        <v>5220</v>
      </c>
      <c r="C19" s="75" t="s">
        <v>350</v>
      </c>
      <c r="D19" s="191">
        <v>0.42</v>
      </c>
      <c r="E19" s="191">
        <v>0.42</v>
      </c>
      <c r="F19" s="191">
        <v>0.42</v>
      </c>
      <c r="G19" s="191">
        <v>0.42</v>
      </c>
      <c r="H19" s="83" t="s">
        <v>354</v>
      </c>
    </row>
    <row r="20" spans="1:10" ht="20.100000000000001" customHeight="1">
      <c r="A20" s="58" t="s">
        <v>298</v>
      </c>
      <c r="B20" s="6"/>
      <c r="C20" s="75"/>
      <c r="D20" s="192"/>
      <c r="E20" s="191"/>
      <c r="F20" s="192"/>
      <c r="G20" s="192"/>
      <c r="H20" s="83"/>
    </row>
    <row r="21" spans="1:10" ht="112.5">
      <c r="A21" s="85" t="s">
        <v>366</v>
      </c>
      <c r="B21" s="6">
        <v>5300</v>
      </c>
      <c r="C21" s="75"/>
      <c r="D21" s="191"/>
      <c r="E21" s="191"/>
      <c r="F21" s="191"/>
      <c r="G21" s="191"/>
      <c r="H21" s="157"/>
    </row>
    <row r="22" spans="1:10" ht="20.100000000000001" customHeight="1">
      <c r="A22" s="158"/>
      <c r="B22" s="158"/>
      <c r="C22" s="158"/>
      <c r="D22" s="158"/>
      <c r="E22" s="158"/>
      <c r="F22" s="158"/>
      <c r="G22" s="158"/>
      <c r="H22" s="158"/>
    </row>
    <row r="23" spans="1:10" ht="20.100000000000001" customHeight="1">
      <c r="A23" s="158"/>
      <c r="B23" s="158"/>
      <c r="C23" s="158"/>
      <c r="D23" s="158"/>
      <c r="E23" s="158"/>
      <c r="F23" s="158"/>
      <c r="G23" s="158"/>
      <c r="H23" s="158"/>
    </row>
    <row r="24" spans="1:10" ht="20.100000000000001" customHeight="1">
      <c r="A24" s="158"/>
      <c r="B24" s="158"/>
      <c r="C24" s="158"/>
      <c r="D24" s="158"/>
      <c r="E24" s="158"/>
      <c r="F24" s="158"/>
      <c r="G24" s="158"/>
      <c r="H24" s="158"/>
    </row>
    <row r="25" spans="1:10" s="2" customFormat="1" ht="20.100000000000001" customHeight="1">
      <c r="A25" s="135" t="s">
        <v>276</v>
      </c>
      <c r="B25" s="135"/>
      <c r="C25" s="136"/>
      <c r="D25" s="332" t="s">
        <v>119</v>
      </c>
      <c r="E25" s="333"/>
      <c r="F25" s="333"/>
      <c r="G25" s="333"/>
      <c r="H25" s="106" t="s">
        <v>436</v>
      </c>
    </row>
    <row r="26" spans="1:10" s="1" customFormat="1" ht="20.100000000000001" customHeight="1">
      <c r="A26" s="107" t="s">
        <v>416</v>
      </c>
      <c r="B26" s="159"/>
      <c r="C26" s="106"/>
      <c r="D26" s="317" t="s">
        <v>84</v>
      </c>
      <c r="E26" s="317"/>
      <c r="F26" s="317"/>
      <c r="G26" s="317"/>
      <c r="H26" s="143" t="s">
        <v>277</v>
      </c>
      <c r="I26" s="56"/>
      <c r="J26" s="56"/>
    </row>
    <row r="27" spans="1:10">
      <c r="A27" s="158"/>
      <c r="B27" s="158"/>
      <c r="C27" s="158"/>
      <c r="D27" s="158"/>
      <c r="E27" s="158"/>
      <c r="F27" s="158"/>
      <c r="G27" s="158"/>
      <c r="H27" s="158"/>
    </row>
    <row r="28" spans="1:10">
      <c r="A28" s="158"/>
      <c r="B28" s="158"/>
      <c r="C28" s="158"/>
      <c r="D28" s="158"/>
      <c r="E28" s="158"/>
      <c r="F28" s="158"/>
      <c r="G28" s="158"/>
      <c r="H28" s="158"/>
    </row>
    <row r="29" spans="1:10">
      <c r="A29" s="158"/>
      <c r="B29" s="158"/>
      <c r="C29" s="158"/>
      <c r="D29" s="158"/>
      <c r="E29" s="158"/>
      <c r="F29" s="158"/>
      <c r="G29" s="158"/>
      <c r="H29" s="158"/>
    </row>
    <row r="30" spans="1:10">
      <c r="A30" s="158"/>
      <c r="B30" s="158"/>
      <c r="C30" s="158"/>
      <c r="D30" s="158"/>
      <c r="E30" s="158"/>
      <c r="F30" s="158"/>
      <c r="G30" s="158"/>
      <c r="H30" s="158"/>
    </row>
    <row r="31" spans="1:10">
      <c r="A31" s="158"/>
      <c r="B31" s="158"/>
      <c r="C31" s="158"/>
      <c r="D31" s="158"/>
      <c r="E31" s="158"/>
      <c r="F31" s="158"/>
      <c r="G31" s="158"/>
      <c r="H31" s="158"/>
    </row>
  </sheetData>
  <sheetProtection password="C6FB" sheet="1" formatCells="0" formatColumns="0" formatRows="0"/>
  <mergeCells count="11">
    <mergeCell ref="G3:G4"/>
    <mergeCell ref="A1:H1"/>
    <mergeCell ref="H3:H4"/>
    <mergeCell ref="D25:G25"/>
    <mergeCell ref="D26:G26"/>
    <mergeCell ref="A3:A4"/>
    <mergeCell ref="B3:B4"/>
    <mergeCell ref="C3:C4"/>
    <mergeCell ref="D3:D4"/>
    <mergeCell ref="E3:E4"/>
    <mergeCell ref="F3:F4"/>
  </mergeCells>
  <phoneticPr fontId="3" type="noConversion"/>
  <pageMargins left="0.78740157480314965" right="0.39370078740157483" top="0.59055118110236227" bottom="0.59055118110236227" header="0.27559055118110237" footer="0.31496062992125984"/>
  <pageSetup paperSize="9" scale="4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O96"/>
  <sheetViews>
    <sheetView topLeftCell="A71" zoomScale="60" zoomScaleNormal="75" zoomScaleSheetLayoutView="75" workbookViewId="0">
      <selection activeCell="A51" sqref="A51:O84"/>
    </sheetView>
  </sheetViews>
  <sheetFormatPr defaultRowHeight="18.75"/>
  <cols>
    <col min="1" max="1" width="44.85546875" style="1" customWidth="1"/>
    <col min="2" max="2" width="13.5703125" style="16" customWidth="1"/>
    <col min="3" max="3" width="12.7109375" style="1" customWidth="1"/>
    <col min="4" max="4" width="16.140625" style="1" customWidth="1"/>
    <col min="5" max="5" width="15.42578125" style="1" customWidth="1"/>
    <col min="6" max="6" width="16.5703125" style="1" customWidth="1"/>
    <col min="7" max="7" width="15.28515625" style="1" customWidth="1"/>
    <col min="8" max="8" width="16.5703125" style="1" customWidth="1"/>
    <col min="9" max="9" width="16.140625" style="1" customWidth="1"/>
    <col min="10" max="10" width="16.42578125" style="1" customWidth="1"/>
    <col min="11" max="11" width="16.5703125" style="1" customWidth="1"/>
    <col min="12" max="12" width="16.85546875" style="1" customWidth="1"/>
    <col min="13" max="15" width="16.7109375" style="1" customWidth="1"/>
    <col min="16" max="16384" width="9.140625" style="1"/>
  </cols>
  <sheetData>
    <row r="1" spans="1:15">
      <c r="A1" s="366" t="s">
        <v>137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>
      <c r="A2" s="366" t="s">
        <v>433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</row>
    <row r="3" spans="1:15">
      <c r="A3" s="317" t="s">
        <v>434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</row>
    <row r="4" spans="1:15" ht="20.100000000000001" customHeight="1">
      <c r="A4" s="367" t="s">
        <v>149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</row>
    <row r="5" spans="1:15" ht="21.95" customHeight="1">
      <c r="A5" s="368" t="s">
        <v>98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</row>
    <row r="6" spans="1:15" ht="10.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ht="16.5" customHeight="1">
      <c r="A7" s="369" t="s">
        <v>356</v>
      </c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</row>
    <row r="8" spans="1:15" ht="10.5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s="2" customFormat="1" ht="40.5" customHeight="1">
      <c r="A9" s="319" t="s">
        <v>280</v>
      </c>
      <c r="B9" s="319"/>
      <c r="C9" s="319"/>
      <c r="D9" s="320" t="s">
        <v>151</v>
      </c>
      <c r="E9" s="320"/>
      <c r="F9" s="320" t="s">
        <v>32</v>
      </c>
      <c r="G9" s="320"/>
      <c r="H9" s="320" t="s">
        <v>70</v>
      </c>
      <c r="I9" s="320"/>
      <c r="J9" s="320" t="s">
        <v>152</v>
      </c>
      <c r="K9" s="320"/>
      <c r="L9" s="320" t="s">
        <v>301</v>
      </c>
      <c r="M9" s="320"/>
      <c r="N9" s="320" t="s">
        <v>302</v>
      </c>
      <c r="O9" s="320"/>
    </row>
    <row r="10" spans="1:15" s="2" customFormat="1" ht="18" customHeight="1">
      <c r="A10" s="319">
        <v>1</v>
      </c>
      <c r="B10" s="319"/>
      <c r="C10" s="319"/>
      <c r="D10" s="320">
        <v>2</v>
      </c>
      <c r="E10" s="320"/>
      <c r="F10" s="320">
        <v>3</v>
      </c>
      <c r="G10" s="320"/>
      <c r="H10" s="320">
        <v>4</v>
      </c>
      <c r="I10" s="320"/>
      <c r="J10" s="320">
        <v>5</v>
      </c>
      <c r="K10" s="320"/>
      <c r="L10" s="320">
        <v>6</v>
      </c>
      <c r="M10" s="320"/>
      <c r="N10" s="320">
        <v>7</v>
      </c>
      <c r="O10" s="320"/>
    </row>
    <row r="11" spans="1:15" s="2" customFormat="1" ht="20.100000000000001" customHeight="1">
      <c r="A11" s="324" t="s">
        <v>150</v>
      </c>
      <c r="B11" s="325"/>
      <c r="C11" s="325"/>
      <c r="D11" s="325"/>
      <c r="E11" s="325"/>
      <c r="F11" s="325"/>
      <c r="G11" s="325"/>
      <c r="H11" s="325"/>
      <c r="I11" s="325"/>
      <c r="J11" s="325"/>
      <c r="K11" s="326"/>
      <c r="L11" s="372"/>
      <c r="M11" s="373"/>
      <c r="N11" s="372"/>
      <c r="O11" s="373"/>
    </row>
    <row r="12" spans="1:15" s="2" customFormat="1" ht="20.100000000000001" customHeight="1">
      <c r="A12" s="374" t="s">
        <v>325</v>
      </c>
      <c r="B12" s="374"/>
      <c r="C12" s="374"/>
      <c r="D12" s="370">
        <v>2</v>
      </c>
      <c r="E12" s="371"/>
      <c r="F12" s="370">
        <v>1</v>
      </c>
      <c r="G12" s="371"/>
      <c r="H12" s="370">
        <v>2</v>
      </c>
      <c r="I12" s="371"/>
      <c r="J12" s="370">
        <v>2</v>
      </c>
      <c r="K12" s="371"/>
      <c r="L12" s="372">
        <f>J12/H12*100%</f>
        <v>1</v>
      </c>
      <c r="M12" s="373"/>
      <c r="N12" s="372">
        <f>J12/F12*100%</f>
        <v>2</v>
      </c>
      <c r="O12" s="373"/>
    </row>
    <row r="13" spans="1:15" s="2" customFormat="1" ht="20.100000000000001" customHeight="1">
      <c r="A13" s="374" t="s">
        <v>326</v>
      </c>
      <c r="B13" s="374"/>
      <c r="C13" s="374"/>
      <c r="D13" s="370"/>
      <c r="E13" s="371"/>
      <c r="F13" s="370"/>
      <c r="G13" s="371"/>
      <c r="H13" s="370"/>
      <c r="I13" s="371"/>
      <c r="J13" s="370"/>
      <c r="K13" s="371"/>
      <c r="L13" s="375" t="e">
        <f t="shared" ref="L13:L33" si="0">J13/H13*100%</f>
        <v>#DIV/0!</v>
      </c>
      <c r="M13" s="376"/>
      <c r="N13" s="375" t="e">
        <f t="shared" ref="N13:N33" si="1">J13/F13*100%</f>
        <v>#DIV/0!</v>
      </c>
      <c r="O13" s="376"/>
    </row>
    <row r="14" spans="1:15" s="2" customFormat="1" ht="20.100000000000001" customHeight="1">
      <c r="A14" s="374" t="s">
        <v>327</v>
      </c>
      <c r="B14" s="374"/>
      <c r="C14" s="374"/>
      <c r="D14" s="370">
        <v>12</v>
      </c>
      <c r="E14" s="371"/>
      <c r="F14" s="370">
        <v>9</v>
      </c>
      <c r="G14" s="371"/>
      <c r="H14" s="370">
        <v>12</v>
      </c>
      <c r="I14" s="371"/>
      <c r="J14" s="370">
        <v>12</v>
      </c>
      <c r="K14" s="371"/>
      <c r="L14" s="372">
        <f t="shared" si="0"/>
        <v>1</v>
      </c>
      <c r="M14" s="373"/>
      <c r="N14" s="372">
        <f t="shared" si="1"/>
        <v>1.3333333333333333</v>
      </c>
      <c r="O14" s="373"/>
    </row>
    <row r="15" spans="1:15" s="2" customFormat="1" ht="20.100000000000001" customHeight="1">
      <c r="A15" s="374" t="s">
        <v>328</v>
      </c>
      <c r="B15" s="374"/>
      <c r="C15" s="374"/>
      <c r="D15" s="370">
        <v>2</v>
      </c>
      <c r="E15" s="371"/>
      <c r="F15" s="370">
        <v>2</v>
      </c>
      <c r="G15" s="371"/>
      <c r="H15" s="370">
        <v>2</v>
      </c>
      <c r="I15" s="371"/>
      <c r="J15" s="370">
        <v>3</v>
      </c>
      <c r="K15" s="371"/>
      <c r="L15" s="372">
        <f t="shared" si="0"/>
        <v>1.5</v>
      </c>
      <c r="M15" s="373"/>
      <c r="N15" s="372">
        <f t="shared" si="1"/>
        <v>1.5</v>
      </c>
      <c r="O15" s="373"/>
    </row>
    <row r="16" spans="1:15" s="2" customFormat="1" ht="20.100000000000001" customHeight="1">
      <c r="A16" s="374" t="s">
        <v>329</v>
      </c>
      <c r="B16" s="374"/>
      <c r="C16" s="374"/>
      <c r="D16" s="370">
        <v>1</v>
      </c>
      <c r="E16" s="371"/>
      <c r="F16" s="370">
        <v>1</v>
      </c>
      <c r="G16" s="371"/>
      <c r="H16" s="370">
        <v>1</v>
      </c>
      <c r="I16" s="371"/>
      <c r="J16" s="370">
        <v>1</v>
      </c>
      <c r="K16" s="371"/>
      <c r="L16" s="372">
        <f t="shared" si="0"/>
        <v>1</v>
      </c>
      <c r="M16" s="373"/>
      <c r="N16" s="372">
        <f t="shared" si="1"/>
        <v>1</v>
      </c>
      <c r="O16" s="373"/>
    </row>
    <row r="17" spans="1:15" s="2" customFormat="1" ht="20.100000000000001" customHeight="1">
      <c r="A17" s="374" t="s">
        <v>330</v>
      </c>
      <c r="B17" s="374"/>
      <c r="C17" s="374"/>
      <c r="D17" s="370"/>
      <c r="E17" s="371"/>
      <c r="F17" s="370"/>
      <c r="G17" s="371"/>
      <c r="H17" s="370"/>
      <c r="I17" s="371"/>
      <c r="J17" s="370"/>
      <c r="K17" s="371"/>
      <c r="L17" s="372"/>
      <c r="M17" s="373"/>
      <c r="N17" s="372"/>
      <c r="O17" s="373"/>
    </row>
    <row r="18" spans="1:15" s="2" customFormat="1" ht="20.100000000000001" customHeight="1">
      <c r="A18" s="324" t="s">
        <v>299</v>
      </c>
      <c r="B18" s="325"/>
      <c r="C18" s="325"/>
      <c r="D18" s="325"/>
      <c r="E18" s="325"/>
      <c r="F18" s="325"/>
      <c r="G18" s="325"/>
      <c r="H18" s="325"/>
      <c r="I18" s="325"/>
      <c r="J18" s="325"/>
      <c r="K18" s="326"/>
      <c r="L18" s="372"/>
      <c r="M18" s="373"/>
      <c r="N18" s="372"/>
      <c r="O18" s="373"/>
    </row>
    <row r="19" spans="1:15" s="2" customFormat="1" ht="20.100000000000001" customHeight="1">
      <c r="A19" s="374" t="s">
        <v>278</v>
      </c>
      <c r="B19" s="374"/>
      <c r="C19" s="374"/>
      <c r="D19" s="370">
        <v>118</v>
      </c>
      <c r="E19" s="371"/>
      <c r="F19" s="370">
        <v>119</v>
      </c>
      <c r="G19" s="371"/>
      <c r="H19" s="370">
        <v>123</v>
      </c>
      <c r="I19" s="371"/>
      <c r="J19" s="378">
        <f>штатка!I51/1000</f>
        <v>180.18</v>
      </c>
      <c r="K19" s="379"/>
      <c r="L19" s="372">
        <f t="shared" si="0"/>
        <v>1.4648780487804878</v>
      </c>
      <c r="M19" s="373"/>
      <c r="N19" s="372">
        <f t="shared" si="1"/>
        <v>1.5141176470588236</v>
      </c>
      <c r="O19" s="373"/>
    </row>
    <row r="20" spans="1:15" s="2" customFormat="1" ht="20.100000000000001" customHeight="1">
      <c r="A20" s="374" t="s">
        <v>303</v>
      </c>
      <c r="B20" s="374"/>
      <c r="C20" s="374"/>
      <c r="D20" s="370">
        <v>165</v>
      </c>
      <c r="E20" s="371"/>
      <c r="F20" s="370">
        <v>165</v>
      </c>
      <c r="G20" s="371"/>
      <c r="H20" s="370">
        <v>183</v>
      </c>
      <c r="I20" s="371"/>
      <c r="J20" s="378">
        <f>штатка!I52/1000</f>
        <v>154.578</v>
      </c>
      <c r="K20" s="379"/>
      <c r="L20" s="372">
        <f t="shared" si="0"/>
        <v>0.84468852459016397</v>
      </c>
      <c r="M20" s="373"/>
      <c r="N20" s="372">
        <f t="shared" si="1"/>
        <v>0.93683636363636369</v>
      </c>
      <c r="O20" s="373"/>
    </row>
    <row r="21" spans="1:15" s="2" customFormat="1" ht="20.100000000000001" customHeight="1">
      <c r="A21" s="374" t="s">
        <v>279</v>
      </c>
      <c r="B21" s="374"/>
      <c r="C21" s="374"/>
      <c r="D21" s="370">
        <v>606</v>
      </c>
      <c r="E21" s="371"/>
      <c r="F21" s="370">
        <v>530</v>
      </c>
      <c r="G21" s="371"/>
      <c r="H21" s="370">
        <v>672</v>
      </c>
      <c r="I21" s="371"/>
      <c r="J21" s="378">
        <f>штатка!I53/1000</f>
        <v>896.28</v>
      </c>
      <c r="K21" s="379"/>
      <c r="L21" s="372">
        <f t="shared" si="0"/>
        <v>1.33375</v>
      </c>
      <c r="M21" s="373"/>
      <c r="N21" s="372">
        <f t="shared" si="1"/>
        <v>1.6910943396226414</v>
      </c>
      <c r="O21" s="373"/>
    </row>
    <row r="22" spans="1:15" s="2" customFormat="1" ht="20.100000000000001" customHeight="1">
      <c r="A22" s="324" t="s">
        <v>300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6"/>
      <c r="L22" s="372"/>
      <c r="M22" s="373"/>
      <c r="N22" s="372"/>
      <c r="O22" s="373"/>
    </row>
    <row r="23" spans="1:15" s="2" customFormat="1" ht="20.100000000000001" customHeight="1">
      <c r="A23" s="374" t="s">
        <v>278</v>
      </c>
      <c r="B23" s="374"/>
      <c r="C23" s="374"/>
      <c r="D23" s="370">
        <v>145</v>
      </c>
      <c r="E23" s="371"/>
      <c r="F23" s="370">
        <v>145</v>
      </c>
      <c r="G23" s="371"/>
      <c r="H23" s="370">
        <v>149</v>
      </c>
      <c r="I23" s="371"/>
      <c r="J23" s="370">
        <f>штатка!I56/1000</f>
        <v>219.81960000000001</v>
      </c>
      <c r="K23" s="371"/>
      <c r="L23" s="372">
        <f t="shared" si="0"/>
        <v>1.4752993288590606</v>
      </c>
      <c r="M23" s="373"/>
      <c r="N23" s="372">
        <f t="shared" si="1"/>
        <v>1.5159972413793104</v>
      </c>
      <c r="O23" s="373"/>
    </row>
    <row r="24" spans="1:15" s="2" customFormat="1" ht="20.100000000000001" customHeight="1">
      <c r="A24" s="374" t="s">
        <v>303</v>
      </c>
      <c r="B24" s="374"/>
      <c r="C24" s="374"/>
      <c r="D24" s="370">
        <v>201</v>
      </c>
      <c r="E24" s="371"/>
      <c r="F24" s="370">
        <v>201</v>
      </c>
      <c r="G24" s="371"/>
      <c r="H24" s="370">
        <v>224</v>
      </c>
      <c r="I24" s="371"/>
      <c r="J24" s="370">
        <f>штатка!I57/1000</f>
        <v>188.58516</v>
      </c>
      <c r="K24" s="371"/>
      <c r="L24" s="372">
        <f t="shared" si="0"/>
        <v>0.84189803571428568</v>
      </c>
      <c r="M24" s="373"/>
      <c r="N24" s="372">
        <f t="shared" si="1"/>
        <v>0.93823462686567161</v>
      </c>
      <c r="O24" s="373"/>
    </row>
    <row r="25" spans="1:15" s="2" customFormat="1" ht="20.100000000000001" customHeight="1">
      <c r="A25" s="374" t="s">
        <v>279</v>
      </c>
      <c r="B25" s="374"/>
      <c r="C25" s="374"/>
      <c r="D25" s="370">
        <v>733</v>
      </c>
      <c r="E25" s="371"/>
      <c r="F25" s="370">
        <v>646</v>
      </c>
      <c r="G25" s="371"/>
      <c r="H25" s="370">
        <v>813</v>
      </c>
      <c r="I25" s="371"/>
      <c r="J25" s="370">
        <f>штатка!I58/1000</f>
        <v>1085.7153000000001</v>
      </c>
      <c r="K25" s="371"/>
      <c r="L25" s="372">
        <f t="shared" si="0"/>
        <v>1.3354431734317345</v>
      </c>
      <c r="M25" s="373"/>
      <c r="N25" s="372">
        <f t="shared" si="1"/>
        <v>1.6806738390092881</v>
      </c>
      <c r="O25" s="373"/>
    </row>
    <row r="26" spans="1:15" s="2" customFormat="1" ht="38.25" customHeight="1">
      <c r="A26" s="324" t="s">
        <v>331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6"/>
      <c r="L26" s="372"/>
      <c r="M26" s="373"/>
      <c r="N26" s="372"/>
      <c r="O26" s="373"/>
    </row>
    <row r="27" spans="1:15" s="2" customFormat="1" ht="20.100000000000001" customHeight="1">
      <c r="A27" s="374" t="s">
        <v>278</v>
      </c>
      <c r="B27" s="374"/>
      <c r="C27" s="374"/>
      <c r="D27" s="370">
        <v>9872</v>
      </c>
      <c r="E27" s="371"/>
      <c r="F27" s="370">
        <v>9917</v>
      </c>
      <c r="G27" s="371"/>
      <c r="H27" s="370">
        <v>10232</v>
      </c>
      <c r="I27" s="371"/>
      <c r="J27" s="370">
        <f>штатка!I61</f>
        <v>15015</v>
      </c>
      <c r="K27" s="371"/>
      <c r="L27" s="372">
        <f t="shared" si="0"/>
        <v>1.4674550430023456</v>
      </c>
      <c r="M27" s="373"/>
      <c r="N27" s="372">
        <f t="shared" si="1"/>
        <v>1.5140667540586872</v>
      </c>
      <c r="O27" s="373"/>
    </row>
    <row r="28" spans="1:15" s="2" customFormat="1" ht="20.100000000000001" customHeight="1">
      <c r="A28" s="374" t="s">
        <v>303</v>
      </c>
      <c r="B28" s="374"/>
      <c r="C28" s="374"/>
      <c r="D28" s="370">
        <v>3462</v>
      </c>
      <c r="E28" s="371"/>
      <c r="F28" s="370">
        <v>3438</v>
      </c>
      <c r="G28" s="371"/>
      <c r="H28" s="370">
        <v>4417</v>
      </c>
      <c r="I28" s="371"/>
      <c r="J28" s="370">
        <f>штатка!I62</f>
        <v>6097.2</v>
      </c>
      <c r="K28" s="371"/>
      <c r="L28" s="372">
        <f t="shared" si="0"/>
        <v>1.3803939325333936</v>
      </c>
      <c r="M28" s="373"/>
      <c r="N28" s="372">
        <f t="shared" si="1"/>
        <v>1.7734729493891797</v>
      </c>
      <c r="O28" s="373"/>
    </row>
    <row r="29" spans="1:15" s="2" customFormat="1" ht="20.100000000000001" customHeight="1">
      <c r="A29" s="374" t="s">
        <v>279</v>
      </c>
      <c r="B29" s="374"/>
      <c r="C29" s="374"/>
      <c r="D29" s="370">
        <v>2698</v>
      </c>
      <c r="E29" s="371"/>
      <c r="F29" s="370">
        <v>5521</v>
      </c>
      <c r="G29" s="371"/>
      <c r="H29" s="370">
        <v>4312</v>
      </c>
      <c r="I29" s="371"/>
      <c r="J29" s="370">
        <f>штатка!I63</f>
        <v>4979.333333333333</v>
      </c>
      <c r="K29" s="371"/>
      <c r="L29" s="372">
        <f t="shared" si="0"/>
        <v>1.1547619047619047</v>
      </c>
      <c r="M29" s="373"/>
      <c r="N29" s="372">
        <f t="shared" si="1"/>
        <v>0.90188975427156914</v>
      </c>
      <c r="O29" s="373"/>
    </row>
    <row r="30" spans="1:15" s="2" customFormat="1" ht="20.100000000000001" customHeight="1">
      <c r="A30" s="324" t="s">
        <v>332</v>
      </c>
      <c r="B30" s="325"/>
      <c r="C30" s="325"/>
      <c r="D30" s="325"/>
      <c r="E30" s="325"/>
      <c r="F30" s="325"/>
      <c r="G30" s="325"/>
      <c r="H30" s="325"/>
      <c r="I30" s="325"/>
      <c r="J30" s="325"/>
      <c r="K30" s="326"/>
      <c r="L30" s="372"/>
      <c r="M30" s="373"/>
      <c r="N30" s="372"/>
      <c r="O30" s="373"/>
    </row>
    <row r="31" spans="1:15" s="2" customFormat="1" ht="20.100000000000001" customHeight="1">
      <c r="A31" s="374" t="s">
        <v>278</v>
      </c>
      <c r="B31" s="374"/>
      <c r="C31" s="374"/>
      <c r="D31" s="370">
        <v>9872</v>
      </c>
      <c r="E31" s="371"/>
      <c r="F31" s="370">
        <v>12083</v>
      </c>
      <c r="G31" s="371"/>
      <c r="H31" s="370">
        <v>10232</v>
      </c>
      <c r="I31" s="371"/>
      <c r="J31" s="370">
        <f>штатка!I66</f>
        <v>15015</v>
      </c>
      <c r="K31" s="371"/>
      <c r="L31" s="372">
        <f t="shared" si="0"/>
        <v>1.4674550430023456</v>
      </c>
      <c r="M31" s="373"/>
      <c r="N31" s="372">
        <f t="shared" si="1"/>
        <v>1.2426549697922702</v>
      </c>
      <c r="O31" s="373"/>
    </row>
    <row r="32" spans="1:15" s="2" customFormat="1" ht="20.100000000000001" customHeight="1">
      <c r="A32" s="374" t="s">
        <v>303</v>
      </c>
      <c r="B32" s="374"/>
      <c r="C32" s="374"/>
      <c r="D32" s="370">
        <v>3936</v>
      </c>
      <c r="E32" s="371"/>
      <c r="F32" s="370">
        <v>4188</v>
      </c>
      <c r="G32" s="371"/>
      <c r="H32" s="370">
        <v>4417</v>
      </c>
      <c r="I32" s="371"/>
      <c r="J32" s="370">
        <f>штатка!I67</f>
        <v>6097.2</v>
      </c>
      <c r="K32" s="371"/>
      <c r="L32" s="372">
        <f t="shared" si="0"/>
        <v>1.3803939325333936</v>
      </c>
      <c r="M32" s="373"/>
      <c r="N32" s="372">
        <f t="shared" si="1"/>
        <v>1.4558739255014326</v>
      </c>
      <c r="O32" s="373"/>
    </row>
    <row r="33" spans="1:15" s="2" customFormat="1" ht="20.100000000000001" customHeight="1">
      <c r="A33" s="374" t="s">
        <v>279</v>
      </c>
      <c r="B33" s="374"/>
      <c r="C33" s="374"/>
      <c r="D33" s="370">
        <v>3885</v>
      </c>
      <c r="E33" s="371"/>
      <c r="F33" s="370">
        <v>6729</v>
      </c>
      <c r="G33" s="371"/>
      <c r="H33" s="370">
        <v>4312</v>
      </c>
      <c r="I33" s="371"/>
      <c r="J33" s="370">
        <f>штатка!I68</f>
        <v>4979.333333333333</v>
      </c>
      <c r="K33" s="371"/>
      <c r="L33" s="372">
        <f t="shared" si="0"/>
        <v>1.1547619047619047</v>
      </c>
      <c r="M33" s="373"/>
      <c r="N33" s="372">
        <f t="shared" si="1"/>
        <v>0.7399811760043592</v>
      </c>
      <c r="O33" s="373"/>
    </row>
    <row r="34" spans="1:15" ht="10.5" customHeight="1">
      <c r="A34" s="19"/>
      <c r="B34" s="19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ht="20.100000000000001" customHeight="1">
      <c r="A35" s="377" t="s">
        <v>333</v>
      </c>
      <c r="B35" s="377"/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</row>
    <row r="36" spans="1:15" ht="15" customHeight="1">
      <c r="A36" s="20"/>
      <c r="B36" s="20"/>
      <c r="C36" s="20"/>
      <c r="D36" s="20"/>
      <c r="E36" s="20"/>
      <c r="F36" s="20"/>
      <c r="G36" s="20"/>
      <c r="H36" s="20"/>
      <c r="I36" s="20"/>
    </row>
    <row r="37" spans="1:15" ht="21.95" customHeight="1">
      <c r="A37" s="383" t="s">
        <v>334</v>
      </c>
      <c r="B37" s="383"/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</row>
    <row r="38" spans="1:15" ht="10.5" customHeight="1"/>
    <row r="39" spans="1:15" ht="60" customHeight="1">
      <c r="A39" s="36" t="s">
        <v>153</v>
      </c>
      <c r="B39" s="384" t="s">
        <v>335</v>
      </c>
      <c r="C39" s="385"/>
      <c r="D39" s="385"/>
      <c r="E39" s="385"/>
      <c r="F39" s="350" t="s">
        <v>92</v>
      </c>
      <c r="G39" s="350"/>
      <c r="H39" s="350"/>
      <c r="I39" s="350"/>
      <c r="J39" s="350"/>
      <c r="K39" s="350"/>
      <c r="L39" s="350"/>
      <c r="M39" s="350"/>
      <c r="N39" s="350"/>
      <c r="O39" s="350"/>
    </row>
    <row r="40" spans="1:15" ht="18" customHeight="1">
      <c r="A40" s="36">
        <v>1</v>
      </c>
      <c r="B40" s="384">
        <v>2</v>
      </c>
      <c r="C40" s="385"/>
      <c r="D40" s="385"/>
      <c r="E40" s="385"/>
      <c r="F40" s="350">
        <v>3</v>
      </c>
      <c r="G40" s="350"/>
      <c r="H40" s="350"/>
      <c r="I40" s="350"/>
      <c r="J40" s="350"/>
      <c r="K40" s="350"/>
      <c r="L40" s="350"/>
      <c r="M40" s="350"/>
      <c r="N40" s="350"/>
      <c r="O40" s="350"/>
    </row>
    <row r="41" spans="1:15" ht="20.100000000000001" customHeight="1">
      <c r="A41" s="160"/>
      <c r="B41" s="381"/>
      <c r="C41" s="382"/>
      <c r="D41" s="382"/>
      <c r="E41" s="382"/>
      <c r="F41" s="380"/>
      <c r="G41" s="380"/>
      <c r="H41" s="380"/>
      <c r="I41" s="380"/>
      <c r="J41" s="380"/>
      <c r="K41" s="380"/>
      <c r="L41" s="380"/>
      <c r="M41" s="380"/>
      <c r="N41" s="380"/>
      <c r="O41" s="380"/>
    </row>
    <row r="42" spans="1:15" ht="20.100000000000001" customHeight="1">
      <c r="A42" s="160"/>
      <c r="B42" s="381"/>
      <c r="C42" s="382"/>
      <c r="D42" s="382"/>
      <c r="E42" s="382"/>
      <c r="F42" s="380"/>
      <c r="G42" s="380"/>
      <c r="H42" s="380"/>
      <c r="I42" s="380"/>
      <c r="J42" s="380"/>
      <c r="K42" s="380"/>
      <c r="L42" s="380"/>
      <c r="M42" s="380"/>
      <c r="N42" s="380"/>
      <c r="O42" s="380"/>
    </row>
    <row r="43" spans="1:15" ht="20.100000000000001" customHeight="1">
      <c r="A43" s="160"/>
      <c r="B43" s="381"/>
      <c r="C43" s="382"/>
      <c r="D43" s="382"/>
      <c r="E43" s="382"/>
      <c r="F43" s="380"/>
      <c r="G43" s="380"/>
      <c r="H43" s="380"/>
      <c r="I43" s="380"/>
      <c r="J43" s="380"/>
      <c r="K43" s="380"/>
      <c r="L43" s="380"/>
      <c r="M43" s="380"/>
      <c r="N43" s="380"/>
      <c r="O43" s="380"/>
    </row>
    <row r="44" spans="1:15" ht="20.100000000000001" customHeight="1">
      <c r="A44" s="160"/>
      <c r="B44" s="381"/>
      <c r="C44" s="382"/>
      <c r="D44" s="382"/>
      <c r="E44" s="382"/>
      <c r="F44" s="380"/>
      <c r="G44" s="380"/>
      <c r="H44" s="380"/>
      <c r="I44" s="380"/>
      <c r="J44" s="380"/>
      <c r="K44" s="380"/>
      <c r="L44" s="380"/>
      <c r="M44" s="380"/>
      <c r="N44" s="380"/>
      <c r="O44" s="380"/>
    </row>
    <row r="45" spans="1:15" ht="20.100000000000001" customHeight="1">
      <c r="A45" s="160"/>
      <c r="B45" s="381"/>
      <c r="C45" s="382"/>
      <c r="D45" s="382"/>
      <c r="E45" s="382"/>
      <c r="F45" s="380"/>
      <c r="G45" s="380"/>
      <c r="H45" s="380"/>
      <c r="I45" s="380"/>
      <c r="J45" s="380"/>
      <c r="K45" s="380"/>
      <c r="L45" s="380"/>
      <c r="M45" s="380"/>
      <c r="N45" s="380"/>
      <c r="O45" s="380"/>
    </row>
    <row r="46" spans="1:15" ht="20.100000000000001" customHeight="1">
      <c r="A46" s="160"/>
      <c r="B46" s="381"/>
      <c r="C46" s="382"/>
      <c r="D46" s="382"/>
      <c r="E46" s="382"/>
      <c r="F46" s="380"/>
      <c r="G46" s="380"/>
      <c r="H46" s="380"/>
      <c r="I46" s="380"/>
      <c r="J46" s="380"/>
      <c r="K46" s="380"/>
      <c r="L46" s="380"/>
      <c r="M46" s="380"/>
      <c r="N46" s="380"/>
      <c r="O46" s="380"/>
    </row>
    <row r="47" spans="1:15" ht="20.100000000000001" customHeight="1">
      <c r="A47" s="160"/>
      <c r="B47" s="381"/>
      <c r="C47" s="382"/>
      <c r="D47" s="382"/>
      <c r="E47" s="382"/>
      <c r="F47" s="380"/>
      <c r="G47" s="380"/>
      <c r="H47" s="380"/>
      <c r="I47" s="380"/>
      <c r="J47" s="380"/>
      <c r="K47" s="380"/>
      <c r="L47" s="380"/>
      <c r="M47" s="380"/>
      <c r="N47" s="380"/>
      <c r="O47" s="380"/>
    </row>
    <row r="48" spans="1:15" ht="20.100000000000001" customHeight="1">
      <c r="A48" s="160"/>
      <c r="B48" s="381"/>
      <c r="C48" s="382"/>
      <c r="D48" s="382"/>
      <c r="E48" s="382"/>
      <c r="F48" s="381"/>
      <c r="G48" s="382"/>
      <c r="H48" s="382"/>
      <c r="I48" s="382"/>
      <c r="J48" s="382"/>
      <c r="K48" s="382"/>
      <c r="L48" s="382"/>
      <c r="M48" s="382"/>
      <c r="N48" s="382"/>
      <c r="O48" s="388"/>
    </row>
    <row r="49" spans="1:15" ht="20.100000000000001" customHeight="1">
      <c r="A49" s="160"/>
      <c r="B49" s="381"/>
      <c r="C49" s="382"/>
      <c r="D49" s="382"/>
      <c r="E49" s="388"/>
      <c r="F49" s="381"/>
      <c r="G49" s="382"/>
      <c r="H49" s="382"/>
      <c r="I49" s="382"/>
      <c r="J49" s="382"/>
      <c r="K49" s="382"/>
      <c r="L49" s="382"/>
      <c r="M49" s="382"/>
      <c r="N49" s="382"/>
      <c r="O49" s="388"/>
    </row>
    <row r="50" spans="1:15" ht="20.100000000000001" customHeight="1">
      <c r="A50" s="67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</row>
    <row r="51" spans="1:15" ht="21.95" customHeight="1">
      <c r="A51" s="389" t="s">
        <v>257</v>
      </c>
      <c r="B51" s="389"/>
      <c r="C51" s="389"/>
      <c r="D51" s="389"/>
      <c r="E51" s="389"/>
      <c r="F51" s="389"/>
      <c r="G51" s="389"/>
      <c r="H51" s="389"/>
      <c r="I51" s="389"/>
      <c r="J51" s="389"/>
    </row>
    <row r="52" spans="1:15" ht="20.100000000000001" customHeight="1">
      <c r="A52" s="15"/>
    </row>
    <row r="53" spans="1:15" ht="63.95" customHeight="1">
      <c r="A53" s="353" t="s">
        <v>280</v>
      </c>
      <c r="B53" s="353" t="s">
        <v>336</v>
      </c>
      <c r="C53" s="353"/>
      <c r="D53" s="390" t="s">
        <v>412</v>
      </c>
      <c r="E53" s="390"/>
      <c r="F53" s="390"/>
      <c r="G53" s="390" t="s">
        <v>413</v>
      </c>
      <c r="H53" s="390"/>
      <c r="I53" s="390"/>
      <c r="J53" s="391" t="s">
        <v>414</v>
      </c>
      <c r="K53" s="392"/>
      <c r="L53" s="393"/>
      <c r="M53" s="390" t="s">
        <v>415</v>
      </c>
      <c r="N53" s="390"/>
      <c r="O53" s="390"/>
    </row>
    <row r="54" spans="1:15" ht="168.75">
      <c r="A54" s="353"/>
      <c r="B54" s="6" t="s">
        <v>78</v>
      </c>
      <c r="C54" s="6" t="s">
        <v>79</v>
      </c>
      <c r="D54" s="6" t="s">
        <v>337</v>
      </c>
      <c r="E54" s="6" t="s">
        <v>338</v>
      </c>
      <c r="F54" s="6" t="s">
        <v>339</v>
      </c>
      <c r="G54" s="6" t="s">
        <v>337</v>
      </c>
      <c r="H54" s="6" t="s">
        <v>338</v>
      </c>
      <c r="I54" s="6" t="s">
        <v>339</v>
      </c>
      <c r="J54" s="6" t="s">
        <v>337</v>
      </c>
      <c r="K54" s="6" t="s">
        <v>338</v>
      </c>
      <c r="L54" s="6" t="s">
        <v>339</v>
      </c>
      <c r="M54" s="6" t="s">
        <v>337</v>
      </c>
      <c r="N54" s="6" t="s">
        <v>338</v>
      </c>
      <c r="O54" s="6" t="s">
        <v>339</v>
      </c>
    </row>
    <row r="55" spans="1:15" ht="18" customHeight="1">
      <c r="A55" s="6">
        <v>1</v>
      </c>
      <c r="B55" s="6">
        <v>2</v>
      </c>
      <c r="C55" s="6">
        <v>3</v>
      </c>
      <c r="D55" s="6">
        <v>4</v>
      </c>
      <c r="E55" s="6">
        <v>5</v>
      </c>
      <c r="F55" s="6">
        <v>6</v>
      </c>
      <c r="G55" s="6">
        <v>7</v>
      </c>
      <c r="H55" s="5">
        <v>8</v>
      </c>
      <c r="I55" s="5">
        <v>9</v>
      </c>
      <c r="J55" s="5">
        <v>10</v>
      </c>
      <c r="K55" s="5">
        <v>11</v>
      </c>
      <c r="L55" s="5">
        <v>12</v>
      </c>
      <c r="M55" s="5">
        <v>13</v>
      </c>
      <c r="N55" s="5">
        <v>14</v>
      </c>
      <c r="O55" s="5">
        <v>15</v>
      </c>
    </row>
    <row r="56" spans="1:15" ht="20.100000000000001" customHeight="1">
      <c r="A56" s="225" t="s">
        <v>432</v>
      </c>
      <c r="B56" s="105">
        <v>100</v>
      </c>
      <c r="C56" s="105">
        <v>100</v>
      </c>
      <c r="D56" s="105">
        <v>2178</v>
      </c>
      <c r="E56" s="105">
        <v>97888</v>
      </c>
      <c r="F56" s="105">
        <v>22.25</v>
      </c>
      <c r="G56" s="105">
        <v>2722</v>
      </c>
      <c r="H56" s="105">
        <v>108329.68520000001</v>
      </c>
      <c r="I56" s="105">
        <v>25.126999999999999</v>
      </c>
      <c r="J56" s="105">
        <v>1745</v>
      </c>
      <c r="K56" s="105">
        <v>8724.5</v>
      </c>
      <c r="L56" s="105">
        <v>20</v>
      </c>
      <c r="M56" s="185">
        <f>'[36]I. Фін результат'!I8</f>
        <v>2940</v>
      </c>
      <c r="N56" s="227">
        <f>M56*1000/O56</f>
        <v>85217.391304347824</v>
      </c>
      <c r="O56" s="228">
        <v>34.5</v>
      </c>
    </row>
    <row r="57" spans="1:15" ht="20.100000000000001" customHeight="1">
      <c r="A57" s="161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</row>
    <row r="58" spans="1:15" ht="20.100000000000001" customHeight="1">
      <c r="A58" s="162" t="s">
        <v>61</v>
      </c>
      <c r="B58" s="72">
        <v>100</v>
      </c>
      <c r="C58" s="72">
        <v>100</v>
      </c>
      <c r="D58" s="89">
        <f>SUM(D56:D57)</f>
        <v>2178</v>
      </c>
      <c r="E58" s="105"/>
      <c r="F58" s="146"/>
      <c r="G58" s="89">
        <f>SUM(G56:G57)</f>
        <v>2722</v>
      </c>
      <c r="H58" s="146"/>
      <c r="I58" s="146"/>
      <c r="J58" s="89">
        <f>SUM(J56:J57)</f>
        <v>1745</v>
      </c>
      <c r="K58" s="146"/>
      <c r="L58" s="146"/>
      <c r="M58" s="89">
        <f>SUM(M56:M57)</f>
        <v>2940</v>
      </c>
      <c r="N58" s="146"/>
      <c r="O58" s="146"/>
    </row>
    <row r="59" spans="1:15" ht="20.100000000000001" customHeight="1">
      <c r="A59" s="17"/>
      <c r="B59" s="18"/>
      <c r="C59" s="18"/>
      <c r="D59" s="18"/>
      <c r="E59" s="18"/>
      <c r="F59" s="9"/>
      <c r="G59" s="9"/>
      <c r="H59" s="9"/>
      <c r="I59" s="4"/>
      <c r="J59" s="4"/>
      <c r="K59" s="4"/>
      <c r="L59" s="4"/>
      <c r="M59" s="4"/>
      <c r="N59" s="4"/>
      <c r="O59" s="4"/>
    </row>
    <row r="60" spans="1:15" ht="21.95" customHeight="1">
      <c r="A60" s="383" t="s">
        <v>80</v>
      </c>
      <c r="B60" s="383"/>
      <c r="C60" s="383"/>
      <c r="D60" s="383"/>
      <c r="E60" s="383"/>
      <c r="F60" s="383"/>
      <c r="G60" s="383"/>
      <c r="H60" s="383"/>
      <c r="I60" s="383"/>
      <c r="J60" s="383"/>
      <c r="K60" s="383"/>
      <c r="L60" s="383"/>
      <c r="M60" s="383"/>
      <c r="N60" s="383"/>
      <c r="O60" s="383"/>
    </row>
    <row r="61" spans="1:15" ht="20.100000000000001" customHeight="1">
      <c r="A61" s="15"/>
    </row>
    <row r="62" spans="1:15" ht="63.95" customHeight="1">
      <c r="A62" s="6" t="s">
        <v>141</v>
      </c>
      <c r="B62" s="353" t="s">
        <v>77</v>
      </c>
      <c r="C62" s="353"/>
      <c r="D62" s="353" t="s">
        <v>72</v>
      </c>
      <c r="E62" s="353"/>
      <c r="F62" s="353" t="s">
        <v>73</v>
      </c>
      <c r="G62" s="353"/>
      <c r="H62" s="353" t="s">
        <v>340</v>
      </c>
      <c r="I62" s="353"/>
      <c r="J62" s="353"/>
      <c r="K62" s="398" t="s">
        <v>93</v>
      </c>
      <c r="L62" s="400"/>
      <c r="M62" s="398" t="s">
        <v>38</v>
      </c>
      <c r="N62" s="399"/>
      <c r="O62" s="400"/>
    </row>
    <row r="63" spans="1:15" ht="18" customHeight="1">
      <c r="A63" s="5">
        <v>1</v>
      </c>
      <c r="B63" s="350">
        <v>2</v>
      </c>
      <c r="C63" s="350"/>
      <c r="D63" s="350">
        <v>3</v>
      </c>
      <c r="E63" s="350"/>
      <c r="F63" s="402">
        <v>4</v>
      </c>
      <c r="G63" s="402"/>
      <c r="H63" s="350">
        <v>5</v>
      </c>
      <c r="I63" s="350"/>
      <c r="J63" s="350"/>
      <c r="K63" s="350">
        <v>6</v>
      </c>
      <c r="L63" s="350"/>
      <c r="M63" s="384">
        <v>7</v>
      </c>
      <c r="N63" s="385"/>
      <c r="O63" s="401"/>
    </row>
    <row r="64" spans="1:15" ht="20.100000000000001" customHeight="1">
      <c r="A64" s="161"/>
      <c r="B64" s="397"/>
      <c r="C64" s="397"/>
      <c r="D64" s="397"/>
      <c r="E64" s="397"/>
      <c r="F64" s="397"/>
      <c r="G64" s="397"/>
      <c r="H64" s="397"/>
      <c r="I64" s="397"/>
      <c r="J64" s="397"/>
      <c r="K64" s="386"/>
      <c r="L64" s="387"/>
      <c r="M64" s="397"/>
      <c r="N64" s="397"/>
      <c r="O64" s="397"/>
    </row>
    <row r="65" spans="1:15" ht="20.100000000000001" customHeight="1">
      <c r="A65" s="161"/>
      <c r="B65" s="386"/>
      <c r="C65" s="387"/>
      <c r="D65" s="386"/>
      <c r="E65" s="387"/>
      <c r="F65" s="386"/>
      <c r="G65" s="387"/>
      <c r="H65" s="386"/>
      <c r="I65" s="394"/>
      <c r="J65" s="387"/>
      <c r="K65" s="386"/>
      <c r="L65" s="387"/>
      <c r="M65" s="386"/>
      <c r="N65" s="394"/>
      <c r="O65" s="387"/>
    </row>
    <row r="66" spans="1:15" ht="20.100000000000001" customHeight="1">
      <c r="A66" s="161"/>
      <c r="B66" s="397"/>
      <c r="C66" s="397"/>
      <c r="D66" s="397"/>
      <c r="E66" s="397"/>
      <c r="F66" s="397"/>
      <c r="G66" s="397"/>
      <c r="H66" s="397"/>
      <c r="I66" s="397"/>
      <c r="J66" s="397"/>
      <c r="K66" s="386"/>
      <c r="L66" s="387"/>
      <c r="M66" s="397"/>
      <c r="N66" s="397"/>
      <c r="O66" s="397"/>
    </row>
    <row r="67" spans="1:15" ht="20.100000000000001" customHeight="1">
      <c r="A67" s="162" t="s">
        <v>61</v>
      </c>
      <c r="B67" s="404" t="s">
        <v>39</v>
      </c>
      <c r="C67" s="404"/>
      <c r="D67" s="404" t="s">
        <v>39</v>
      </c>
      <c r="E67" s="404"/>
      <c r="F67" s="404" t="s">
        <v>39</v>
      </c>
      <c r="G67" s="404"/>
      <c r="H67" s="397"/>
      <c r="I67" s="397"/>
      <c r="J67" s="397"/>
      <c r="K67" s="406">
        <f>SUM(K64:L66)</f>
        <v>0</v>
      </c>
      <c r="L67" s="407"/>
      <c r="M67" s="397"/>
      <c r="N67" s="397"/>
      <c r="O67" s="397"/>
    </row>
    <row r="68" spans="1:15" ht="20.100000000000001" customHeight="1">
      <c r="A68" s="9"/>
      <c r="B68" s="21"/>
      <c r="C68" s="21"/>
      <c r="D68" s="21"/>
      <c r="E68" s="21"/>
      <c r="F68" s="21"/>
      <c r="G68" s="21"/>
      <c r="H68" s="21"/>
      <c r="I68" s="21"/>
      <c r="J68" s="21"/>
      <c r="K68" s="2"/>
      <c r="L68" s="2"/>
      <c r="M68" s="2"/>
      <c r="N68" s="2"/>
      <c r="O68" s="2"/>
    </row>
    <row r="69" spans="1:15" ht="21.95" customHeight="1">
      <c r="A69" s="383" t="s">
        <v>81</v>
      </c>
      <c r="B69" s="383"/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</row>
    <row r="70" spans="1:15" ht="20.100000000000001" customHeight="1">
      <c r="A70" s="4"/>
      <c r="B70" s="13"/>
      <c r="C70" s="4"/>
      <c r="D70" s="4"/>
      <c r="E70" s="4"/>
      <c r="F70" s="4"/>
      <c r="G70" s="4"/>
      <c r="H70" s="4"/>
      <c r="I70" s="12"/>
    </row>
    <row r="71" spans="1:15" ht="63.95" customHeight="1">
      <c r="A71" s="390" t="s">
        <v>71</v>
      </c>
      <c r="B71" s="390"/>
      <c r="C71" s="390"/>
      <c r="D71" s="390" t="s">
        <v>94</v>
      </c>
      <c r="E71" s="390"/>
      <c r="F71" s="390"/>
      <c r="G71" s="390" t="s">
        <v>367</v>
      </c>
      <c r="H71" s="390"/>
      <c r="I71" s="390"/>
      <c r="J71" s="390" t="s">
        <v>361</v>
      </c>
      <c r="K71" s="390"/>
      <c r="L71" s="390"/>
      <c r="M71" s="390" t="s">
        <v>95</v>
      </c>
      <c r="N71" s="390"/>
      <c r="O71" s="390"/>
    </row>
    <row r="72" spans="1:15" ht="18" customHeight="1">
      <c r="A72" s="390">
        <v>1</v>
      </c>
      <c r="B72" s="390"/>
      <c r="C72" s="390"/>
      <c r="D72" s="390">
        <v>2</v>
      </c>
      <c r="E72" s="390"/>
      <c r="F72" s="390"/>
      <c r="G72" s="390">
        <v>3</v>
      </c>
      <c r="H72" s="390"/>
      <c r="I72" s="390"/>
      <c r="J72" s="396">
        <v>4</v>
      </c>
      <c r="K72" s="396"/>
      <c r="L72" s="396"/>
      <c r="M72" s="396">
        <v>5</v>
      </c>
      <c r="N72" s="396"/>
      <c r="O72" s="396"/>
    </row>
    <row r="73" spans="1:15" ht="20.100000000000001" customHeight="1">
      <c r="A73" s="403" t="s">
        <v>341</v>
      </c>
      <c r="B73" s="403"/>
      <c r="C73" s="403"/>
      <c r="D73" s="395"/>
      <c r="E73" s="395"/>
      <c r="F73" s="395"/>
      <c r="G73" s="395"/>
      <c r="H73" s="395"/>
      <c r="I73" s="395"/>
      <c r="J73" s="395"/>
      <c r="K73" s="395"/>
      <c r="L73" s="395"/>
      <c r="M73" s="395"/>
      <c r="N73" s="395"/>
      <c r="O73" s="395"/>
    </row>
    <row r="74" spans="1:15" ht="20.100000000000001" customHeight="1">
      <c r="A74" s="403" t="s">
        <v>116</v>
      </c>
      <c r="B74" s="403"/>
      <c r="C74" s="403"/>
      <c r="D74" s="395"/>
      <c r="E74" s="395"/>
      <c r="F74" s="395"/>
      <c r="G74" s="395"/>
      <c r="H74" s="395"/>
      <c r="I74" s="395"/>
      <c r="J74" s="395"/>
      <c r="K74" s="395"/>
      <c r="L74" s="395"/>
      <c r="M74" s="395"/>
      <c r="N74" s="395"/>
      <c r="O74" s="395"/>
    </row>
    <row r="75" spans="1:15" ht="20.100000000000001" customHeight="1">
      <c r="A75" s="403"/>
      <c r="B75" s="403"/>
      <c r="C75" s="403"/>
      <c r="D75" s="370"/>
      <c r="E75" s="405"/>
      <c r="F75" s="371"/>
      <c r="G75" s="370"/>
      <c r="H75" s="405"/>
      <c r="I75" s="371"/>
      <c r="J75" s="370"/>
      <c r="K75" s="405"/>
      <c r="L75" s="371"/>
      <c r="M75" s="370"/>
      <c r="N75" s="405"/>
      <c r="O75" s="371"/>
    </row>
    <row r="76" spans="1:15" ht="20.100000000000001" customHeight="1">
      <c r="A76" s="403" t="s">
        <v>342</v>
      </c>
      <c r="B76" s="403"/>
      <c r="C76" s="403"/>
      <c r="D76" s="395"/>
      <c r="E76" s="395"/>
      <c r="F76" s="395"/>
      <c r="G76" s="395"/>
      <c r="H76" s="395"/>
      <c r="I76" s="395"/>
      <c r="J76" s="395"/>
      <c r="K76" s="395"/>
      <c r="L76" s="395"/>
      <c r="M76" s="395"/>
      <c r="N76" s="395"/>
      <c r="O76" s="395"/>
    </row>
    <row r="77" spans="1:15" ht="20.100000000000001" customHeight="1">
      <c r="A77" s="403" t="s">
        <v>117</v>
      </c>
      <c r="B77" s="403"/>
      <c r="C77" s="403"/>
      <c r="D77" s="395"/>
      <c r="E77" s="395"/>
      <c r="F77" s="395"/>
      <c r="G77" s="395"/>
      <c r="H77" s="395"/>
      <c r="I77" s="395"/>
      <c r="J77" s="395"/>
      <c r="K77" s="395"/>
      <c r="L77" s="395"/>
      <c r="M77" s="395"/>
      <c r="N77" s="395"/>
      <c r="O77" s="395"/>
    </row>
    <row r="78" spans="1:15" ht="20.100000000000001" customHeight="1">
      <c r="A78" s="403"/>
      <c r="B78" s="403"/>
      <c r="C78" s="403"/>
      <c r="D78" s="370"/>
      <c r="E78" s="405"/>
      <c r="F78" s="371"/>
      <c r="G78" s="370"/>
      <c r="H78" s="405"/>
      <c r="I78" s="371"/>
      <c r="J78" s="370"/>
      <c r="K78" s="405"/>
      <c r="L78" s="371"/>
      <c r="M78" s="370"/>
      <c r="N78" s="405"/>
      <c r="O78" s="371"/>
    </row>
    <row r="79" spans="1:15" ht="20.100000000000001" customHeight="1">
      <c r="A79" s="403" t="s">
        <v>343</v>
      </c>
      <c r="B79" s="403"/>
      <c r="C79" s="403"/>
      <c r="D79" s="395"/>
      <c r="E79" s="395"/>
      <c r="F79" s="395"/>
      <c r="G79" s="395"/>
      <c r="H79" s="395"/>
      <c r="I79" s="395"/>
      <c r="J79" s="395"/>
      <c r="K79" s="395"/>
      <c r="L79" s="395"/>
      <c r="M79" s="395"/>
      <c r="N79" s="395"/>
      <c r="O79" s="395"/>
    </row>
    <row r="80" spans="1:15" ht="20.100000000000001" customHeight="1">
      <c r="A80" s="403" t="s">
        <v>116</v>
      </c>
      <c r="B80" s="403"/>
      <c r="C80" s="403"/>
      <c r="D80" s="395"/>
      <c r="E80" s="395"/>
      <c r="F80" s="395"/>
      <c r="G80" s="395"/>
      <c r="H80" s="395"/>
      <c r="I80" s="395"/>
      <c r="J80" s="395"/>
      <c r="K80" s="395"/>
      <c r="L80" s="395"/>
      <c r="M80" s="395"/>
      <c r="N80" s="395"/>
      <c r="O80" s="395"/>
    </row>
    <row r="81" spans="1:15" ht="20.100000000000001" customHeight="1">
      <c r="A81" s="408"/>
      <c r="B81" s="300"/>
      <c r="C81" s="409"/>
      <c r="D81" s="395"/>
      <c r="E81" s="395"/>
      <c r="F81" s="395"/>
      <c r="G81" s="395"/>
      <c r="H81" s="395"/>
      <c r="I81" s="395"/>
      <c r="J81" s="395"/>
      <c r="K81" s="395"/>
      <c r="L81" s="395"/>
      <c r="M81" s="395"/>
      <c r="N81" s="395"/>
      <c r="O81" s="395"/>
    </row>
    <row r="82" spans="1:15" ht="20.100000000000001" customHeight="1">
      <c r="A82" s="408" t="s">
        <v>61</v>
      </c>
      <c r="B82" s="300"/>
      <c r="C82" s="409"/>
      <c r="D82" s="410"/>
      <c r="E82" s="410"/>
      <c r="F82" s="410"/>
      <c r="G82" s="410"/>
      <c r="H82" s="410"/>
      <c r="I82" s="410"/>
      <c r="J82" s="395"/>
      <c r="K82" s="395"/>
      <c r="L82" s="395"/>
      <c r="M82" s="395"/>
      <c r="N82" s="395"/>
      <c r="O82" s="395"/>
    </row>
    <row r="83" spans="1:15">
      <c r="C83" s="27"/>
      <c r="D83" s="27"/>
      <c r="E83" s="27"/>
    </row>
    <row r="84" spans="1:15">
      <c r="C84" s="27"/>
      <c r="D84" s="27"/>
      <c r="E84" s="27"/>
    </row>
    <row r="85" spans="1:15">
      <c r="C85" s="27"/>
      <c r="D85" s="27"/>
      <c r="E85" s="27"/>
    </row>
    <row r="86" spans="1:15">
      <c r="C86" s="27"/>
      <c r="D86" s="27"/>
      <c r="E86" s="27"/>
    </row>
    <row r="87" spans="1:15">
      <c r="C87" s="27"/>
      <c r="D87" s="27"/>
      <c r="E87" s="27"/>
    </row>
    <row r="88" spans="1:15">
      <c r="C88" s="27"/>
      <c r="D88" s="27"/>
      <c r="E88" s="27"/>
    </row>
    <row r="89" spans="1:15">
      <c r="C89" s="27"/>
      <c r="D89" s="27"/>
      <c r="E89" s="27"/>
    </row>
    <row r="90" spans="1:15">
      <c r="C90" s="27"/>
      <c r="D90" s="27"/>
      <c r="E90" s="27"/>
    </row>
    <row r="91" spans="1:15">
      <c r="C91" s="27"/>
      <c r="D91" s="27"/>
      <c r="E91" s="27"/>
    </row>
    <row r="92" spans="1:15">
      <c r="C92" s="27"/>
      <c r="D92" s="27"/>
      <c r="E92" s="27"/>
    </row>
    <row r="93" spans="1:15">
      <c r="C93" s="27"/>
      <c r="D93" s="27"/>
      <c r="E93" s="27"/>
    </row>
    <row r="94" spans="1:15">
      <c r="C94" s="27"/>
      <c r="D94" s="27"/>
      <c r="E94" s="27"/>
    </row>
    <row r="95" spans="1:15">
      <c r="C95" s="27"/>
      <c r="D95" s="27"/>
      <c r="E95" s="27"/>
    </row>
    <row r="96" spans="1:15">
      <c r="C96" s="27"/>
      <c r="D96" s="27"/>
      <c r="E96" s="27"/>
    </row>
  </sheetData>
  <sheetProtection insertColumns="0" insertRows="0"/>
  <mergeCells count="290">
    <mergeCell ref="A32:C32"/>
    <mergeCell ref="D32:E32"/>
    <mergeCell ref="F32:G32"/>
    <mergeCell ref="H32:I32"/>
    <mergeCell ref="F31:G31"/>
    <mergeCell ref="J29:K29"/>
    <mergeCell ref="L29:M29"/>
    <mergeCell ref="N33:O33"/>
    <mergeCell ref="A33:C33"/>
    <mergeCell ref="D33:E33"/>
    <mergeCell ref="F33:G33"/>
    <mergeCell ref="H33:I33"/>
    <mergeCell ref="J33:K33"/>
    <mergeCell ref="L33:M33"/>
    <mergeCell ref="J32:K32"/>
    <mergeCell ref="L32:M32"/>
    <mergeCell ref="N32:O32"/>
    <mergeCell ref="N29:O29"/>
    <mergeCell ref="A29:C29"/>
    <mergeCell ref="D29:E29"/>
    <mergeCell ref="F29:G29"/>
    <mergeCell ref="H29:I29"/>
    <mergeCell ref="H31:I31"/>
    <mergeCell ref="J31:K31"/>
    <mergeCell ref="N31:O31"/>
    <mergeCell ref="L31:M31"/>
    <mergeCell ref="L30:M30"/>
    <mergeCell ref="N30:O30"/>
    <mergeCell ref="A30:K30"/>
    <mergeCell ref="A31:C31"/>
    <mergeCell ref="D31:E31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N26:O26"/>
    <mergeCell ref="A25:C25"/>
    <mergeCell ref="D25:E25"/>
    <mergeCell ref="F25:G25"/>
    <mergeCell ref="H25:I25"/>
    <mergeCell ref="J25:K25"/>
    <mergeCell ref="L25:M25"/>
    <mergeCell ref="N25:O25"/>
    <mergeCell ref="L27:M27"/>
    <mergeCell ref="L26:M26"/>
    <mergeCell ref="F27:G27"/>
    <mergeCell ref="H27:I27"/>
    <mergeCell ref="J27:K27"/>
    <mergeCell ref="A26:K26"/>
    <mergeCell ref="N27:O27"/>
    <mergeCell ref="A80:C80"/>
    <mergeCell ref="A81:C81"/>
    <mergeCell ref="G81:I81"/>
    <mergeCell ref="D76:F76"/>
    <mergeCell ref="G80:I80"/>
    <mergeCell ref="A76:C76"/>
    <mergeCell ref="D80:F80"/>
    <mergeCell ref="A82:C82"/>
    <mergeCell ref="D82:F82"/>
    <mergeCell ref="G82:I82"/>
    <mergeCell ref="A79:C79"/>
    <mergeCell ref="D79:F79"/>
    <mergeCell ref="G79:I79"/>
    <mergeCell ref="A78:C78"/>
    <mergeCell ref="A77:C77"/>
    <mergeCell ref="J82:L82"/>
    <mergeCell ref="M81:O81"/>
    <mergeCell ref="J80:L80"/>
    <mergeCell ref="M82:O82"/>
    <mergeCell ref="M80:O80"/>
    <mergeCell ref="G78:I78"/>
    <mergeCell ref="D78:F78"/>
    <mergeCell ref="D77:F77"/>
    <mergeCell ref="G77:I77"/>
    <mergeCell ref="D66:E66"/>
    <mergeCell ref="H66:J66"/>
    <mergeCell ref="H67:J67"/>
    <mergeCell ref="F66:G66"/>
    <mergeCell ref="J79:L79"/>
    <mergeCell ref="J81:L81"/>
    <mergeCell ref="M79:O79"/>
    <mergeCell ref="J77:L77"/>
    <mergeCell ref="M77:O77"/>
    <mergeCell ref="M78:O78"/>
    <mergeCell ref="J78:L78"/>
    <mergeCell ref="D81:F81"/>
    <mergeCell ref="K66:L66"/>
    <mergeCell ref="M66:O66"/>
    <mergeCell ref="K67:L67"/>
    <mergeCell ref="M67:O67"/>
    <mergeCell ref="G73:I73"/>
    <mergeCell ref="G76:I76"/>
    <mergeCell ref="M76:O76"/>
    <mergeCell ref="J76:L76"/>
    <mergeCell ref="M74:O74"/>
    <mergeCell ref="M75:O75"/>
    <mergeCell ref="A74:C74"/>
    <mergeCell ref="D74:F74"/>
    <mergeCell ref="G74:I74"/>
    <mergeCell ref="J73:L73"/>
    <mergeCell ref="B67:C67"/>
    <mergeCell ref="D67:E67"/>
    <mergeCell ref="F67:G67"/>
    <mergeCell ref="B66:C66"/>
    <mergeCell ref="A75:C75"/>
    <mergeCell ref="D75:F75"/>
    <mergeCell ref="A73:C73"/>
    <mergeCell ref="D73:F73"/>
    <mergeCell ref="G75:I75"/>
    <mergeCell ref="J75:L75"/>
    <mergeCell ref="D72:F72"/>
    <mergeCell ref="A69:O69"/>
    <mergeCell ref="A71:C71"/>
    <mergeCell ref="D71:F71"/>
    <mergeCell ref="G71:I71"/>
    <mergeCell ref="J71:L71"/>
    <mergeCell ref="M72:O72"/>
    <mergeCell ref="M71:O71"/>
    <mergeCell ref="G72:I72"/>
    <mergeCell ref="J74:L74"/>
    <mergeCell ref="A72:C72"/>
    <mergeCell ref="M73:O73"/>
    <mergeCell ref="J72:L72"/>
    <mergeCell ref="K65:L65"/>
    <mergeCell ref="F64:G64"/>
    <mergeCell ref="M62:O62"/>
    <mergeCell ref="K63:L63"/>
    <mergeCell ref="M63:O63"/>
    <mergeCell ref="A60:O60"/>
    <mergeCell ref="B62:C62"/>
    <mergeCell ref="D62:E62"/>
    <mergeCell ref="F62:G62"/>
    <mergeCell ref="H62:J62"/>
    <mergeCell ref="K62:L62"/>
    <mergeCell ref="M64:O64"/>
    <mergeCell ref="B63:C63"/>
    <mergeCell ref="F63:G63"/>
    <mergeCell ref="H63:J63"/>
    <mergeCell ref="B64:C64"/>
    <mergeCell ref="H64:J64"/>
    <mergeCell ref="K64:L64"/>
    <mergeCell ref="D63:E63"/>
    <mergeCell ref="D64:E64"/>
    <mergeCell ref="M65:O65"/>
    <mergeCell ref="B65:C65"/>
    <mergeCell ref="D65:E65"/>
    <mergeCell ref="B49:E49"/>
    <mergeCell ref="F45:O45"/>
    <mergeCell ref="B45:E45"/>
    <mergeCell ref="B46:E46"/>
    <mergeCell ref="F46:O46"/>
    <mergeCell ref="F47:O47"/>
    <mergeCell ref="B47:E47"/>
    <mergeCell ref="A51:J51"/>
    <mergeCell ref="B53:C53"/>
    <mergeCell ref="D53:F53"/>
    <mergeCell ref="F48:O48"/>
    <mergeCell ref="F49:O49"/>
    <mergeCell ref="G53:I53"/>
    <mergeCell ref="J53:L53"/>
    <mergeCell ref="M53:O53"/>
    <mergeCell ref="A53:A54"/>
    <mergeCell ref="B48:E48"/>
    <mergeCell ref="F65:G65"/>
    <mergeCell ref="H65:J65"/>
    <mergeCell ref="N19:O19"/>
    <mergeCell ref="A20:C20"/>
    <mergeCell ref="D20:E20"/>
    <mergeCell ref="A21:C21"/>
    <mergeCell ref="D21:E21"/>
    <mergeCell ref="F21:G21"/>
    <mergeCell ref="H21:I21"/>
    <mergeCell ref="J21:K21"/>
    <mergeCell ref="F23:G23"/>
    <mergeCell ref="H23:I23"/>
    <mergeCell ref="J23:K23"/>
    <mergeCell ref="D23:E23"/>
    <mergeCell ref="F44:O44"/>
    <mergeCell ref="B42:E42"/>
    <mergeCell ref="B44:E44"/>
    <mergeCell ref="A37:O37"/>
    <mergeCell ref="F40:O40"/>
    <mergeCell ref="B40:E40"/>
    <mergeCell ref="F39:O39"/>
    <mergeCell ref="B39:E39"/>
    <mergeCell ref="B41:E41"/>
    <mergeCell ref="F42:O42"/>
    <mergeCell ref="F41:O41"/>
    <mergeCell ref="B43:E43"/>
    <mergeCell ref="F43:O43"/>
    <mergeCell ref="H17:I17"/>
    <mergeCell ref="L18:M18"/>
    <mergeCell ref="L17:M17"/>
    <mergeCell ref="A18:K18"/>
    <mergeCell ref="N18:O18"/>
    <mergeCell ref="A22:K22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J17:K17"/>
    <mergeCell ref="A19:C19"/>
    <mergeCell ref="F17:G17"/>
    <mergeCell ref="L21:M21"/>
    <mergeCell ref="L23:M23"/>
    <mergeCell ref="L22:M22"/>
    <mergeCell ref="L19:M19"/>
    <mergeCell ref="H19:I19"/>
    <mergeCell ref="J19:K19"/>
    <mergeCell ref="A35:O35"/>
    <mergeCell ref="F19:G19"/>
    <mergeCell ref="D19:E19"/>
    <mergeCell ref="N22:O22"/>
    <mergeCell ref="N21:O21"/>
    <mergeCell ref="N17:O17"/>
    <mergeCell ref="N14:O14"/>
    <mergeCell ref="N13:O13"/>
    <mergeCell ref="D14:E14"/>
    <mergeCell ref="A14:C14"/>
    <mergeCell ref="F20:G20"/>
    <mergeCell ref="H20:I20"/>
    <mergeCell ref="J20:K20"/>
    <mergeCell ref="L20:M20"/>
    <mergeCell ref="N20:O20"/>
    <mergeCell ref="A17:C17"/>
    <mergeCell ref="D17:E17"/>
    <mergeCell ref="F15:G15"/>
    <mergeCell ref="D16:E16"/>
    <mergeCell ref="F16:G16"/>
    <mergeCell ref="A16:C16"/>
    <mergeCell ref="L15:M15"/>
    <mergeCell ref="L14:M14"/>
    <mergeCell ref="J15:K15"/>
    <mergeCell ref="J16:K16"/>
    <mergeCell ref="N12:O12"/>
    <mergeCell ref="H10:I10"/>
    <mergeCell ref="N10:O10"/>
    <mergeCell ref="N11:O11"/>
    <mergeCell ref="L11:M11"/>
    <mergeCell ref="F13:G13"/>
    <mergeCell ref="A13:C13"/>
    <mergeCell ref="L16:M16"/>
    <mergeCell ref="N16:O16"/>
    <mergeCell ref="N15:O15"/>
    <mergeCell ref="A15:C15"/>
    <mergeCell ref="H16:I16"/>
    <mergeCell ref="H15:I15"/>
    <mergeCell ref="D15:E15"/>
    <mergeCell ref="H13:I13"/>
    <mergeCell ref="A12:C12"/>
    <mergeCell ref="A10:C10"/>
    <mergeCell ref="J14:K14"/>
    <mergeCell ref="H14:I14"/>
    <mergeCell ref="L13:M13"/>
    <mergeCell ref="J13:K13"/>
    <mergeCell ref="A11:K11"/>
    <mergeCell ref="D12:E12"/>
    <mergeCell ref="F12:G12"/>
    <mergeCell ref="H12:I12"/>
    <mergeCell ref="J12:K12"/>
    <mergeCell ref="F10:G10"/>
    <mergeCell ref="L12:M12"/>
    <mergeCell ref="F14:G14"/>
    <mergeCell ref="D13:E13"/>
    <mergeCell ref="J10:K10"/>
    <mergeCell ref="D10:E10"/>
    <mergeCell ref="L10:M10"/>
    <mergeCell ref="A1:O1"/>
    <mergeCell ref="A2:O2"/>
    <mergeCell ref="A3:O3"/>
    <mergeCell ref="D9:E9"/>
    <mergeCell ref="F9:G9"/>
    <mergeCell ref="A9:C9"/>
    <mergeCell ref="N9:O9"/>
    <mergeCell ref="A4:O4"/>
    <mergeCell ref="A5:O5"/>
    <mergeCell ref="L9:M9"/>
    <mergeCell ref="A7:O7"/>
    <mergeCell ref="J9:K9"/>
    <mergeCell ref="H9:I9"/>
  </mergeCells>
  <phoneticPr fontId="3" type="noConversion"/>
  <pageMargins left="1.1811023622047245" right="0.39370078740157483" top="0.78740157480314965" bottom="0.78740157480314965" header="0.27559055118110237" footer="0.15748031496062992"/>
  <pageSetup paperSize="9" scale="24" orientation="landscape" horizontalDpi="1200" verticalDpi="1200" r:id="rId1"/>
  <headerFooter alignWithMargins="0"/>
  <rowBreaks count="1" manualBreakCount="1">
    <brk id="49" max="14" man="1"/>
  </rowBreaks>
  <ignoredErrors>
    <ignoredError sqref="E58:M5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P68"/>
  <sheetViews>
    <sheetView topLeftCell="A10" workbookViewId="0">
      <selection activeCell="K71" sqref="K71"/>
    </sheetView>
  </sheetViews>
  <sheetFormatPr defaultRowHeight="12.75"/>
  <cols>
    <col min="1" max="1" width="3.5703125" bestFit="1" customWidth="1"/>
    <col min="2" max="2" width="21.28515625" customWidth="1"/>
    <col min="5" max="5" width="12.140625" customWidth="1"/>
    <col min="7" max="7" width="11.42578125" customWidth="1"/>
    <col min="8" max="8" width="15.28515625" customWidth="1"/>
    <col min="9" max="9" width="11.28515625" bestFit="1" customWidth="1"/>
    <col min="10" max="11" width="9.7109375" bestFit="1" customWidth="1"/>
    <col min="12" max="12" width="11.7109375" customWidth="1"/>
  </cols>
  <sheetData>
    <row r="3" spans="1:16">
      <c r="A3" s="233"/>
      <c r="B3" s="234"/>
      <c r="C3" s="233"/>
      <c r="D3" s="235" t="s">
        <v>458</v>
      </c>
      <c r="E3" s="235" t="s">
        <v>459</v>
      </c>
      <c r="F3" s="233"/>
      <c r="G3" s="233"/>
    </row>
    <row r="4" spans="1:16">
      <c r="A4" s="233" t="s">
        <v>228</v>
      </c>
      <c r="B4" s="234"/>
      <c r="C4" s="233"/>
      <c r="D4" s="235" t="s">
        <v>460</v>
      </c>
      <c r="E4" s="235" t="s">
        <v>461</v>
      </c>
      <c r="F4" s="233" t="s">
        <v>462</v>
      </c>
      <c r="G4" s="233" t="s">
        <v>463</v>
      </c>
      <c r="I4" t="s">
        <v>388</v>
      </c>
      <c r="J4" t="s">
        <v>493</v>
      </c>
      <c r="K4" t="s">
        <v>380</v>
      </c>
      <c r="L4" t="s">
        <v>493</v>
      </c>
      <c r="M4" t="s">
        <v>381</v>
      </c>
      <c r="N4" t="s">
        <v>493</v>
      </c>
      <c r="O4" t="s">
        <v>86</v>
      </c>
      <c r="P4" t="s">
        <v>493</v>
      </c>
    </row>
    <row r="5" spans="1:16">
      <c r="A5" s="233" t="s">
        <v>464</v>
      </c>
      <c r="B5" s="236" t="s">
        <v>465</v>
      </c>
      <c r="C5" s="235" t="s">
        <v>466</v>
      </c>
      <c r="D5" s="235" t="s">
        <v>467</v>
      </c>
      <c r="E5" s="235" t="s">
        <v>468</v>
      </c>
      <c r="F5" s="233"/>
      <c r="G5" s="233"/>
    </row>
    <row r="6" spans="1:16">
      <c r="A6" s="235"/>
      <c r="B6" s="237" t="s">
        <v>469</v>
      </c>
      <c r="C6" s="238"/>
      <c r="D6" s="239"/>
      <c r="E6" s="238"/>
      <c r="F6" s="233"/>
      <c r="G6" s="233"/>
    </row>
    <row r="7" spans="1:16">
      <c r="A7" s="235"/>
      <c r="B7" s="237"/>
      <c r="C7" s="238"/>
      <c r="D7" s="239"/>
      <c r="E7" s="238"/>
      <c r="F7" s="233"/>
      <c r="G7" s="233"/>
    </row>
    <row r="8" spans="1:16">
      <c r="A8" s="248" t="s">
        <v>470</v>
      </c>
      <c r="B8" s="268" t="s">
        <v>471</v>
      </c>
      <c r="C8" s="269">
        <v>15015</v>
      </c>
      <c r="D8" s="270">
        <v>1</v>
      </c>
      <c r="E8" s="269">
        <f>C8</f>
        <v>15015</v>
      </c>
      <c r="F8" s="271"/>
      <c r="G8" s="271">
        <f>E8</f>
        <v>15015</v>
      </c>
      <c r="H8" s="272"/>
      <c r="I8" s="272">
        <f>C8*D8*3</f>
        <v>45045</v>
      </c>
      <c r="J8" s="272"/>
      <c r="K8" s="272">
        <f>C8*D8*6</f>
        <v>90090</v>
      </c>
      <c r="L8" s="272"/>
      <c r="M8" s="272">
        <f>C8*D8*9</f>
        <v>135135</v>
      </c>
      <c r="N8" s="272"/>
      <c r="O8" s="272">
        <f>C8*D8*12</f>
        <v>180180</v>
      </c>
      <c r="P8" s="272"/>
    </row>
    <row r="9" spans="1:16">
      <c r="A9" s="248" t="s">
        <v>472</v>
      </c>
      <c r="B9" s="268" t="s">
        <v>473</v>
      </c>
      <c r="C9" s="269">
        <v>5320</v>
      </c>
      <c r="D9" s="270">
        <v>1</v>
      </c>
      <c r="E9" s="269">
        <f>C9</f>
        <v>5320</v>
      </c>
      <c r="F9" s="271"/>
      <c r="G9" s="271">
        <f>E9</f>
        <v>5320</v>
      </c>
      <c r="H9" s="272"/>
      <c r="I9" s="272">
        <f t="shared" ref="I9:I10" si="0">C9*D9*3</f>
        <v>15960</v>
      </c>
      <c r="J9" s="272"/>
      <c r="K9" s="272">
        <f t="shared" ref="K9:K27" si="1">C9*D9*6</f>
        <v>31920</v>
      </c>
      <c r="L9" s="272"/>
      <c r="M9" s="272">
        <f t="shared" ref="M9:M27" si="2">C9*D9*9</f>
        <v>47880</v>
      </c>
      <c r="N9" s="272"/>
      <c r="O9" s="272">
        <f t="shared" ref="O9:O27" si="3">C9*D9*12</f>
        <v>63840</v>
      </c>
      <c r="P9" s="272"/>
    </row>
    <row r="10" spans="1:16">
      <c r="A10" s="248" t="s">
        <v>474</v>
      </c>
      <c r="B10" s="268" t="s">
        <v>475</v>
      </c>
      <c r="C10" s="269">
        <v>4723</v>
      </c>
      <c r="D10" s="270">
        <v>0.5</v>
      </c>
      <c r="E10" s="269">
        <v>2361.5</v>
      </c>
      <c r="F10" s="271"/>
      <c r="G10" s="271">
        <f>E10</f>
        <v>2361.5</v>
      </c>
      <c r="H10" s="272"/>
      <c r="I10" s="272">
        <f t="shared" si="0"/>
        <v>7084.5</v>
      </c>
      <c r="J10" s="272"/>
      <c r="K10" s="272">
        <f t="shared" si="1"/>
        <v>14169</v>
      </c>
      <c r="L10" s="272"/>
      <c r="M10" s="272">
        <f t="shared" si="2"/>
        <v>21253.5</v>
      </c>
      <c r="N10" s="272"/>
      <c r="O10" s="272">
        <f t="shared" si="3"/>
        <v>28338</v>
      </c>
      <c r="P10" s="272"/>
    </row>
    <row r="11" spans="1:16">
      <c r="A11" s="248">
        <v>4</v>
      </c>
      <c r="B11" s="268" t="s">
        <v>479</v>
      </c>
      <c r="C11" s="269">
        <v>5200</v>
      </c>
      <c r="D11" s="270">
        <v>1</v>
      </c>
      <c r="E11" s="269">
        <v>5200</v>
      </c>
      <c r="F11" s="271"/>
      <c r="G11" s="271">
        <f>E11</f>
        <v>5200</v>
      </c>
      <c r="H11" s="272"/>
      <c r="I11" s="272">
        <f>C11*D11*3</f>
        <v>15600</v>
      </c>
      <c r="J11" s="272"/>
      <c r="K11" s="272">
        <f t="shared" si="1"/>
        <v>31200</v>
      </c>
      <c r="L11" s="272"/>
      <c r="M11" s="272">
        <f t="shared" si="2"/>
        <v>46800</v>
      </c>
      <c r="N11" s="272"/>
      <c r="O11" s="272">
        <f t="shared" si="3"/>
        <v>62400</v>
      </c>
      <c r="P11" s="272"/>
    </row>
    <row r="12" spans="1:16">
      <c r="A12" s="235"/>
      <c r="B12" s="240" t="s">
        <v>476</v>
      </c>
      <c r="C12" s="241"/>
      <c r="D12" s="242">
        <v>3.5</v>
      </c>
      <c r="E12" s="241">
        <f>SUM(E8:E10)</f>
        <v>22696.5</v>
      </c>
      <c r="F12" s="243"/>
      <c r="G12" s="243">
        <f>SUM(G8:G10)</f>
        <v>22696.5</v>
      </c>
      <c r="I12">
        <f t="shared" ref="I12:I27" si="4">C12*D12*3</f>
        <v>0</v>
      </c>
      <c r="K12">
        <f t="shared" si="1"/>
        <v>0</v>
      </c>
      <c r="M12">
        <f t="shared" si="2"/>
        <v>0</v>
      </c>
      <c r="O12">
        <f t="shared" si="3"/>
        <v>0</v>
      </c>
    </row>
    <row r="13" spans="1:16">
      <c r="A13" s="235"/>
      <c r="B13" s="240"/>
      <c r="C13" s="241"/>
      <c r="D13" s="242"/>
      <c r="E13" s="241"/>
      <c r="F13" s="243"/>
      <c r="G13" s="243"/>
      <c r="I13">
        <f t="shared" si="4"/>
        <v>0</v>
      </c>
      <c r="K13">
        <f t="shared" si="1"/>
        <v>0</v>
      </c>
      <c r="M13">
        <f t="shared" si="2"/>
        <v>0</v>
      </c>
      <c r="O13">
        <f t="shared" si="3"/>
        <v>0</v>
      </c>
    </row>
    <row r="14" spans="1:16">
      <c r="A14" s="235"/>
      <c r="B14" s="240" t="s">
        <v>477</v>
      </c>
      <c r="C14" s="238"/>
      <c r="D14" s="239"/>
      <c r="E14" s="238"/>
      <c r="F14" s="244"/>
      <c r="G14" s="244"/>
      <c r="I14">
        <f t="shared" si="4"/>
        <v>0</v>
      </c>
      <c r="K14">
        <f t="shared" si="1"/>
        <v>0</v>
      </c>
      <c r="M14">
        <f t="shared" si="2"/>
        <v>0</v>
      </c>
      <c r="O14">
        <f t="shared" si="3"/>
        <v>0</v>
      </c>
    </row>
    <row r="15" spans="1:16">
      <c r="A15" s="235">
        <v>5</v>
      </c>
      <c r="B15" s="273" t="s">
        <v>478</v>
      </c>
      <c r="C15" s="274">
        <f>C9</f>
        <v>5320</v>
      </c>
      <c r="D15" s="275">
        <v>1</v>
      </c>
      <c r="E15" s="274">
        <f>C15</f>
        <v>5320</v>
      </c>
      <c r="F15" s="276"/>
      <c r="G15" s="276">
        <f>E15</f>
        <v>5320</v>
      </c>
      <c r="H15" s="277"/>
      <c r="I15" s="277">
        <f>C15*D15*3</f>
        <v>15960</v>
      </c>
      <c r="J15" s="277"/>
      <c r="K15" s="277">
        <f t="shared" si="1"/>
        <v>31920</v>
      </c>
      <c r="L15" s="277"/>
      <c r="M15" s="277">
        <f t="shared" si="2"/>
        <v>47880</v>
      </c>
      <c r="N15" s="277"/>
      <c r="O15" s="277">
        <f t="shared" si="3"/>
        <v>63840</v>
      </c>
      <c r="P15" s="277"/>
    </row>
    <row r="16" spans="1:16">
      <c r="A16" s="235">
        <v>6</v>
      </c>
      <c r="B16" s="278" t="s">
        <v>480</v>
      </c>
      <c r="C16" s="274">
        <v>5200</v>
      </c>
      <c r="D16" s="275">
        <v>2</v>
      </c>
      <c r="E16" s="274">
        <f>C16*D16</f>
        <v>10400</v>
      </c>
      <c r="F16" s="276"/>
      <c r="G16" s="276">
        <f>E16</f>
        <v>10400</v>
      </c>
      <c r="H16" s="277"/>
      <c r="I16" s="277">
        <f t="shared" si="4"/>
        <v>31200</v>
      </c>
      <c r="J16" s="277"/>
      <c r="K16" s="277">
        <f t="shared" si="1"/>
        <v>62400</v>
      </c>
      <c r="L16" s="277"/>
      <c r="M16" s="277">
        <f t="shared" si="2"/>
        <v>93600</v>
      </c>
      <c r="N16" s="277"/>
      <c r="O16" s="277">
        <f t="shared" si="3"/>
        <v>124800</v>
      </c>
      <c r="P16" s="277"/>
    </row>
    <row r="17" spans="1:16">
      <c r="A17" s="235">
        <v>7</v>
      </c>
      <c r="B17" s="278" t="s">
        <v>481</v>
      </c>
      <c r="C17" s="274">
        <v>5150</v>
      </c>
      <c r="D17" s="275">
        <v>3</v>
      </c>
      <c r="E17" s="274">
        <f>C17*D17</f>
        <v>15450</v>
      </c>
      <c r="F17" s="276"/>
      <c r="G17" s="276">
        <f>E17</f>
        <v>15450</v>
      </c>
      <c r="H17" s="277"/>
      <c r="I17" s="277">
        <f t="shared" si="4"/>
        <v>46350</v>
      </c>
      <c r="J17" s="277"/>
      <c r="K17" s="277">
        <f t="shared" si="1"/>
        <v>92700</v>
      </c>
      <c r="L17" s="277"/>
      <c r="M17" s="277">
        <f t="shared" si="2"/>
        <v>139050</v>
      </c>
      <c r="N17" s="277"/>
      <c r="O17" s="277">
        <f t="shared" si="3"/>
        <v>185400</v>
      </c>
      <c r="P17" s="277"/>
    </row>
    <row r="18" spans="1:16">
      <c r="A18" s="235">
        <v>8</v>
      </c>
      <c r="B18" s="278" t="s">
        <v>482</v>
      </c>
      <c r="C18" s="274">
        <v>5100</v>
      </c>
      <c r="D18" s="275">
        <v>1</v>
      </c>
      <c r="E18" s="274">
        <f>C18</f>
        <v>5100</v>
      </c>
      <c r="F18" s="276"/>
      <c r="G18" s="276">
        <f>E18</f>
        <v>5100</v>
      </c>
      <c r="H18" s="277"/>
      <c r="I18" s="277">
        <f t="shared" si="4"/>
        <v>15300</v>
      </c>
      <c r="J18" s="277"/>
      <c r="K18" s="277">
        <f t="shared" si="1"/>
        <v>30600</v>
      </c>
      <c r="L18" s="277"/>
      <c r="M18" s="277">
        <f t="shared" si="2"/>
        <v>45900</v>
      </c>
      <c r="N18" s="277"/>
      <c r="O18" s="277">
        <f t="shared" si="3"/>
        <v>61200</v>
      </c>
      <c r="P18" s="277"/>
    </row>
    <row r="19" spans="1:16">
      <c r="A19" s="235"/>
      <c r="B19" s="252" t="s">
        <v>476</v>
      </c>
      <c r="C19" s="249"/>
      <c r="D19" s="254">
        <v>7</v>
      </c>
      <c r="E19" s="241">
        <f>SUM(E15:E18)</f>
        <v>36270</v>
      </c>
      <c r="F19" s="243"/>
      <c r="G19" s="243">
        <f>SUM(G15:G18)</f>
        <v>36270</v>
      </c>
      <c r="I19">
        <f t="shared" si="4"/>
        <v>0</v>
      </c>
      <c r="K19">
        <f t="shared" si="1"/>
        <v>0</v>
      </c>
      <c r="M19">
        <f t="shared" si="2"/>
        <v>0</v>
      </c>
      <c r="O19">
        <f t="shared" si="3"/>
        <v>0</v>
      </c>
    </row>
    <row r="20" spans="1:16">
      <c r="A20" s="235"/>
      <c r="B20" s="252"/>
      <c r="C20" s="249"/>
      <c r="D20" s="250"/>
      <c r="E20" s="238"/>
      <c r="F20" s="244"/>
      <c r="G20" s="244"/>
      <c r="I20">
        <f t="shared" si="4"/>
        <v>0</v>
      </c>
      <c r="K20">
        <f t="shared" si="1"/>
        <v>0</v>
      </c>
      <c r="M20">
        <f t="shared" si="2"/>
        <v>0</v>
      </c>
      <c r="O20">
        <f t="shared" si="3"/>
        <v>0</v>
      </c>
    </row>
    <row r="21" spans="1:16">
      <c r="A21" s="235"/>
      <c r="B21" s="252" t="s">
        <v>483</v>
      </c>
      <c r="C21" s="249"/>
      <c r="D21" s="250"/>
      <c r="E21" s="238"/>
      <c r="F21" s="244"/>
      <c r="G21" s="244"/>
      <c r="I21">
        <f t="shared" si="4"/>
        <v>0</v>
      </c>
      <c r="K21">
        <f t="shared" si="1"/>
        <v>0</v>
      </c>
      <c r="M21">
        <f t="shared" si="2"/>
        <v>0</v>
      </c>
      <c r="O21">
        <f t="shared" si="3"/>
        <v>0</v>
      </c>
    </row>
    <row r="22" spans="1:16">
      <c r="A22" s="245" t="s">
        <v>484</v>
      </c>
      <c r="B22" s="279" t="s">
        <v>485</v>
      </c>
      <c r="C22" s="280">
        <v>4870</v>
      </c>
      <c r="D22" s="281">
        <v>1</v>
      </c>
      <c r="E22" s="280">
        <f t="shared" ref="E22:E27" si="5">C22</f>
        <v>4870</v>
      </c>
      <c r="F22" s="282"/>
      <c r="G22" s="282">
        <f t="shared" ref="G22:G27" si="6">E22</f>
        <v>4870</v>
      </c>
      <c r="H22" s="283"/>
      <c r="I22" s="283">
        <f t="shared" si="4"/>
        <v>14610</v>
      </c>
      <c r="J22" s="283"/>
      <c r="K22" s="283">
        <f t="shared" si="1"/>
        <v>29220</v>
      </c>
      <c r="L22" s="283"/>
      <c r="M22" s="283">
        <f t="shared" si="2"/>
        <v>43830</v>
      </c>
      <c r="N22" s="283"/>
      <c r="O22" s="283">
        <f t="shared" si="3"/>
        <v>58440</v>
      </c>
      <c r="P22" s="283"/>
    </row>
    <row r="23" spans="1:16">
      <c r="A23" s="235">
        <v>10</v>
      </c>
      <c r="B23" s="279" t="s">
        <v>486</v>
      </c>
      <c r="C23" s="280">
        <v>4870</v>
      </c>
      <c r="D23" s="281">
        <v>2</v>
      </c>
      <c r="E23" s="280">
        <f>C23*D23</f>
        <v>9740</v>
      </c>
      <c r="F23" s="282"/>
      <c r="G23" s="282">
        <f t="shared" si="6"/>
        <v>9740</v>
      </c>
      <c r="H23" s="283"/>
      <c r="I23" s="283">
        <f t="shared" si="4"/>
        <v>29220</v>
      </c>
      <c r="J23" s="283"/>
      <c r="K23" s="283">
        <f t="shared" si="1"/>
        <v>58440</v>
      </c>
      <c r="L23" s="283"/>
      <c r="M23" s="283">
        <f t="shared" si="2"/>
        <v>87660</v>
      </c>
      <c r="N23" s="283"/>
      <c r="O23" s="283">
        <f t="shared" si="3"/>
        <v>116880</v>
      </c>
      <c r="P23" s="283"/>
    </row>
    <row r="24" spans="1:16">
      <c r="A24" s="235">
        <v>11</v>
      </c>
      <c r="B24" s="279" t="s">
        <v>487</v>
      </c>
      <c r="C24" s="280">
        <v>4750</v>
      </c>
      <c r="D24" s="281">
        <v>2</v>
      </c>
      <c r="E24" s="280">
        <f>C24*D24</f>
        <v>9500</v>
      </c>
      <c r="F24" s="282"/>
      <c r="G24" s="282">
        <f t="shared" si="6"/>
        <v>9500</v>
      </c>
      <c r="H24" s="283"/>
      <c r="I24" s="283">
        <f>C24*D24*3</f>
        <v>28500</v>
      </c>
      <c r="J24" s="283"/>
      <c r="K24" s="283">
        <f t="shared" si="1"/>
        <v>57000</v>
      </c>
      <c r="L24" s="283"/>
      <c r="M24" s="283">
        <f t="shared" si="2"/>
        <v>85500</v>
      </c>
      <c r="N24" s="283"/>
      <c r="O24" s="283">
        <f t="shared" si="3"/>
        <v>114000</v>
      </c>
      <c r="P24" s="283"/>
    </row>
    <row r="25" spans="1:16" ht="25.5">
      <c r="A25" s="235">
        <v>12</v>
      </c>
      <c r="B25" s="259" t="s">
        <v>488</v>
      </c>
      <c r="C25" s="280">
        <v>4750</v>
      </c>
      <c r="D25" s="281">
        <v>1</v>
      </c>
      <c r="E25" s="280">
        <f t="shared" si="5"/>
        <v>4750</v>
      </c>
      <c r="F25" s="282"/>
      <c r="G25" s="282">
        <f t="shared" si="6"/>
        <v>4750</v>
      </c>
      <c r="H25" s="283"/>
      <c r="I25" s="283">
        <f t="shared" si="4"/>
        <v>14250</v>
      </c>
      <c r="J25" s="283"/>
      <c r="K25" s="283">
        <f t="shared" si="1"/>
        <v>28500</v>
      </c>
      <c r="L25" s="283"/>
      <c r="M25" s="283">
        <f t="shared" si="2"/>
        <v>42750</v>
      </c>
      <c r="N25" s="283"/>
      <c r="O25" s="283">
        <f t="shared" si="3"/>
        <v>57000</v>
      </c>
      <c r="P25" s="283"/>
    </row>
    <row r="26" spans="1:16" ht="25.5">
      <c r="A26" s="235">
        <v>13</v>
      </c>
      <c r="B26" s="284" t="s">
        <v>489</v>
      </c>
      <c r="C26" s="280">
        <v>4810</v>
      </c>
      <c r="D26" s="281">
        <v>1</v>
      </c>
      <c r="E26" s="280">
        <f t="shared" si="5"/>
        <v>4810</v>
      </c>
      <c r="F26" s="282"/>
      <c r="G26" s="282">
        <f t="shared" si="6"/>
        <v>4810</v>
      </c>
      <c r="H26" s="283"/>
      <c r="I26" s="283">
        <f t="shared" si="4"/>
        <v>14430</v>
      </c>
      <c r="J26" s="283"/>
      <c r="K26" s="283">
        <f t="shared" si="1"/>
        <v>28860</v>
      </c>
      <c r="L26" s="283"/>
      <c r="M26" s="283">
        <f t="shared" si="2"/>
        <v>43290</v>
      </c>
      <c r="N26" s="283"/>
      <c r="O26" s="283">
        <f t="shared" si="3"/>
        <v>57720</v>
      </c>
      <c r="P26" s="283"/>
    </row>
    <row r="27" spans="1:16">
      <c r="A27" s="235">
        <v>14</v>
      </c>
      <c r="B27" s="279" t="s">
        <v>490</v>
      </c>
      <c r="C27" s="280">
        <v>4750</v>
      </c>
      <c r="D27" s="281">
        <v>1</v>
      </c>
      <c r="E27" s="280">
        <f t="shared" si="5"/>
        <v>4750</v>
      </c>
      <c r="F27" s="282"/>
      <c r="G27" s="282">
        <f t="shared" si="6"/>
        <v>4750</v>
      </c>
      <c r="H27" s="283"/>
      <c r="I27" s="283">
        <f t="shared" si="4"/>
        <v>14250</v>
      </c>
      <c r="J27" s="283"/>
      <c r="K27" s="283">
        <f t="shared" si="1"/>
        <v>28500</v>
      </c>
      <c r="L27" s="283"/>
      <c r="M27" s="283">
        <f t="shared" si="2"/>
        <v>42750</v>
      </c>
      <c r="N27" s="283"/>
      <c r="O27" s="283">
        <f t="shared" si="3"/>
        <v>57000</v>
      </c>
      <c r="P27" s="283"/>
    </row>
    <row r="28" spans="1:16">
      <c r="A28" s="235"/>
      <c r="B28" s="252" t="s">
        <v>491</v>
      </c>
      <c r="C28" s="253"/>
      <c r="D28" s="254">
        <f>SUM(D22:D27)</f>
        <v>8</v>
      </c>
      <c r="E28" s="241">
        <f>SUM(E22:E27)</f>
        <v>38420</v>
      </c>
      <c r="F28" s="243"/>
      <c r="G28" s="243">
        <f>SUM(G22:G27)</f>
        <v>38420</v>
      </c>
    </row>
    <row r="29" spans="1:16">
      <c r="A29" s="235"/>
      <c r="B29" s="237"/>
      <c r="C29" s="241"/>
      <c r="D29" s="242"/>
      <c r="E29" s="241"/>
      <c r="F29" s="243"/>
      <c r="G29" s="243"/>
    </row>
    <row r="30" spans="1:16">
      <c r="A30" s="235"/>
      <c r="B30" s="237" t="s">
        <v>492</v>
      </c>
      <c r="C30" s="241"/>
      <c r="D30" s="242">
        <f>D12+D19+D28</f>
        <v>18.5</v>
      </c>
      <c r="E30" s="241">
        <f>E12+E19+E28</f>
        <v>97386.5</v>
      </c>
      <c r="F30" s="243"/>
      <c r="G30" s="241">
        <f>G12+G19+G28</f>
        <v>97386.5</v>
      </c>
    </row>
    <row r="34" spans="8:12">
      <c r="H34" s="255"/>
      <c r="I34" s="255" t="s">
        <v>494</v>
      </c>
      <c r="J34" s="255" t="s">
        <v>380</v>
      </c>
      <c r="K34" s="255" t="s">
        <v>495</v>
      </c>
      <c r="L34" s="255" t="s">
        <v>86</v>
      </c>
    </row>
    <row r="35" spans="8:12">
      <c r="H35" s="262" t="s">
        <v>496</v>
      </c>
      <c r="I35" s="263">
        <f>SUM(I15:J18)</f>
        <v>108810</v>
      </c>
      <c r="J35" s="263">
        <f>SUM(K15:L18)</f>
        <v>217620</v>
      </c>
      <c r="K35" s="263">
        <f>SUM(M15:N18)</f>
        <v>326430</v>
      </c>
      <c r="L35" s="263">
        <f>SUM(O15:P18)</f>
        <v>435240</v>
      </c>
    </row>
    <row r="36" spans="8:12">
      <c r="H36" s="255" t="s">
        <v>497</v>
      </c>
      <c r="I36" s="256">
        <f>I35*22%</f>
        <v>23938.2</v>
      </c>
      <c r="J36" s="256">
        <f t="shared" ref="J36:L36" si="7">J35*22%</f>
        <v>47876.4</v>
      </c>
      <c r="K36" s="256">
        <f t="shared" si="7"/>
        <v>71814.600000000006</v>
      </c>
      <c r="L36" s="256">
        <f t="shared" si="7"/>
        <v>95752.8</v>
      </c>
    </row>
    <row r="37" spans="8:12">
      <c r="H37" s="264" t="s">
        <v>498</v>
      </c>
      <c r="I37" s="265">
        <f>SUM(I8:J11)</f>
        <v>83689.5</v>
      </c>
      <c r="J37" s="265">
        <f>SUM(K8:L11)</f>
        <v>167379</v>
      </c>
      <c r="K37" s="265">
        <f>SUM(M8:N11)</f>
        <v>251068.5</v>
      </c>
      <c r="L37" s="265">
        <f>SUM(O8:P11)</f>
        <v>334758</v>
      </c>
    </row>
    <row r="38" spans="8:12">
      <c r="H38" s="255" t="s">
        <v>497</v>
      </c>
      <c r="I38" s="256">
        <f>I37*22%</f>
        <v>18411.689999999999</v>
      </c>
      <c r="J38" s="256">
        <f t="shared" ref="J38:L38" si="8">J37*22%</f>
        <v>36823.379999999997</v>
      </c>
      <c r="K38" s="256">
        <f t="shared" si="8"/>
        <v>55235.07</v>
      </c>
      <c r="L38" s="256">
        <f t="shared" si="8"/>
        <v>73646.759999999995</v>
      </c>
    </row>
    <row r="39" spans="8:12">
      <c r="H39" s="266" t="s">
        <v>499</v>
      </c>
      <c r="I39" s="267">
        <f>SUM(I22:J27)</f>
        <v>115260</v>
      </c>
      <c r="J39" s="267">
        <f>SUM(K22:L27)</f>
        <v>230520</v>
      </c>
      <c r="K39" s="267">
        <f>SUM(M22:N27)</f>
        <v>345780</v>
      </c>
      <c r="L39" s="267">
        <f>SUM(O22:P27)</f>
        <v>461040</v>
      </c>
    </row>
    <row r="40" spans="8:12">
      <c r="H40" s="255" t="s">
        <v>497</v>
      </c>
      <c r="I40" s="256">
        <f>(I39-I42)*22%+I42*8.41%</f>
        <v>23420.625</v>
      </c>
      <c r="J40" s="256">
        <f t="shared" ref="J40:K40" si="9">(J39-J42)*22%+J42*8.41%</f>
        <v>46841.25</v>
      </c>
      <c r="K40" s="256">
        <f t="shared" si="9"/>
        <v>70261.875</v>
      </c>
      <c r="L40" s="256">
        <f>(L39-L42)*22%+L42*8.41%</f>
        <v>93682.5</v>
      </c>
    </row>
    <row r="41" spans="8:12">
      <c r="H41" s="251"/>
      <c r="I41" s="257"/>
      <c r="J41" s="257"/>
      <c r="K41" s="257"/>
      <c r="L41" s="257"/>
    </row>
    <row r="42" spans="8:12">
      <c r="H42" s="251" t="s">
        <v>500</v>
      </c>
      <c r="I42" s="257">
        <f>I25</f>
        <v>14250</v>
      </c>
      <c r="J42" s="257">
        <f>K25</f>
        <v>28500</v>
      </c>
      <c r="K42" s="257">
        <f>M25</f>
        <v>42750</v>
      </c>
      <c r="L42" s="257">
        <f>O25</f>
        <v>57000</v>
      </c>
    </row>
    <row r="45" spans="8:12">
      <c r="H45" t="s">
        <v>501</v>
      </c>
      <c r="I45" s="247">
        <f>I35+I37+I39</f>
        <v>307759.5</v>
      </c>
      <c r="J45" s="247">
        <f t="shared" ref="J45:L45" si="10">J35+J37+J39</f>
        <v>615519</v>
      </c>
      <c r="K45" s="247">
        <f t="shared" si="10"/>
        <v>923278.5</v>
      </c>
      <c r="L45" s="247">
        <f t="shared" si="10"/>
        <v>1231038</v>
      </c>
    </row>
    <row r="46" spans="8:12">
      <c r="H46" t="s">
        <v>502</v>
      </c>
      <c r="I46" s="247">
        <f>I36+I38+I40</f>
        <v>65770.514999999999</v>
      </c>
      <c r="J46" s="247">
        <f t="shared" ref="J46:L46" si="11">J36+J38+J40</f>
        <v>131541.03</v>
      </c>
      <c r="K46" s="247">
        <f t="shared" si="11"/>
        <v>197311.54500000001</v>
      </c>
      <c r="L46" s="247">
        <f t="shared" si="11"/>
        <v>263082.06</v>
      </c>
    </row>
    <row r="48" spans="8:12">
      <c r="H48" t="s">
        <v>503</v>
      </c>
    </row>
    <row r="50" spans="7:9">
      <c r="H50" t="s">
        <v>504</v>
      </c>
    </row>
    <row r="51" spans="7:9">
      <c r="H51" t="s">
        <v>278</v>
      </c>
      <c r="I51" s="247">
        <f>O8</f>
        <v>180180</v>
      </c>
    </row>
    <row r="52" spans="7:9">
      <c r="H52" t="s">
        <v>505</v>
      </c>
      <c r="I52" s="247">
        <f>L37-I51</f>
        <v>154578</v>
      </c>
    </row>
    <row r="53" spans="7:9">
      <c r="H53" t="s">
        <v>279</v>
      </c>
      <c r="I53" s="247">
        <f>L35+L39</f>
        <v>896280</v>
      </c>
    </row>
    <row r="55" spans="7:9">
      <c r="H55" t="s">
        <v>506</v>
      </c>
    </row>
    <row r="56" spans="7:9">
      <c r="H56" t="s">
        <v>278</v>
      </c>
      <c r="I56" s="247">
        <f>I51*1.22</f>
        <v>219819.6</v>
      </c>
    </row>
    <row r="57" spans="7:9">
      <c r="H57" t="s">
        <v>505</v>
      </c>
      <c r="I57" s="247">
        <f>L37+L38-I56</f>
        <v>188585.16</v>
      </c>
    </row>
    <row r="58" spans="7:9">
      <c r="H58" t="s">
        <v>279</v>
      </c>
      <c r="I58" s="247">
        <f>L35+L36+L39+L40</f>
        <v>1085715.3</v>
      </c>
    </row>
    <row r="60" spans="7:9">
      <c r="H60" t="s">
        <v>507</v>
      </c>
    </row>
    <row r="61" spans="7:9">
      <c r="G61">
        <v>1</v>
      </c>
      <c r="H61" t="s">
        <v>278</v>
      </c>
      <c r="I61" s="246">
        <f>E8</f>
        <v>15015</v>
      </c>
    </row>
    <row r="62" spans="7:9">
      <c r="G62">
        <v>2.5</v>
      </c>
      <c r="H62" t="s">
        <v>505</v>
      </c>
      <c r="I62" s="246">
        <f>(C9+C10+C11)/2.5</f>
        <v>6097.2</v>
      </c>
    </row>
    <row r="63" spans="7:9">
      <c r="G63">
        <v>15</v>
      </c>
      <c r="H63" t="s">
        <v>279</v>
      </c>
      <c r="I63" s="246">
        <f>SUM(E15:E18,E22:E27)/15</f>
        <v>4979.333333333333</v>
      </c>
    </row>
    <row r="64" spans="7:9">
      <c r="I64" s="246"/>
    </row>
    <row r="65" spans="8:9">
      <c r="H65" t="s">
        <v>508</v>
      </c>
      <c r="I65" s="246"/>
    </row>
    <row r="66" spans="8:9">
      <c r="H66" t="s">
        <v>278</v>
      </c>
      <c r="I66" s="246">
        <f>I61</f>
        <v>15015</v>
      </c>
    </row>
    <row r="67" spans="8:9">
      <c r="H67" t="s">
        <v>505</v>
      </c>
      <c r="I67" s="246">
        <f t="shared" ref="I67:I68" si="12">I62</f>
        <v>6097.2</v>
      </c>
    </row>
    <row r="68" spans="8:9">
      <c r="H68" t="s">
        <v>279</v>
      </c>
      <c r="I68" s="246">
        <f t="shared" si="12"/>
        <v>4979.333333333333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13</vt:i4>
      </vt:variant>
    </vt:vector>
  </HeadingPairs>
  <TitlesOfParts>
    <vt:vector size="24" baseType="lpstr">
      <vt:lpstr>Лист1</vt:lpstr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штатка</vt:lpstr>
      <vt:lpstr>6.2. Інша інфо_2</vt:lpstr>
      <vt:lpstr>Лист2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2020-01-17T12:26:27Z</cp:lastPrinted>
  <dcterms:created xsi:type="dcterms:W3CDTF">2003-03-13T16:00:22Z</dcterms:created>
  <dcterms:modified xsi:type="dcterms:W3CDTF">2020-01-17T12:42:14Z</dcterms:modified>
</cp:coreProperties>
</file>