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Відкриті дані\"/>
    </mc:Choice>
  </mc:AlternateContent>
  <bookViews>
    <workbookView xWindow="0" yWindow="0" windowWidth="20490" windowHeight="7650" tabRatio="837" activeTab="1"/>
  </bookViews>
  <sheets>
    <sheet name="Лист1" sheetId="20" r:id="rId1"/>
    <sheet name="Осн. фін. пок." sheetId="14" r:id="rId2"/>
    <sheet name="I. Фін результат" sheetId="2" r:id="rId3"/>
    <sheet name="ІІ. Розр. з бюджетом" sheetId="19" r:id="rId4"/>
    <sheet name="ІІІ. Рух грош. коштів" sheetId="18" r:id="rId5"/>
    <sheet name="IV. Кап. інвестиції" sheetId="3" r:id="rId6"/>
    <sheet name=" V. Коефіцієнти" sheetId="11" r:id="rId7"/>
    <sheet name="6.1. Інша інфо_1" sheetId="10" r:id="rId8"/>
    <sheet name="штатка" sheetId="21" r:id="rId9"/>
    <sheet name="6.2. Інша інфо_2" sheetId="9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6">' V. Коефіцієнти'!$5:$5</definedName>
    <definedName name="_xlnm.Print_Titles" localSheetId="2">'I. Фін результат'!$5:$5</definedName>
    <definedName name="_xlnm.Print_Titles" localSheetId="3">'ІІ. Розр. з бюджетом'!$5:$5</definedName>
    <definedName name="_xlnm.Print_Titles" localSheetId="4">'ІІІ. Рух грош. коштів'!$5:$5</definedName>
    <definedName name="_xlnm.Print_Titles" localSheetId="1">'Осн. фін. пок.'!$36:$36</definedName>
    <definedName name="Заголовки_для_печати_МИ">'[28]1993'!$A$1:$IV$3,'[28]1993'!$A$1:$A$65536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_xlnm.Print_Area" localSheetId="6">' V. Коефіцієнти'!$A$1:$H$26</definedName>
    <definedName name="_xlnm.Print_Area" localSheetId="7">'6.1. Інша інфо_1'!$A$1:$O$82</definedName>
    <definedName name="_xlnm.Print_Area" localSheetId="9">'6.2. Інша інфо_2'!$A$1:$AE$59</definedName>
    <definedName name="_xlnm.Print_Area" localSheetId="2">'I. Фін результат'!$A$1:$J$103</definedName>
    <definedName name="_xlnm.Print_Area" localSheetId="5">'IV. Кап. інвестиції'!$A$1:$I$16</definedName>
    <definedName name="_xlnm.Print_Area" localSheetId="3">'ІІ. Розр. з бюджетом'!$A$1:$I$42</definedName>
    <definedName name="_xlnm.Print_Area" localSheetId="4">'ІІІ. Рух грош. коштів'!$A$1:$I$80</definedName>
    <definedName name="_xlnm.Print_Area" localSheetId="1">'Осн. фін. пок.'!$A$1:$J$87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62913"/>
</workbook>
</file>

<file path=xl/calcChain.xml><?xml version="1.0" encoding="utf-8"?>
<calcChain xmlns="http://schemas.openxmlformats.org/spreadsheetml/2006/main">
  <c r="M42" i="21" l="1"/>
  <c r="L42" i="21"/>
  <c r="K42" i="21"/>
  <c r="J42" i="21"/>
  <c r="D94" i="2"/>
  <c r="D92" i="2"/>
  <c r="I97" i="2"/>
  <c r="D23" i="2" l="1"/>
  <c r="D57" i="2"/>
  <c r="D52" i="2" s="1"/>
  <c r="F47" i="2"/>
  <c r="E47" i="2"/>
  <c r="E41" i="2" s="1"/>
  <c r="G47" i="2"/>
  <c r="H47" i="2"/>
  <c r="I47" i="2"/>
  <c r="D20" i="2" l="1"/>
  <c r="E20" i="2"/>
  <c r="F20" i="2"/>
  <c r="G20" i="2"/>
  <c r="H20" i="2"/>
  <c r="I20" i="2"/>
  <c r="C20" i="2"/>
  <c r="D16" i="2"/>
  <c r="D9" i="2" s="1"/>
  <c r="E16" i="2"/>
  <c r="E9" i="2" s="1"/>
  <c r="F16" i="2"/>
  <c r="G16" i="2"/>
  <c r="H16" i="2"/>
  <c r="I16" i="2"/>
  <c r="C16" i="2"/>
  <c r="D88" i="2" l="1"/>
  <c r="E88" i="2"/>
  <c r="F88" i="2"/>
  <c r="G88" i="2"/>
  <c r="H88" i="2"/>
  <c r="I88" i="2"/>
  <c r="C88" i="2"/>
  <c r="D87" i="2"/>
  <c r="E87" i="2"/>
  <c r="F87" i="2"/>
  <c r="G87" i="2"/>
  <c r="H87" i="2"/>
  <c r="I87" i="2"/>
  <c r="C87" i="2"/>
  <c r="D47" i="2"/>
  <c r="D41" i="2" s="1"/>
  <c r="E57" i="2" l="1"/>
  <c r="E52" i="2" s="1"/>
  <c r="I57" i="2"/>
  <c r="I52" i="2" s="1"/>
  <c r="G57" i="2"/>
  <c r="G52" i="2" s="1"/>
  <c r="H57" i="2"/>
  <c r="H52" i="2" s="1"/>
  <c r="F57" i="2"/>
  <c r="F52" i="2" s="1"/>
  <c r="E95" i="2"/>
  <c r="D95" i="2"/>
  <c r="C95" i="2"/>
  <c r="F12" i="20"/>
  <c r="E12" i="20"/>
  <c r="D12" i="20"/>
  <c r="N9" i="21"/>
  <c r="P9" i="21"/>
  <c r="R9" i="21"/>
  <c r="N10" i="21"/>
  <c r="P10" i="21"/>
  <c r="R10" i="21"/>
  <c r="N11" i="21"/>
  <c r="P11" i="21"/>
  <c r="R11" i="21"/>
  <c r="M13" i="21"/>
  <c r="N13" i="21"/>
  <c r="O13" i="21"/>
  <c r="P13" i="21"/>
  <c r="Q13" i="21"/>
  <c r="R13" i="21"/>
  <c r="M14" i="21"/>
  <c r="N14" i="21"/>
  <c r="O14" i="21"/>
  <c r="P14" i="21"/>
  <c r="Q14" i="21"/>
  <c r="R14" i="21"/>
  <c r="N15" i="21"/>
  <c r="P15" i="21"/>
  <c r="R15" i="21"/>
  <c r="N16" i="21"/>
  <c r="P16" i="21"/>
  <c r="R16" i="21"/>
  <c r="N17" i="21"/>
  <c r="P17" i="21"/>
  <c r="R17" i="21"/>
  <c r="N18" i="21"/>
  <c r="P18" i="21"/>
  <c r="R18" i="21"/>
  <c r="M20" i="21"/>
  <c r="N20" i="21"/>
  <c r="O20" i="21"/>
  <c r="P20" i="21"/>
  <c r="Q20" i="21"/>
  <c r="R20" i="21"/>
  <c r="M21" i="21"/>
  <c r="N21" i="21"/>
  <c r="O21" i="21"/>
  <c r="P21" i="21"/>
  <c r="Q21" i="21"/>
  <c r="R21" i="21"/>
  <c r="N22" i="21"/>
  <c r="P22" i="21"/>
  <c r="R22" i="21"/>
  <c r="N23" i="21"/>
  <c r="P23" i="21"/>
  <c r="R23" i="21"/>
  <c r="N24" i="21"/>
  <c r="P24" i="21"/>
  <c r="R24" i="21"/>
  <c r="N25" i="21"/>
  <c r="P25" i="21"/>
  <c r="R25" i="21"/>
  <c r="N26" i="21"/>
  <c r="P26" i="21"/>
  <c r="R26" i="21"/>
  <c r="N27" i="21"/>
  <c r="P27" i="21"/>
  <c r="R27" i="21"/>
  <c r="R8" i="21"/>
  <c r="P8" i="21"/>
  <c r="N8" i="21"/>
  <c r="L9" i="21"/>
  <c r="L10" i="21"/>
  <c r="L11" i="21"/>
  <c r="L13" i="21"/>
  <c r="L14" i="21"/>
  <c r="L15" i="21"/>
  <c r="L16" i="21"/>
  <c r="L17" i="21"/>
  <c r="L18" i="21"/>
  <c r="L20" i="21"/>
  <c r="L21" i="21"/>
  <c r="L22" i="21"/>
  <c r="L23" i="21"/>
  <c r="L24" i="21"/>
  <c r="L25" i="21"/>
  <c r="L26" i="21"/>
  <c r="L27" i="21"/>
  <c r="L8" i="21"/>
  <c r="K13" i="21"/>
  <c r="K14" i="21"/>
  <c r="K20" i="21"/>
  <c r="K21" i="21"/>
  <c r="S14" i="21" l="1"/>
  <c r="S20" i="21"/>
  <c r="L30" i="21"/>
  <c r="N30" i="21"/>
  <c r="P30" i="21"/>
  <c r="R30" i="21"/>
  <c r="S21" i="21"/>
  <c r="S13" i="21"/>
  <c r="F97" i="2"/>
  <c r="F86" i="2" s="1"/>
  <c r="G97" i="2"/>
  <c r="G86" i="2" s="1"/>
  <c r="H97" i="2"/>
  <c r="H86" i="2" s="1"/>
  <c r="I86" i="2"/>
  <c r="E97" i="2"/>
  <c r="E86" i="2" s="1"/>
  <c r="C97" i="2"/>
  <c r="C86" i="2" s="1"/>
  <c r="C96" i="2"/>
  <c r="C94" i="2"/>
  <c r="E35" i="19" l="1"/>
  <c r="F42" i="14"/>
  <c r="E7" i="2"/>
  <c r="F38" i="14" s="1"/>
  <c r="C9" i="2"/>
  <c r="D77" i="14"/>
  <c r="H32" i="10"/>
  <c r="H33" i="10"/>
  <c r="E12" i="18"/>
  <c r="F12" i="18"/>
  <c r="G12" i="18"/>
  <c r="H12" i="18"/>
  <c r="I12" i="18"/>
  <c r="C12" i="18"/>
  <c r="E94" i="2"/>
  <c r="F94" i="2"/>
  <c r="G94" i="2"/>
  <c r="H94" i="2"/>
  <c r="I94" i="2"/>
  <c r="D97" i="2"/>
  <c r="C67" i="2"/>
  <c r="C81" i="2" s="1"/>
  <c r="C48" i="14" s="1"/>
  <c r="D67" i="2"/>
  <c r="D81" i="2" s="1"/>
  <c r="D48" i="14" s="1"/>
  <c r="E67" i="2"/>
  <c r="E81" i="2" s="1"/>
  <c r="F48" i="14" s="1"/>
  <c r="C57" i="2"/>
  <c r="C52" i="2" s="1"/>
  <c r="C23" i="2"/>
  <c r="C41" i="14" s="1"/>
  <c r="D12" i="21"/>
  <c r="D19" i="21"/>
  <c r="C12" i="20"/>
  <c r="E10" i="21"/>
  <c r="G67" i="2"/>
  <c r="G81" i="2" s="1"/>
  <c r="H67" i="2"/>
  <c r="H81" i="2" s="1"/>
  <c r="I67" i="2"/>
  <c r="I81" i="2" s="1"/>
  <c r="E48" i="14" s="1"/>
  <c r="G48" i="14" s="1"/>
  <c r="H48" i="14" s="1"/>
  <c r="I48" i="14" s="1"/>
  <c r="J48" i="14" s="1"/>
  <c r="F67" i="2"/>
  <c r="F81" i="2" s="1"/>
  <c r="D28" i="21"/>
  <c r="E38" i="2"/>
  <c r="E39" i="2"/>
  <c r="E109" i="2"/>
  <c r="E25" i="2"/>
  <c r="D80" i="2"/>
  <c r="D47" i="14" s="1"/>
  <c r="E80" i="2"/>
  <c r="F47" i="14" s="1"/>
  <c r="F80" i="2"/>
  <c r="G80" i="2"/>
  <c r="H80" i="2"/>
  <c r="I80" i="2"/>
  <c r="E47" i="14" s="1"/>
  <c r="G47" i="14" s="1"/>
  <c r="H47" i="14" s="1"/>
  <c r="I47" i="14" s="1"/>
  <c r="J47" i="14" s="1"/>
  <c r="C80" i="2"/>
  <c r="C47" i="14" s="1"/>
  <c r="E24" i="21"/>
  <c r="D39" i="14"/>
  <c r="E96" i="2"/>
  <c r="F58" i="14"/>
  <c r="C37" i="19"/>
  <c r="C58" i="14" s="1"/>
  <c r="D96" i="2"/>
  <c r="H56" i="10"/>
  <c r="M56" i="10"/>
  <c r="M58" i="10" s="1"/>
  <c r="D107" i="2"/>
  <c r="E107" i="2"/>
  <c r="F107" i="2"/>
  <c r="G107" i="2"/>
  <c r="H107" i="2"/>
  <c r="I107" i="2"/>
  <c r="C107" i="2"/>
  <c r="E23" i="21"/>
  <c r="E17" i="21"/>
  <c r="E16" i="21"/>
  <c r="E27" i="21"/>
  <c r="E26" i="21"/>
  <c r="E25" i="21"/>
  <c r="E22" i="21"/>
  <c r="G22" i="21" s="1"/>
  <c r="E18" i="21"/>
  <c r="G18" i="21" s="1"/>
  <c r="E11" i="21"/>
  <c r="G11" i="21" s="1"/>
  <c r="E9" i="21"/>
  <c r="G9" i="21" s="1"/>
  <c r="E8" i="21"/>
  <c r="G8" i="21" s="1"/>
  <c r="L25" i="10"/>
  <c r="L23" i="10"/>
  <c r="N24" i="10"/>
  <c r="C41" i="2"/>
  <c r="C42" i="14" s="1"/>
  <c r="D79" i="2"/>
  <c r="D43" i="14" s="1"/>
  <c r="J74" i="2"/>
  <c r="C93" i="2"/>
  <c r="C92" i="2" s="1"/>
  <c r="E93" i="2"/>
  <c r="F93" i="2"/>
  <c r="F92" i="2" s="1"/>
  <c r="G93" i="2"/>
  <c r="H93" i="2"/>
  <c r="H92" i="2" s="1"/>
  <c r="I9" i="18"/>
  <c r="D106" i="2"/>
  <c r="E106" i="2"/>
  <c r="F106" i="2"/>
  <c r="G106" i="2"/>
  <c r="H106" i="2"/>
  <c r="I106" i="2"/>
  <c r="D108" i="2"/>
  <c r="D109" i="2"/>
  <c r="D110" i="2"/>
  <c r="F110" i="2"/>
  <c r="G110" i="2"/>
  <c r="H110" i="2"/>
  <c r="I110" i="2"/>
  <c r="C110" i="2"/>
  <c r="C109" i="2"/>
  <c r="C108" i="2"/>
  <c r="C106" i="2"/>
  <c r="C105" i="2" s="1"/>
  <c r="H31" i="10"/>
  <c r="I93" i="2"/>
  <c r="N14" i="10"/>
  <c r="N15" i="10"/>
  <c r="N16" i="10"/>
  <c r="N12" i="10"/>
  <c r="L14" i="10"/>
  <c r="L15" i="10"/>
  <c r="L16" i="10"/>
  <c r="L12" i="10"/>
  <c r="V22" i="9"/>
  <c r="G7" i="2"/>
  <c r="F77" i="14"/>
  <c r="C77" i="14"/>
  <c r="V20" i="9"/>
  <c r="V21" i="9"/>
  <c r="V19" i="9"/>
  <c r="D7" i="2"/>
  <c r="D19" i="2" s="1"/>
  <c r="D41" i="14"/>
  <c r="I7" i="2"/>
  <c r="M7" i="9"/>
  <c r="C7" i="2"/>
  <c r="C38" i="14" s="1"/>
  <c r="F7" i="2"/>
  <c r="H7" i="2"/>
  <c r="C19" i="18"/>
  <c r="C57" i="18"/>
  <c r="C58" i="18"/>
  <c r="C40" i="18"/>
  <c r="C63" i="14" s="1"/>
  <c r="E19" i="18"/>
  <c r="E40" i="18"/>
  <c r="F63" i="14" s="1"/>
  <c r="I40" i="18"/>
  <c r="E63" i="14" s="1"/>
  <c r="G63" i="14" s="1"/>
  <c r="H63" i="14" s="1"/>
  <c r="I63" i="14" s="1"/>
  <c r="J63" i="14" s="1"/>
  <c r="C21" i="19"/>
  <c r="C20" i="19"/>
  <c r="C80" i="14"/>
  <c r="K53" i="9"/>
  <c r="O53" i="9"/>
  <c r="M47" i="9"/>
  <c r="M48" i="9"/>
  <c r="M49" i="9"/>
  <c r="Z35" i="9"/>
  <c r="Y32" i="9"/>
  <c r="X32" i="9"/>
  <c r="W32" i="9"/>
  <c r="G36" i="9"/>
  <c r="F15" i="11"/>
  <c r="D15" i="11"/>
  <c r="F14" i="11"/>
  <c r="F72" i="14" s="1"/>
  <c r="D14" i="11"/>
  <c r="C72" i="14" s="1"/>
  <c r="C6" i="3"/>
  <c r="C68" i="14" s="1"/>
  <c r="D17" i="11" s="1"/>
  <c r="D19" i="18"/>
  <c r="D57" i="18"/>
  <c r="D70" i="18" s="1"/>
  <c r="D64" i="14" s="1"/>
  <c r="D58" i="18"/>
  <c r="D40" i="18"/>
  <c r="D63" i="14" s="1"/>
  <c r="F40" i="18"/>
  <c r="G40" i="18"/>
  <c r="H40" i="18"/>
  <c r="D72" i="14"/>
  <c r="E65" i="14"/>
  <c r="G65" i="14" s="1"/>
  <c r="H65" i="14" s="1"/>
  <c r="I65" i="14" s="1"/>
  <c r="J65" i="14" s="1"/>
  <c r="E56" i="14"/>
  <c r="G56" i="14" s="1"/>
  <c r="H56" i="14" s="1"/>
  <c r="I56" i="14" s="1"/>
  <c r="J56" i="14" s="1"/>
  <c r="C22" i="19"/>
  <c r="C55" i="14" s="1"/>
  <c r="C25" i="19"/>
  <c r="C57" i="14" s="1"/>
  <c r="D22" i="19"/>
  <c r="D55" i="14" s="1"/>
  <c r="E22" i="19"/>
  <c r="F55" i="14" s="1"/>
  <c r="D21" i="19"/>
  <c r="D20" i="19"/>
  <c r="D8" i="19"/>
  <c r="C8" i="19"/>
  <c r="F80" i="14"/>
  <c r="E80" i="14"/>
  <c r="D80" i="14"/>
  <c r="D25" i="19"/>
  <c r="D57" i="14" s="1"/>
  <c r="E25" i="19"/>
  <c r="F57" i="14" s="1"/>
  <c r="E53" i="9"/>
  <c r="AC11" i="9"/>
  <c r="Z11" i="9"/>
  <c r="W11" i="9"/>
  <c r="T11" i="9"/>
  <c r="Q11" i="9"/>
  <c r="I6" i="3"/>
  <c r="H6" i="3"/>
  <c r="G6" i="3"/>
  <c r="F6" i="3"/>
  <c r="F56" i="14"/>
  <c r="D56" i="14"/>
  <c r="C56" i="14"/>
  <c r="M52" i="9"/>
  <c r="M51" i="9"/>
  <c r="M50" i="9"/>
  <c r="M46" i="9"/>
  <c r="S53" i="9"/>
  <c r="Q53" i="9"/>
  <c r="I53" i="9"/>
  <c r="G53" i="9"/>
  <c r="Y35" i="9"/>
  <c r="X35" i="9"/>
  <c r="W35" i="9"/>
  <c r="Z34" i="9"/>
  <c r="Y34" i="9"/>
  <c r="X34" i="9"/>
  <c r="W34" i="9"/>
  <c r="Z33" i="9"/>
  <c r="Z32" i="9"/>
  <c r="Y33" i="9"/>
  <c r="X33" i="9"/>
  <c r="W33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AD23" i="9"/>
  <c r="V23" i="9" s="1"/>
  <c r="AB23" i="9"/>
  <c r="Z23" i="9"/>
  <c r="X23" i="9"/>
  <c r="M10" i="9"/>
  <c r="M9" i="9"/>
  <c r="M8" i="9"/>
  <c r="K67" i="10"/>
  <c r="E6" i="3"/>
  <c r="F68" i="14" s="1"/>
  <c r="D6" i="3"/>
  <c r="D68" i="14" s="1"/>
  <c r="F65" i="14"/>
  <c r="D65" i="14"/>
  <c r="C65" i="14"/>
  <c r="D61" i="14"/>
  <c r="C61" i="14"/>
  <c r="D58" i="14"/>
  <c r="F50" i="14"/>
  <c r="D50" i="14"/>
  <c r="C50" i="14"/>
  <c r="B48" i="14"/>
  <c r="B72" i="14"/>
  <c r="B71" i="14"/>
  <c r="B70" i="14"/>
  <c r="B68" i="14"/>
  <c r="B65" i="14"/>
  <c r="B64" i="14"/>
  <c r="B63" i="14"/>
  <c r="B62" i="14"/>
  <c r="B66" i="14"/>
  <c r="B61" i="14"/>
  <c r="B59" i="14"/>
  <c r="B58" i="14"/>
  <c r="B57" i="14"/>
  <c r="B55" i="14"/>
  <c r="B54" i="14"/>
  <c r="B52" i="14"/>
  <c r="B51" i="14"/>
  <c r="B50" i="14"/>
  <c r="B49" i="14"/>
  <c r="B47" i="14"/>
  <c r="B46" i="14"/>
  <c r="B45" i="14"/>
  <c r="B44" i="14"/>
  <c r="B43" i="14"/>
  <c r="B41" i="14"/>
  <c r="B42" i="14"/>
  <c r="B40" i="14"/>
  <c r="B39" i="14"/>
  <c r="B38" i="14"/>
  <c r="N25" i="10"/>
  <c r="N23" i="10"/>
  <c r="N27" i="10"/>
  <c r="L27" i="10"/>
  <c r="N21" i="10"/>
  <c r="L21" i="10"/>
  <c r="L20" i="10"/>
  <c r="N20" i="10"/>
  <c r="L24" i="10"/>
  <c r="W36" i="9"/>
  <c r="N19" i="10"/>
  <c r="L19" i="10"/>
  <c r="G9" i="18"/>
  <c r="G58" i="10"/>
  <c r="E110" i="2"/>
  <c r="E108" i="2"/>
  <c r="E15" i="21"/>
  <c r="H9" i="18"/>
  <c r="D58" i="10"/>
  <c r="E56" i="10"/>
  <c r="G15" i="21"/>
  <c r="E9" i="18"/>
  <c r="J56" i="10"/>
  <c r="E57" i="18"/>
  <c r="E20" i="19"/>
  <c r="E58" i="18"/>
  <c r="E21" i="19"/>
  <c r="E19" i="19" s="1"/>
  <c r="E8" i="19"/>
  <c r="F9" i="18"/>
  <c r="C9" i="18"/>
  <c r="E23" i="2" l="1"/>
  <c r="E82" i="2"/>
  <c r="C19" i="19"/>
  <c r="D9" i="18"/>
  <c r="D86" i="2"/>
  <c r="E79" i="2"/>
  <c r="F43" i="14" s="1"/>
  <c r="N56" i="10"/>
  <c r="X36" i="9"/>
  <c r="Z36" i="9"/>
  <c r="I105" i="2"/>
  <c r="G105" i="2"/>
  <c r="E105" i="2"/>
  <c r="D105" i="2"/>
  <c r="F41" i="14"/>
  <c r="Y36" i="9"/>
  <c r="M53" i="9"/>
  <c r="E19" i="2"/>
  <c r="F40" i="14" s="1"/>
  <c r="F7" i="11" s="1"/>
  <c r="C19" i="2"/>
  <c r="C40" i="14" s="1"/>
  <c r="D7" i="11" s="1"/>
  <c r="M11" i="9"/>
  <c r="G92" i="2"/>
  <c r="F39" i="14"/>
  <c r="C39" i="14"/>
  <c r="E92" i="2"/>
  <c r="I79" i="2"/>
  <c r="E43" i="14" s="1"/>
  <c r="G43" i="14" s="1"/>
  <c r="H43" i="14" s="1"/>
  <c r="I43" i="14" s="1"/>
  <c r="J43" i="14" s="1"/>
  <c r="D18" i="11"/>
  <c r="I92" i="2"/>
  <c r="F105" i="2"/>
  <c r="E70" i="18"/>
  <c r="F64" i="14" s="1"/>
  <c r="K56" i="10"/>
  <c r="J58" i="10"/>
  <c r="E68" i="14"/>
  <c r="G68" i="14" s="1"/>
  <c r="H68" i="14" s="1"/>
  <c r="I68" i="14" s="1"/>
  <c r="J68" i="14" s="1"/>
  <c r="G19" i="11"/>
  <c r="C54" i="14"/>
  <c r="C38" i="19"/>
  <c r="C59" i="14" s="1"/>
  <c r="C79" i="2"/>
  <c r="C43" i="14" s="1"/>
  <c r="C82" i="2"/>
  <c r="M24" i="21"/>
  <c r="O24" i="21"/>
  <c r="Q24" i="21"/>
  <c r="S24" i="21" s="1"/>
  <c r="K24" i="21"/>
  <c r="G24" i="21"/>
  <c r="D65" i="2"/>
  <c r="D85" i="2" s="1"/>
  <c r="D90" i="2" s="1"/>
  <c r="D40" i="14"/>
  <c r="H79" i="2"/>
  <c r="F17" i="11"/>
  <c r="F18" i="11"/>
  <c r="E38" i="14"/>
  <c r="G38" i="14" s="1"/>
  <c r="H38" i="14" s="1"/>
  <c r="I38" i="14" s="1"/>
  <c r="J38" i="14" s="1"/>
  <c r="I82" i="2"/>
  <c r="D82" i="2"/>
  <c r="D38" i="14"/>
  <c r="H105" i="2"/>
  <c r="D42" i="14"/>
  <c r="D83" i="2"/>
  <c r="D98" i="2" s="1"/>
  <c r="D99" i="2" s="1"/>
  <c r="K22" i="21"/>
  <c r="M22" i="21"/>
  <c r="O22" i="21"/>
  <c r="Q22" i="21"/>
  <c r="S22" i="21" s="1"/>
  <c r="E28" i="21"/>
  <c r="G26" i="21"/>
  <c r="K26" i="21"/>
  <c r="M26" i="21"/>
  <c r="O26" i="21"/>
  <c r="Q26" i="21"/>
  <c r="S26" i="21" s="1"/>
  <c r="G16" i="21"/>
  <c r="M16" i="21"/>
  <c r="O16" i="21"/>
  <c r="Q16" i="21"/>
  <c r="K16" i="21"/>
  <c r="E19" i="21"/>
  <c r="G23" i="21"/>
  <c r="M23" i="21"/>
  <c r="O23" i="21"/>
  <c r="Q23" i="21"/>
  <c r="K23" i="21"/>
  <c r="M10" i="21"/>
  <c r="O10" i="21"/>
  <c r="Q10" i="21"/>
  <c r="S10" i="21" s="1"/>
  <c r="K10" i="21"/>
  <c r="G10" i="21"/>
  <c r="G12" i="21" s="1"/>
  <c r="E12" i="21"/>
  <c r="D30" i="21"/>
  <c r="C83" i="2"/>
  <c r="C98" i="2" s="1"/>
  <c r="C99" i="2" s="1"/>
  <c r="M15" i="21"/>
  <c r="O15" i="21"/>
  <c r="Q15" i="21"/>
  <c r="S15" i="21" s="1"/>
  <c r="K15" i="21"/>
  <c r="D19" i="19"/>
  <c r="D54" i="14" s="1"/>
  <c r="C70" i="18"/>
  <c r="C64" i="14" s="1"/>
  <c r="Q8" i="21"/>
  <c r="O8" i="21"/>
  <c r="M8" i="21"/>
  <c r="K8" i="21"/>
  <c r="M9" i="21"/>
  <c r="O9" i="21"/>
  <c r="Q9" i="21"/>
  <c r="S9" i="21" s="1"/>
  <c r="K9" i="21"/>
  <c r="M11" i="21"/>
  <c r="O11" i="21"/>
  <c r="Q11" i="21"/>
  <c r="S11" i="21" s="1"/>
  <c r="K11" i="21"/>
  <c r="M18" i="21"/>
  <c r="O18" i="21"/>
  <c r="Q18" i="21"/>
  <c r="S18" i="21" s="1"/>
  <c r="K18" i="21"/>
  <c r="G25" i="21"/>
  <c r="M25" i="21"/>
  <c r="O25" i="21"/>
  <c r="Q25" i="21"/>
  <c r="S25" i="21" s="1"/>
  <c r="K25" i="21"/>
  <c r="G27" i="21"/>
  <c r="K27" i="21"/>
  <c r="M27" i="21"/>
  <c r="O27" i="21"/>
  <c r="Q27" i="21"/>
  <c r="S27" i="21" s="1"/>
  <c r="G17" i="21"/>
  <c r="K17" i="21"/>
  <c r="M17" i="21"/>
  <c r="O17" i="21"/>
  <c r="Q17" i="21"/>
  <c r="S17" i="21" s="1"/>
  <c r="E38" i="19"/>
  <c r="F59" i="14" s="1"/>
  <c r="F54" i="14"/>
  <c r="G28" i="21" l="1"/>
  <c r="E65" i="2"/>
  <c r="E85" i="2" s="1"/>
  <c r="E90" i="2" s="1"/>
  <c r="F45" i="14" s="1"/>
  <c r="D38" i="19"/>
  <c r="D59" i="14" s="1"/>
  <c r="C65" i="2"/>
  <c r="G19" i="21"/>
  <c r="E83" i="2"/>
  <c r="E98" i="2" s="1"/>
  <c r="E99" i="2" s="1"/>
  <c r="K35" i="21"/>
  <c r="G18" i="11"/>
  <c r="G30" i="21"/>
  <c r="J37" i="21"/>
  <c r="J38" i="21" s="1"/>
  <c r="K27" i="2" s="1"/>
  <c r="F27" i="2" s="1"/>
  <c r="K30" i="21"/>
  <c r="L37" i="21"/>
  <c r="O30" i="21"/>
  <c r="M39" i="21"/>
  <c r="M40" i="21" s="1"/>
  <c r="N46" i="2" s="1"/>
  <c r="I46" i="2" s="1"/>
  <c r="S23" i="21"/>
  <c r="K39" i="21"/>
  <c r="K40" i="21" s="1"/>
  <c r="L46" i="2" s="1"/>
  <c r="G46" i="2" s="1"/>
  <c r="S16" i="21"/>
  <c r="J63" i="21" s="1"/>
  <c r="M35" i="21"/>
  <c r="D45" i="14"/>
  <c r="D46" i="14" s="1"/>
  <c r="D71" i="2"/>
  <c r="D44" i="14"/>
  <c r="J62" i="21"/>
  <c r="M30" i="21"/>
  <c r="K37" i="21"/>
  <c r="K45" i="21" s="1"/>
  <c r="Q30" i="21"/>
  <c r="M37" i="21"/>
  <c r="S8" i="21"/>
  <c r="J39" i="21"/>
  <c r="J40" i="21" s="1"/>
  <c r="K46" i="2" s="1"/>
  <c r="F46" i="2" s="1"/>
  <c r="L39" i="21"/>
  <c r="J35" i="21"/>
  <c r="J36" i="21" s="1"/>
  <c r="L35" i="21"/>
  <c r="E30" i="21"/>
  <c r="F82" i="2"/>
  <c r="F79" i="2"/>
  <c r="G79" i="2"/>
  <c r="G82" i="2"/>
  <c r="H82" i="2"/>
  <c r="G17" i="11"/>
  <c r="E74" i="14"/>
  <c r="F44" i="14"/>
  <c r="K26" i="2"/>
  <c r="F26" i="2" s="1"/>
  <c r="F23" i="2" s="1"/>
  <c r="L44" i="2" l="1"/>
  <c r="G44" i="2" s="1"/>
  <c r="E71" i="2"/>
  <c r="E74" i="2" s="1"/>
  <c r="G41" i="2"/>
  <c r="C71" i="2"/>
  <c r="C74" i="2" s="1"/>
  <c r="C85" i="2"/>
  <c r="C90" i="2" s="1"/>
  <c r="C45" i="14" s="1"/>
  <c r="D13" i="11" s="1"/>
  <c r="C44" i="14"/>
  <c r="K13" i="2"/>
  <c r="F13" i="2" s="1"/>
  <c r="N44" i="2"/>
  <c r="I44" i="2" s="1"/>
  <c r="K44" i="2"/>
  <c r="F44" i="2" s="1"/>
  <c r="F41" i="2" s="1"/>
  <c r="L45" i="21"/>
  <c r="F49" i="14"/>
  <c r="J51" i="21"/>
  <c r="J56" i="21" s="1"/>
  <c r="Q23" i="10" s="1"/>
  <c r="S30" i="21"/>
  <c r="J53" i="21"/>
  <c r="M45" i="21"/>
  <c r="M36" i="21"/>
  <c r="J58" i="21" s="1"/>
  <c r="Q25" i="10" s="1"/>
  <c r="J46" i="21"/>
  <c r="F8" i="11"/>
  <c r="F46" i="14" s="1"/>
  <c r="F13" i="11"/>
  <c r="J45" i="21"/>
  <c r="M38" i="21"/>
  <c r="J52" i="21"/>
  <c r="J57" i="21" s="1"/>
  <c r="J28" i="10"/>
  <c r="Q28" i="10"/>
  <c r="J67" i="21"/>
  <c r="D7" i="18"/>
  <c r="D15" i="18" s="1"/>
  <c r="D18" i="18" s="1"/>
  <c r="D20" i="18" s="1"/>
  <c r="D74" i="2"/>
  <c r="D17" i="19" s="1"/>
  <c r="D49" i="14"/>
  <c r="J68" i="21"/>
  <c r="Q29" i="10"/>
  <c r="J29" i="10"/>
  <c r="Q21" i="10"/>
  <c r="K14" i="2"/>
  <c r="N13" i="2"/>
  <c r="I13" i="2" s="1"/>
  <c r="L40" i="21"/>
  <c r="M46" i="2" s="1"/>
  <c r="H46" i="2" s="1"/>
  <c r="M44" i="2"/>
  <c r="H44" i="2" s="1"/>
  <c r="H41" i="2" s="1"/>
  <c r="L36" i="21"/>
  <c r="M13" i="2"/>
  <c r="H13" i="2" s="1"/>
  <c r="F95" i="2"/>
  <c r="C11" i="20" s="1"/>
  <c r="C19" i="20" s="1"/>
  <c r="F36" i="19" s="1"/>
  <c r="F35" i="19" s="1"/>
  <c r="K36" i="21"/>
  <c r="L13" i="2"/>
  <c r="G13" i="2" s="1"/>
  <c r="J61" i="21" l="1"/>
  <c r="E7" i="18"/>
  <c r="E15" i="18" s="1"/>
  <c r="E18" i="18" s="1"/>
  <c r="E20" i="18" s="1"/>
  <c r="E75" i="18" s="1"/>
  <c r="F108" i="2"/>
  <c r="F14" i="2"/>
  <c r="F9" i="2" s="1"/>
  <c r="F19" i="2" s="1"/>
  <c r="F65" i="2" s="1"/>
  <c r="F85" i="2" s="1"/>
  <c r="F90" i="2" s="1"/>
  <c r="K95" i="2"/>
  <c r="I41" i="2"/>
  <c r="E42" i="14" s="1"/>
  <c r="G42" i="14" s="1"/>
  <c r="H42" i="14" s="1"/>
  <c r="I42" i="14" s="1"/>
  <c r="J42" i="14" s="1"/>
  <c r="C17" i="19"/>
  <c r="E7" i="19" s="1"/>
  <c r="C76" i="2"/>
  <c r="C51" i="14"/>
  <c r="C75" i="2"/>
  <c r="C49" i="14"/>
  <c r="C7" i="18"/>
  <c r="C15" i="18" s="1"/>
  <c r="C18" i="18" s="1"/>
  <c r="C20" i="18" s="1"/>
  <c r="D8" i="11"/>
  <c r="C46" i="14" s="1"/>
  <c r="C18" i="20"/>
  <c r="F29" i="19" s="1"/>
  <c r="F25" i="19" s="1"/>
  <c r="D74" i="18"/>
  <c r="D62" i="14"/>
  <c r="D75" i="18"/>
  <c r="D10" i="11"/>
  <c r="C71" i="14" s="1"/>
  <c r="D11" i="11"/>
  <c r="C52" i="14" s="1"/>
  <c r="D9" i="11"/>
  <c r="C70" i="14" s="1"/>
  <c r="Q19" i="10"/>
  <c r="L29" i="10"/>
  <c r="N29" i="10"/>
  <c r="J33" i="10"/>
  <c r="Q33" i="10"/>
  <c r="D76" i="2"/>
  <c r="D75" i="2"/>
  <c r="D51" i="14"/>
  <c r="J32" i="10"/>
  <c r="Q32" i="10"/>
  <c r="L28" i="10"/>
  <c r="N28" i="10"/>
  <c r="M46" i="21"/>
  <c r="F62" i="14"/>
  <c r="E76" i="2"/>
  <c r="F51" i="14"/>
  <c r="E75" i="2"/>
  <c r="E17" i="19"/>
  <c r="C17" i="20"/>
  <c r="N14" i="2"/>
  <c r="L14" i="2"/>
  <c r="M14" i="2"/>
  <c r="J66" i="21"/>
  <c r="Q27" i="10"/>
  <c r="K38" i="21"/>
  <c r="L27" i="2" s="1"/>
  <c r="G27" i="2" s="1"/>
  <c r="L26" i="2"/>
  <c r="G26" i="2" s="1"/>
  <c r="F96" i="2"/>
  <c r="F37" i="19" s="1"/>
  <c r="F109" i="2" l="1"/>
  <c r="G23" i="2"/>
  <c r="G14" i="2"/>
  <c r="G9" i="2" s="1"/>
  <c r="L95" i="2"/>
  <c r="H14" i="2"/>
  <c r="H9" i="2" s="1"/>
  <c r="I14" i="2"/>
  <c r="C74" i="18"/>
  <c r="C75" i="18"/>
  <c r="C62" i="14"/>
  <c r="K96" i="2"/>
  <c r="K97" i="2" s="1"/>
  <c r="H7" i="19"/>
  <c r="I7" i="19"/>
  <c r="G7" i="19"/>
  <c r="F7" i="19"/>
  <c r="F11" i="11"/>
  <c r="F52" i="14" s="1"/>
  <c r="F10" i="11"/>
  <c r="F71" i="14" s="1"/>
  <c r="F9" i="11"/>
  <c r="F70" i="14" s="1"/>
  <c r="N32" i="10"/>
  <c r="L32" i="10"/>
  <c r="D66" i="14"/>
  <c r="D70" i="14"/>
  <c r="D52" i="14"/>
  <c r="D71" i="14"/>
  <c r="L33" i="10"/>
  <c r="N33" i="10"/>
  <c r="K46" i="21"/>
  <c r="F71" i="2"/>
  <c r="J31" i="10"/>
  <c r="Q31" i="10"/>
  <c r="H19" i="2"/>
  <c r="G95" i="2"/>
  <c r="D11" i="20" s="1"/>
  <c r="G108" i="2"/>
  <c r="G109" i="2"/>
  <c r="G96" i="2"/>
  <c r="G37" i="19" s="1"/>
  <c r="I9" i="2" l="1"/>
  <c r="C76" i="14"/>
  <c r="C66" i="14"/>
  <c r="E72" i="18"/>
  <c r="F7" i="18"/>
  <c r="F15" i="18" s="1"/>
  <c r="F18" i="18" s="1"/>
  <c r="E39" i="14"/>
  <c r="G39" i="14" s="1"/>
  <c r="H39" i="14" s="1"/>
  <c r="I39" i="14" s="1"/>
  <c r="J39" i="14" s="1"/>
  <c r="I19" i="2"/>
  <c r="D17" i="20"/>
  <c r="D19" i="20"/>
  <c r="G36" i="19" s="1"/>
  <c r="G35" i="19" s="1"/>
  <c r="D18" i="20"/>
  <c r="G29" i="19" s="1"/>
  <c r="G19" i="2"/>
  <c r="G65" i="2" s="1"/>
  <c r="G85" i="2" s="1"/>
  <c r="G90" i="2" s="1"/>
  <c r="N31" i="10"/>
  <c r="L31" i="10"/>
  <c r="M26" i="2"/>
  <c r="H26" i="2" s="1"/>
  <c r="L38" i="21"/>
  <c r="L46" i="21" s="1"/>
  <c r="E74" i="18" l="1"/>
  <c r="F61" i="14"/>
  <c r="F22" i="19"/>
  <c r="F19" i="18"/>
  <c r="F20" i="18" s="1"/>
  <c r="F83" i="2"/>
  <c r="F98" i="2" s="1"/>
  <c r="F99" i="2" s="1"/>
  <c r="F74" i="2"/>
  <c r="H108" i="2"/>
  <c r="H95" i="2"/>
  <c r="E11" i="20" s="1"/>
  <c r="G71" i="2"/>
  <c r="L96" i="2"/>
  <c r="L97" i="2" s="1"/>
  <c r="G40" i="14"/>
  <c r="G25" i="19"/>
  <c r="M27" i="2"/>
  <c r="E40" i="14"/>
  <c r="G7" i="11" s="1"/>
  <c r="H27" i="2" l="1"/>
  <c r="H23" i="2" s="1"/>
  <c r="M95" i="2"/>
  <c r="F76" i="14"/>
  <c r="F66" i="14"/>
  <c r="G72" i="18"/>
  <c r="H72" i="18"/>
  <c r="I72" i="18"/>
  <c r="E61" i="14" s="1"/>
  <c r="F72" i="18"/>
  <c r="F76" i="2"/>
  <c r="F9" i="19"/>
  <c r="F75" i="2"/>
  <c r="H96" i="2"/>
  <c r="H37" i="19" s="1"/>
  <c r="H109" i="2"/>
  <c r="G7" i="18"/>
  <c r="G15" i="18" s="1"/>
  <c r="G18" i="18" s="1"/>
  <c r="E19" i="20"/>
  <c r="H36" i="19" s="1"/>
  <c r="H35" i="19" s="1"/>
  <c r="E18" i="20"/>
  <c r="H29" i="19" s="1"/>
  <c r="E17" i="20"/>
  <c r="H40" i="14"/>
  <c r="F10" i="19" l="1"/>
  <c r="F8" i="19" s="1"/>
  <c r="F17" i="19" s="1"/>
  <c r="F20" i="19"/>
  <c r="F57" i="18"/>
  <c r="H25" i="19"/>
  <c r="J40" i="14"/>
  <c r="I40" i="14"/>
  <c r="G74" i="2"/>
  <c r="G19" i="18"/>
  <c r="G20" i="18" s="1"/>
  <c r="G22" i="19"/>
  <c r="G83" i="2"/>
  <c r="G98" i="2" s="1"/>
  <c r="G99" i="2" s="1"/>
  <c r="H65" i="2"/>
  <c r="H85" i="2" s="1"/>
  <c r="H90" i="2" s="1"/>
  <c r="M96" i="2"/>
  <c r="M97" i="2" s="1"/>
  <c r="F21" i="19" l="1"/>
  <c r="F58" i="18"/>
  <c r="F70" i="18" s="1"/>
  <c r="F19" i="19"/>
  <c r="F38" i="19" s="1"/>
  <c r="N26" i="2"/>
  <c r="I26" i="2" s="1"/>
  <c r="H71" i="2"/>
  <c r="G9" i="19"/>
  <c r="G76" i="2"/>
  <c r="G75" i="2"/>
  <c r="F74" i="18" l="1"/>
  <c r="F75" i="18"/>
  <c r="G57" i="18"/>
  <c r="G20" i="19"/>
  <c r="H7" i="18"/>
  <c r="H15" i="18" s="1"/>
  <c r="H18" i="18" s="1"/>
  <c r="H74" i="2"/>
  <c r="I108" i="2"/>
  <c r="I95" i="2"/>
  <c r="F11" i="20" s="1"/>
  <c r="Q24" i="10"/>
  <c r="Q26" i="10" s="1"/>
  <c r="Q20" i="10"/>
  <c r="Q22" i="10" s="1"/>
  <c r="N27" i="2"/>
  <c r="G10" i="19"/>
  <c r="I27" i="2" l="1"/>
  <c r="N95" i="2"/>
  <c r="G21" i="19"/>
  <c r="G19" i="19" s="1"/>
  <c r="G38" i="19" s="1"/>
  <c r="G58" i="18"/>
  <c r="G70" i="18" s="1"/>
  <c r="I109" i="2"/>
  <c r="H9" i="19"/>
  <c r="H10" i="19" s="1"/>
  <c r="H75" i="2"/>
  <c r="H76" i="2"/>
  <c r="F17" i="20"/>
  <c r="F18" i="20"/>
  <c r="I29" i="19" s="1"/>
  <c r="F19" i="20"/>
  <c r="I36" i="19" s="1"/>
  <c r="I35" i="19" s="1"/>
  <c r="H22" i="19"/>
  <c r="H19" i="18"/>
  <c r="H20" i="18" s="1"/>
  <c r="H83" i="2"/>
  <c r="H98" i="2" s="1"/>
  <c r="H99" i="2" s="1"/>
  <c r="G8" i="19"/>
  <c r="G17" i="19" s="1"/>
  <c r="I96" i="2" l="1"/>
  <c r="I37" i="19" s="1"/>
  <c r="E58" i="14" s="1"/>
  <c r="G58" i="14" s="1"/>
  <c r="H58" i="14" s="1"/>
  <c r="I58" i="14" s="1"/>
  <c r="J58" i="14" s="1"/>
  <c r="I23" i="2"/>
  <c r="E41" i="14" s="1"/>
  <c r="G41" i="14" s="1"/>
  <c r="H41" i="14" s="1"/>
  <c r="I41" i="14" s="1"/>
  <c r="J41" i="14" s="1"/>
  <c r="G75" i="18"/>
  <c r="G74" i="18"/>
  <c r="I65" i="2"/>
  <c r="N96" i="2"/>
  <c r="N97" i="2" s="1"/>
  <c r="H21" i="19"/>
  <c r="H58" i="18"/>
  <c r="H57" i="18"/>
  <c r="H20" i="19"/>
  <c r="H8" i="19"/>
  <c r="H17" i="19" s="1"/>
  <c r="I25" i="19"/>
  <c r="E57" i="14" s="1"/>
  <c r="G57" i="14" s="1"/>
  <c r="H57" i="14" s="1"/>
  <c r="I57" i="14" s="1"/>
  <c r="J57" i="14" s="1"/>
  <c r="I71" i="2" l="1"/>
  <c r="I85" i="2"/>
  <c r="I90" i="2" s="1"/>
  <c r="E45" i="14" s="1"/>
  <c r="G45" i="14" s="1"/>
  <c r="H45" i="14" s="1"/>
  <c r="I45" i="14" s="1"/>
  <c r="J45" i="14" s="1"/>
  <c r="H70" i="18"/>
  <c r="H74" i="18" s="1"/>
  <c r="E44" i="14"/>
  <c r="G44" i="14"/>
  <c r="G49" i="14" s="1"/>
  <c r="H19" i="19"/>
  <c r="H38" i="19" s="1"/>
  <c r="H75" i="18" l="1"/>
  <c r="H44" i="14"/>
  <c r="H49" i="14" s="1"/>
  <c r="G50" i="14"/>
  <c r="G55" i="14" s="1"/>
  <c r="G13" i="11"/>
  <c r="G8" i="11"/>
  <c r="E46" i="14" s="1"/>
  <c r="E49" i="14"/>
  <c r="I7" i="18"/>
  <c r="I15" i="18" s="1"/>
  <c r="I18" i="18" s="1"/>
  <c r="I72" i="2"/>
  <c r="I74" i="2" s="1"/>
  <c r="G51" i="14" l="1"/>
  <c r="G54" i="14" s="1"/>
  <c r="G59" i="14" s="1"/>
  <c r="I22" i="19"/>
  <c r="E55" i="14" s="1"/>
  <c r="E50" i="14"/>
  <c r="I19" i="18"/>
  <c r="I20" i="18" s="1"/>
  <c r="I83" i="2"/>
  <c r="I98" i="2" s="1"/>
  <c r="I99" i="2" s="1"/>
  <c r="G46" i="14"/>
  <c r="H50" i="14"/>
  <c r="H55" i="14" s="1"/>
  <c r="J44" i="14"/>
  <c r="J49" i="14" s="1"/>
  <c r="I44" i="14"/>
  <c r="I49" i="14" s="1"/>
  <c r="G52" i="14" l="1"/>
  <c r="H51" i="14"/>
  <c r="H54" i="14" s="1"/>
  <c r="H59" i="14" s="1"/>
  <c r="I50" i="14"/>
  <c r="I55" i="14" s="1"/>
  <c r="H46" i="14"/>
  <c r="I9" i="19"/>
  <c r="I10" i="19" s="1"/>
  <c r="I75" i="2"/>
  <c r="I76" i="2"/>
  <c r="E51" i="14"/>
  <c r="E62" i="14"/>
  <c r="G62" i="14" s="1"/>
  <c r="H62" i="14" s="1"/>
  <c r="I62" i="14" s="1"/>
  <c r="J62" i="14" s="1"/>
  <c r="J50" i="14"/>
  <c r="J55" i="14" s="1"/>
  <c r="H52" i="14" l="1"/>
  <c r="I21" i="19"/>
  <c r="I58" i="18"/>
  <c r="G11" i="11"/>
  <c r="E52" i="14" s="1"/>
  <c r="I57" i="18"/>
  <c r="I20" i="19"/>
  <c r="I19" i="19" s="1"/>
  <c r="I8" i="19"/>
  <c r="I17" i="19" s="1"/>
  <c r="J51" i="14"/>
  <c r="I51" i="14"/>
  <c r="J46" i="14"/>
  <c r="I46" i="14"/>
  <c r="J52" i="14" l="1"/>
  <c r="J54" i="14"/>
  <c r="J59" i="14" s="1"/>
  <c r="I38" i="19"/>
  <c r="E59" i="14" s="1"/>
  <c r="E54" i="14"/>
  <c r="E83" i="14" s="1"/>
  <c r="I52" i="14"/>
  <c r="I54" i="14"/>
  <c r="I59" i="14" s="1"/>
  <c r="I70" i="18"/>
  <c r="G10" i="11" l="1"/>
  <c r="E71" i="14" s="1"/>
  <c r="G14" i="11"/>
  <c r="E72" i="14" s="1"/>
  <c r="E75" i="14"/>
  <c r="E64" i="14"/>
  <c r="G64" i="14" s="1"/>
  <c r="H64" i="14" s="1"/>
  <c r="I64" i="14" s="1"/>
  <c r="J64" i="14" s="1"/>
  <c r="I74" i="18"/>
  <c r="I75" i="18"/>
  <c r="E76" i="14" l="1"/>
  <c r="E66" i="14"/>
  <c r="G61" i="14" s="1"/>
  <c r="G66" i="14" s="1"/>
  <c r="H61" i="14" s="1"/>
  <c r="H66" i="14" s="1"/>
  <c r="I61" i="14" s="1"/>
  <c r="I66" i="14" s="1"/>
  <c r="J61" i="14" s="1"/>
  <c r="J66" i="14" s="1"/>
  <c r="G15" i="11"/>
  <c r="E77" i="14"/>
  <c r="G9" i="11" s="1"/>
  <c r="E70" i="14" s="1"/>
</calcChain>
</file>

<file path=xl/sharedStrings.xml><?xml version="1.0" encoding="utf-8"?>
<sst xmlns="http://schemas.openxmlformats.org/spreadsheetml/2006/main" count="815" uniqueCount="547">
  <si>
    <t>Код рядка</t>
  </si>
  <si>
    <t>капітальне будівництво</t>
  </si>
  <si>
    <t>придбання (виготовлення) основних засобів</t>
  </si>
  <si>
    <t>придбання (створення) нематеріальних активів</t>
  </si>
  <si>
    <t>Фінансовий результат від операційної діяльності</t>
  </si>
  <si>
    <t>Витрати на оплату праці</t>
  </si>
  <si>
    <t>Відрахування на соціальні заходи</t>
  </si>
  <si>
    <t>Амортизація</t>
  </si>
  <si>
    <t>за ЗКГНГ</t>
  </si>
  <si>
    <t>за СПОДУ</t>
  </si>
  <si>
    <t xml:space="preserve">за  КВЕД  </t>
  </si>
  <si>
    <t xml:space="preserve">Місцезнаходження  </t>
  </si>
  <si>
    <t xml:space="preserve">Телефон </t>
  </si>
  <si>
    <t xml:space="preserve">Прізвище та ініціали керівника  </t>
  </si>
  <si>
    <t xml:space="preserve">Підприємство  </t>
  </si>
  <si>
    <t xml:space="preserve">Організаційно-правова форма </t>
  </si>
  <si>
    <t xml:space="preserve">Вид економічної діяльності    </t>
  </si>
  <si>
    <t xml:space="preserve">Галузь     </t>
  </si>
  <si>
    <t xml:space="preserve">Код рядка </t>
  </si>
  <si>
    <t>Додаток 1</t>
  </si>
  <si>
    <t>Територія</t>
  </si>
  <si>
    <t>Форма власності</t>
  </si>
  <si>
    <t>витрати на страхові послуги</t>
  </si>
  <si>
    <t>Валовий прибуток (збиток)</t>
  </si>
  <si>
    <t xml:space="preserve">прибуток </t>
  </si>
  <si>
    <t>збиток</t>
  </si>
  <si>
    <t>Резервний фонд</t>
  </si>
  <si>
    <t>неустойки (штрафи, пені)</t>
  </si>
  <si>
    <t>витрати на паливо та енергію</t>
  </si>
  <si>
    <t>Інші операційні витрати</t>
  </si>
  <si>
    <t>придбання (виготовлення) інших необоротних матеріальних активів</t>
  </si>
  <si>
    <t>Факт минулого року</t>
  </si>
  <si>
    <t>Виручка від реалізації основних фондів</t>
  </si>
  <si>
    <t xml:space="preserve">Виручка від реалізації нематеріальних активів </t>
  </si>
  <si>
    <t>Грошові кошти:</t>
  </si>
  <si>
    <t>на початок періоду</t>
  </si>
  <si>
    <t>Чистий грошовий потік</t>
  </si>
  <si>
    <t>Забезпечення</t>
  </si>
  <si>
    <t>х</t>
  </si>
  <si>
    <t>Фінансовий план поточного року</t>
  </si>
  <si>
    <t>витрати на зв’язок</t>
  </si>
  <si>
    <t>витрати на оплату праці</t>
  </si>
  <si>
    <t>відрахування на соціальні заходи</t>
  </si>
  <si>
    <t>амортизація основних засобів і нематеріальних активів загальногосподарського призначення</t>
  </si>
  <si>
    <t>витрати на поліпшення основних фондів</t>
  </si>
  <si>
    <t>№ з/п</t>
  </si>
  <si>
    <t xml:space="preserve">Надходження від продажу акцій та облігацій </t>
  </si>
  <si>
    <t xml:space="preserve">Придбання акцій та облігацій  </t>
  </si>
  <si>
    <t>на кінець періоду</t>
  </si>
  <si>
    <t>Залучення кредитних коштів</t>
  </si>
  <si>
    <t>Усього</t>
  </si>
  <si>
    <t>Відсоток</t>
  </si>
  <si>
    <t>Залишок нерозподіленого прибутку (непокритого збитку) на початок звітного періоду</t>
  </si>
  <si>
    <t>Залишок нерозподіленого прибутку (непокритого збитку) на кінець звітного періоду</t>
  </si>
  <si>
    <t>амортизація основних засобів і нематеріальних активів</t>
  </si>
  <si>
    <t>витрати на електроенергію</t>
  </si>
  <si>
    <t>План поточного року</t>
  </si>
  <si>
    <t>Зобов'язання</t>
  </si>
  <si>
    <t xml:space="preserve">Сума, валюта за договорами </t>
  </si>
  <si>
    <t>Процентна ставка</t>
  </si>
  <si>
    <t>модернізація, модифікація (добудова, дообладнання, реконструкція) основних засобів</t>
  </si>
  <si>
    <t>Розвиток виробництва</t>
  </si>
  <si>
    <t>витрати на благодійну допомогу</t>
  </si>
  <si>
    <t xml:space="preserve">Вид кредитного продукту та цільове призначення </t>
  </si>
  <si>
    <t>за минулий рік</t>
  </si>
  <si>
    <t>за плановий рік</t>
  </si>
  <si>
    <t xml:space="preserve">      4. Діючі фінансові зобов'язання підприємства</t>
  </si>
  <si>
    <t xml:space="preserve">      5. Інформація щодо отримання та повернення залучених коштів</t>
  </si>
  <si>
    <t>витрати на утримання основних фондів, інших необоротних активів загальногосподарського використання,  у тому числі:</t>
  </si>
  <si>
    <t>(посада)</t>
  </si>
  <si>
    <t>(підпис)</t>
  </si>
  <si>
    <t>рік</t>
  </si>
  <si>
    <t>Інші операційні витрати, усього, у тому числі:</t>
  </si>
  <si>
    <t>Капітальні інвестиції, усього,
у тому числі:</t>
  </si>
  <si>
    <t>податок на доходи фізичних осіб</t>
  </si>
  <si>
    <t xml:space="preserve">Єдиний внесок на загальнообов'язкове державне соціальне страхування                              </t>
  </si>
  <si>
    <t>акцизний податок</t>
  </si>
  <si>
    <t>Вид діяльності</t>
  </si>
  <si>
    <t>Заборгованість на останню дату</t>
  </si>
  <si>
    <t>Заборгованість за кредитами на початок ______ року</t>
  </si>
  <si>
    <t>Заборгованість за кредитами на кінець ______ року</t>
  </si>
  <si>
    <t>Бюджетне фінансування</t>
  </si>
  <si>
    <t>інші платежі (розшифрувати)</t>
  </si>
  <si>
    <t xml:space="preserve">      1. Дані про підприємство, персонал та фонд заробітної плати</t>
  </si>
  <si>
    <t>кредити</t>
  </si>
  <si>
    <t>Отримання коштів  за довгостроковими зобов'язаннями, у тому числі:</t>
  </si>
  <si>
    <t>Повернення коштів за короткостроковими зобов'язаннями, у тому числі:</t>
  </si>
  <si>
    <t>Отримання коштів за короткостроковими зобов'язаннями, у тому числі:</t>
  </si>
  <si>
    <t>Повернення коштів  за довгостроковими зобов'язаннями, у тому числі:</t>
  </si>
  <si>
    <t xml:space="preserve">позики </t>
  </si>
  <si>
    <t>у тому числі за кварталами</t>
  </si>
  <si>
    <t>Фінансовий результат до оподаткування</t>
  </si>
  <si>
    <t>Чистий  фінансовий результат, у тому числі:</t>
  </si>
  <si>
    <t>І. Формування фінансових результатів</t>
  </si>
  <si>
    <t>плата за користування надрами</t>
  </si>
  <si>
    <t>Оптимальне значення</t>
  </si>
  <si>
    <t>Факт за звітний період поточного року на останню дату</t>
  </si>
  <si>
    <t>Планові показники</t>
  </si>
  <si>
    <t>Примітки</t>
  </si>
  <si>
    <t>&gt; 0</t>
  </si>
  <si>
    <t xml:space="preserve">         (ініціали, прізвище)    </t>
  </si>
  <si>
    <t>у тому числі:</t>
  </si>
  <si>
    <r>
      <t>у тому числі:</t>
    </r>
    <r>
      <rPr>
        <i/>
        <sz val="14"/>
        <rFont val="Times New Roman"/>
        <family val="1"/>
        <charset val="204"/>
      </rPr>
      <t xml:space="preserve"> </t>
    </r>
  </si>
  <si>
    <t>рентна плата за транспортування</t>
  </si>
  <si>
    <t>_____________________________</t>
  </si>
  <si>
    <t>Чистий дохід від реалізації продукції (товарів, робіт, послуг) (розшифрувати)</t>
  </si>
  <si>
    <t>Фінансові витрати (розшифрувати)</t>
  </si>
  <si>
    <t>Інші витрати (розшифрувати)</t>
  </si>
  <si>
    <t>Інші фонди (розшифрувати)</t>
  </si>
  <si>
    <t>Інші цілі (розшифрувати)</t>
  </si>
  <si>
    <t>місцеві податки та збори (розшифрувати)</t>
  </si>
  <si>
    <t>Цільове фінансування  (розшифрувати)</t>
  </si>
  <si>
    <t xml:space="preserve">Інші надходження (розшифрувати) </t>
  </si>
  <si>
    <t xml:space="preserve">Придбання (створення) основних засобів (розшифрувати) </t>
  </si>
  <si>
    <t xml:space="preserve">Капітальне будівництво (розшифрувати) </t>
  </si>
  <si>
    <t xml:space="preserve">Придбання (створення) нематеріальних активів (розшифрувати) </t>
  </si>
  <si>
    <t>облігації</t>
  </si>
  <si>
    <t>Інформація</t>
  </si>
  <si>
    <t>інші витрати (розшифрувати)</t>
  </si>
  <si>
    <t>інші витрати на збут (розшифрувати)</t>
  </si>
  <si>
    <t>Собівартість реалізованої продукції (товарів, робіт, послуг) (розшифрувати)</t>
  </si>
  <si>
    <t>Найменування  банку</t>
  </si>
  <si>
    <t>Інші джерела (розшифрувати)</t>
  </si>
  <si>
    <t>(ініціали, прізвище)</t>
  </si>
  <si>
    <t>за КОАТУУ</t>
  </si>
  <si>
    <t>за КОПФГ</t>
  </si>
  <si>
    <t xml:space="preserve">за ЄДРПОУ </t>
  </si>
  <si>
    <t>у тому числі за основними видами діяльності за КВЕД</t>
  </si>
  <si>
    <t>(найменування підприємства)</t>
  </si>
  <si>
    <t>Середньооблікова чисельність осіб, у тому числі:</t>
  </si>
  <si>
    <t>План минулого року</t>
  </si>
  <si>
    <t>Плановий рік</t>
  </si>
  <si>
    <t>Код за ЄДРПОУ</t>
  </si>
  <si>
    <t>Витрати на збут</t>
  </si>
  <si>
    <t>Витрати (дохід) з податку на прибуток</t>
  </si>
  <si>
    <t xml:space="preserve">Прибуток (збиток) від  припиненої діяльності після оподаткування </t>
  </si>
  <si>
    <t>Адміністративні витрати</t>
  </si>
  <si>
    <t>Інші операційні доходи/витрати</t>
  </si>
  <si>
    <t>EBITDA</t>
  </si>
  <si>
    <t>Доходи/витрати від фінансової та інвестиційної діяльності</t>
  </si>
  <si>
    <t>Грошові кошти на початок періоду</t>
  </si>
  <si>
    <t>Чистий рух грошових коштів від операційної діяльності</t>
  </si>
  <si>
    <t>Чистий рух грошових коштів від фінансової діяльності</t>
  </si>
  <si>
    <t>Грошові кошти на кінець періоду</t>
  </si>
  <si>
    <t>Необоротні активи</t>
  </si>
  <si>
    <t>Оборотні активи</t>
  </si>
  <si>
    <t>Власний капітал</t>
  </si>
  <si>
    <t>Розподіл чистого прибутку</t>
  </si>
  <si>
    <t xml:space="preserve">Нараховані до сплати обов'язкові платежі підприємства до бюджету та єдиний внесок на загальнообов'язкове державне соціальне страхування </t>
  </si>
  <si>
    <t>ІІІ. Рух грошових коштів</t>
  </si>
  <si>
    <t>Податок на прибуток підприємств</t>
  </si>
  <si>
    <t>IІ. Розрахунки з бюджетом</t>
  </si>
  <si>
    <t>Чистий рух грошових коштів операційної діяльності</t>
  </si>
  <si>
    <t>І. Рух коштів у результаті операційної діяльності</t>
  </si>
  <si>
    <t>II. Рух коштів у результаті інвестиційної діяльності</t>
  </si>
  <si>
    <t>Чистий рух коштів від інвестиційної діяльності </t>
  </si>
  <si>
    <t>III. Рух коштів у результаті фінансової діяльності</t>
  </si>
  <si>
    <t>Чистий рух коштів від фінансової діяльності </t>
  </si>
  <si>
    <t>Надходження від отриманих:</t>
  </si>
  <si>
    <t>відсотків </t>
  </si>
  <si>
    <t>дивідендів </t>
  </si>
  <si>
    <t>Надходження від деривативів</t>
  </si>
  <si>
    <t>Власного капіталу </t>
  </si>
  <si>
    <t>Прогноз на поточний рік</t>
  </si>
  <si>
    <t>Розрахунок показника EBITDA</t>
  </si>
  <si>
    <t>Коефіцієнт рентабельності власного капіталу</t>
  </si>
  <si>
    <t xml:space="preserve">Вплив зміни валютних курсів на залишок коштів </t>
  </si>
  <si>
    <t>Довгострокові зобов'язання і забезпечення</t>
  </si>
  <si>
    <t>Поточні зобов'язання і забезпечення</t>
  </si>
  <si>
    <t>Коефіцієнт рентабельності активів</t>
  </si>
  <si>
    <t>погашення податкового боргу, у тому числі:</t>
  </si>
  <si>
    <t>Собівартість реалізованої продукції (товарів, робіт, послуг)</t>
  </si>
  <si>
    <t>&gt; 1</t>
  </si>
  <si>
    <t xml:space="preserve">Прибуток (збиток) від звичайної діяльності до оподаткування </t>
  </si>
  <si>
    <t>Коригування на:</t>
  </si>
  <si>
    <t>Грошові кошти від операційної діяльності</t>
  </si>
  <si>
    <t>Сплачений податок на прибуток</t>
  </si>
  <si>
    <t>амортизацію необоротних активів</t>
  </si>
  <si>
    <t xml:space="preserve">збільшення (зменшення) забезпечень  </t>
  </si>
  <si>
    <t xml:space="preserve">збиток (прибуток) від нереалізованих курсових різниць </t>
  </si>
  <si>
    <t>збиток (прибуток) від неопераційної діяльності та інших негрошових операцій (розшифрувати)</t>
  </si>
  <si>
    <t>транспортні витрати</t>
  </si>
  <si>
    <t>витрати на зберігання та упаковку</t>
  </si>
  <si>
    <t>Коефіцієнти рентабельності та прибутковості</t>
  </si>
  <si>
    <t>Аналіз капітальних інвестицій</t>
  </si>
  <si>
    <t>Коефіцієнти фінансової стійкості та ліквідності</t>
  </si>
  <si>
    <t>Стандарти звітності П(с)БОУ</t>
  </si>
  <si>
    <t>Стандарти звітності МСФЗ</t>
  </si>
  <si>
    <t>Перенесено з додаткового капіталу</t>
  </si>
  <si>
    <t>Марка</t>
  </si>
  <si>
    <t>Рік придбання</t>
  </si>
  <si>
    <t>Витрати, усього</t>
  </si>
  <si>
    <t>матеріальні витрати</t>
  </si>
  <si>
    <t>оплата праці</t>
  </si>
  <si>
    <t>амортизація</t>
  </si>
  <si>
    <t>інші витрати</t>
  </si>
  <si>
    <t>Договір</t>
  </si>
  <si>
    <t>Дата початку оренди</t>
  </si>
  <si>
    <t>Сума орендної плати</t>
  </si>
  <si>
    <t>Усього на рік</t>
  </si>
  <si>
    <t>Основні фінансові показники</t>
  </si>
  <si>
    <t>Чистий дохід від реалізації продукції (товарів, робіт, послуг)</t>
  </si>
  <si>
    <t>Відрахування частини чистого прибутку, усього, у тому числі:</t>
  </si>
  <si>
    <t>№</t>
  </si>
  <si>
    <t>Загальна кошторисна вартість</t>
  </si>
  <si>
    <t>Первісна балансова вартість введених потужностей на початок планового року</t>
  </si>
  <si>
    <t>Капітальні інвестиції</t>
  </si>
  <si>
    <t>IV. Капітальні інвестиції</t>
  </si>
  <si>
    <t xml:space="preserve">IV. Капітальні інвестиції </t>
  </si>
  <si>
    <t>VI. Звіт про фінансовий стан</t>
  </si>
  <si>
    <t>V. Коефіцієнтний аналіз</t>
  </si>
  <si>
    <t>8. Джерела капітальних інвестицій</t>
  </si>
  <si>
    <t>Інші операційні доходи (розшифрувати), у тому числі:</t>
  </si>
  <si>
    <t>курсові різниці</t>
  </si>
  <si>
    <t>Інші доходи (розшифрувати), у тому числі:</t>
  </si>
  <si>
    <t>Інші витрати (розшифрувати), у тому числі:</t>
  </si>
  <si>
    <t>2145/1</t>
  </si>
  <si>
    <t>2145/2</t>
  </si>
  <si>
    <t>4010</t>
  </si>
  <si>
    <t>x</t>
  </si>
  <si>
    <t>Адміністративні витрати, у тому числі:</t>
  </si>
  <si>
    <t>Витрати на збут, у тому числі:</t>
  </si>
  <si>
    <t>Рентабельність EBITDA</t>
  </si>
  <si>
    <t>Чистий  фінансовий результат</t>
  </si>
  <si>
    <t>Коефіцієнт рентабельності діяльності</t>
  </si>
  <si>
    <t>2120 / 2130</t>
  </si>
  <si>
    <t>Коефіцієнт фінансової стійкості</t>
  </si>
  <si>
    <t>Інші доходи/витрати</t>
  </si>
  <si>
    <t>Чистий рух грошових коштів від інвестиційної діяльності</t>
  </si>
  <si>
    <t>Пояснення та обґрунтування до запланованого рівня доходів/витрат</t>
  </si>
  <si>
    <t>Елементи операційних витрат</t>
  </si>
  <si>
    <t>тис. гривень (без ПДВ)</t>
  </si>
  <si>
    <t xml:space="preserve">      3. Інформація про бізнес підприємства (код рядка 1000 фінансового плану)</t>
  </si>
  <si>
    <t>6. Витрати, пов'язані з використанням власних службових автомобілів (у складі адміністративних витрат, рядок 1041)</t>
  </si>
  <si>
    <t>7. Витрати на оренду службових автомобілів (у складі адміністративних витрат, рядок 1042)</t>
  </si>
  <si>
    <t>Найменування об’єкта</t>
  </si>
  <si>
    <t>9. Капітальне будівництво (рядок 4010 таблиці 4)</t>
  </si>
  <si>
    <t>Прибуток (збиток) від операційної діяльності до змін в оборотному капіталі</t>
  </si>
  <si>
    <t>Інші поточні податки, збори, обов'язкові платежі до державного та місцевих бюджетів, у тому числі:</t>
  </si>
  <si>
    <t xml:space="preserve">                                (посада)</t>
  </si>
  <si>
    <t>_________________________</t>
  </si>
  <si>
    <r>
      <t>Керівник ______________________________________</t>
    </r>
    <r>
      <rPr>
        <sz val="14"/>
        <rFont val="Times New Roman"/>
        <family val="1"/>
        <charset val="204"/>
      </rPr>
      <t xml:space="preserve"> </t>
    </r>
  </si>
  <si>
    <t>____________________________________________</t>
  </si>
  <si>
    <t>Коди</t>
  </si>
  <si>
    <t>інші операційні витрати (розшифрувати)</t>
  </si>
  <si>
    <t>Неконтрольована частка</t>
  </si>
  <si>
    <t>плановий рік +1 рік</t>
  </si>
  <si>
    <t>плановий рік +2 роки</t>
  </si>
  <si>
    <t>плановий рік +3 роки</t>
  </si>
  <si>
    <t>погашення реструктуризованих та відстрочених сум,  що підлягають сплаті в поточному році до бюджетів та державних цільових фондів</t>
  </si>
  <si>
    <t xml:space="preserve">                                                                   (посада)</t>
  </si>
  <si>
    <t xml:space="preserve">                (ініціали, прізвище)    </t>
  </si>
  <si>
    <t>директор</t>
  </si>
  <si>
    <t>працівники</t>
  </si>
  <si>
    <t>Найменування показника</t>
  </si>
  <si>
    <t>Інформація згідно із стратегічним планом розвитку</t>
  </si>
  <si>
    <t>у тому числі грошові кошти та їх еквіваленти</t>
  </si>
  <si>
    <t>у тому числі державні гранти і субсидії</t>
  </si>
  <si>
    <t>у тому числі фінансові запозичення</t>
  </si>
  <si>
    <t>Усього зобов'язання і забезпечення</t>
  </si>
  <si>
    <t>Усього активи</t>
  </si>
  <si>
    <t>Доходи і витрати (деталізація)</t>
  </si>
  <si>
    <t>Доходи/витрати від фінансової та інвестиційної діяльності
(рядок 1110 + рядок 1120 - рядок 1130 - рядок 1140)</t>
  </si>
  <si>
    <t>Інші доходи/витрати
(рядок 1150 - рядок 1160)</t>
  </si>
  <si>
    <t>Фінансовий результат від операційної діяльності (рядок 1100)</t>
  </si>
  <si>
    <t>плюс амортизація (рядок 1530)</t>
  </si>
  <si>
    <t>Інші операційні доходи/витрати
(рядок 1030 - рядок 1080)</t>
  </si>
  <si>
    <t>Надходження</t>
  </si>
  <si>
    <t xml:space="preserve">Надходження </t>
  </si>
  <si>
    <t>Витрати</t>
  </si>
  <si>
    <t>Ковенанти/обмежувальні коефіцієнти</t>
  </si>
  <si>
    <t>Фонд оплати праці, тис. гривень, у тому числі:</t>
  </si>
  <si>
    <t>Витрати на оплату праці, тис. гривень, у тому числі:</t>
  </si>
  <si>
    <t>Плановий рік до плану поточного року, %</t>
  </si>
  <si>
    <t>Плановий рік до факту минулого року, %</t>
  </si>
  <si>
    <t>адміністративно-управлінський персонал</t>
  </si>
  <si>
    <t>Незавершене будівництво на початок планового року</t>
  </si>
  <si>
    <t>власні кошти</t>
  </si>
  <si>
    <t>кредитні кошти</t>
  </si>
  <si>
    <t>інші джерела (зазначити джерело)</t>
  </si>
  <si>
    <t>Документ, яким затверджений титул будови, із зазначенням органу, який його погодив</t>
  </si>
  <si>
    <t>У тому числі за їх видами</t>
  </si>
  <si>
    <t xml:space="preserve">                    (підпис)</t>
  </si>
  <si>
    <t xml:space="preserve">                                     (посада)</t>
  </si>
  <si>
    <t xml:space="preserve">Найменування об’єктів </t>
  </si>
  <si>
    <t>Власні кошти (розшифрувати)</t>
  </si>
  <si>
    <t>Валовий прибуток/збиток</t>
  </si>
  <si>
    <t>витрати на сировину та основні матеріали</t>
  </si>
  <si>
    <t>Доходи і витрати (узагальнені показники)</t>
  </si>
  <si>
    <t>Матеріальні витрати, у тому числі:</t>
  </si>
  <si>
    <t>Коефіцієнт відношення боргу до EBITDA
(довгострокові зобов'язання, рядок 6040 + поточні зобов'язання, рядок 6050 / EBITDA, рядок 1410)</t>
  </si>
  <si>
    <t>Коефіцієнт фінансової стійкості
(власний капітал, рядок 6090 / довгострокові зобов'язання, рядок 6040 + поточні зобов'язання, рядок 6050)</t>
  </si>
  <si>
    <t>Коефіцієнт поточної ліквідності (покриття)
(оборотні активи, рядок 6010 / поточні зобов'язання, рядок 6050)</t>
  </si>
  <si>
    <t>Коефіцієнт відношення капітальних інвестицій до амортизації
(рядок 4000 / рядок 1530)</t>
  </si>
  <si>
    <t>Коефіцієнт відношення капітальних інвестицій до чистого доходу (виручки) від реалізації продукції (товарів, робіт, послуг)
(рядок 4000 / рядок 1000)</t>
  </si>
  <si>
    <t>керівники</t>
  </si>
  <si>
    <t>професіонали</t>
  </si>
  <si>
    <t>фахівці</t>
  </si>
  <si>
    <t>технічні службовці</t>
  </si>
  <si>
    <t>робітники</t>
  </si>
  <si>
    <t>інші категорії</t>
  </si>
  <si>
    <t>Середньомісячна заробітна плата одного працівника, гривень</t>
  </si>
  <si>
    <t>Середньомісячний дохід одного працівника, гривень</t>
  </si>
  <si>
    <t xml:space="preserve"> У разі збільшення витрат на оплату праці в плановому році порівняно з установленим рівнем поточного року та фактом попереднього року надаються обґрунтування. </t>
  </si>
  <si>
    <t xml:space="preserve">      2. Перелік підприємств, які включені до консолідованого (зведеного) фінансового плану</t>
  </si>
  <si>
    <t>Найменування підприємства</t>
  </si>
  <si>
    <t>Питома вага в загальному обсязі реалізації, %</t>
  </si>
  <si>
    <t>чистий дохід  від реалізації продукції (товарів, робіт, послуг),     тис. гривень</t>
  </si>
  <si>
    <t>кількість продукції/             наданих послуг, одиниця виміру</t>
  </si>
  <si>
    <t>ціна одиниці     (вартість  продукції/     наданих послуг), гривень</t>
  </si>
  <si>
    <t>Дата видачі/погашення (графік)</t>
  </si>
  <si>
    <t xml:space="preserve">Довгострокові зобов'язання, усього </t>
  </si>
  <si>
    <t>Короткострокові зобов'язання, усього</t>
  </si>
  <si>
    <t>Інші фінансові зобов'язання, усього</t>
  </si>
  <si>
    <t xml:space="preserve">у тому числі </t>
  </si>
  <si>
    <t>Рік початку                і закінчення будівництва</t>
  </si>
  <si>
    <t>Інформація щодо проектно-кошторисної документації (стан розроблення, затвердження,                                     у разі затвердження зазначити орган, яким затверджено, та відповідний документ)</t>
  </si>
  <si>
    <t xml:space="preserve">               (підпис)</t>
  </si>
  <si>
    <t>Податок на додану вартість, нарахований до сплати до державного бюджету за підсумками звітного періоду</t>
  </si>
  <si>
    <t>Податок на додану вартість, що підлягає відшкодуванню з державного бюджету за підсумками звітного періоду</t>
  </si>
  <si>
    <t>Збільшення</t>
  </si>
  <si>
    <t>Характеризує ефективність використання активів підприємства</t>
  </si>
  <si>
    <t>Характеризує ефективність господарської діяльності підприємства</t>
  </si>
  <si>
    <t>Характеризує співвідношення власних та позикових коштів і залежність підприємства від зовнішніх фінансових джерел</t>
  </si>
  <si>
    <t>Характеризує інвестиційну політику підприємства</t>
  </si>
  <si>
    <t>Показує достатність ресурсів підприємства, які може бути використано для погашення його поточних зобов'язань.  Нормативним значенням для цього показника є &gt; 1–1,5</t>
  </si>
  <si>
    <t xml:space="preserve">      Загальна інформація про підприємство (резюме)</t>
  </si>
  <si>
    <t>Мета використання</t>
  </si>
  <si>
    <t>освоєння капітальних вкладень</t>
  </si>
  <si>
    <t>фінансування капітальних інвестицій (оплата грошовими коштами), усього</t>
  </si>
  <si>
    <t>М. П.</t>
  </si>
  <si>
    <t>План з повернення коштів</t>
  </si>
  <si>
    <t>Валова рентабельність
(валовий прибуток, рядок 1020 / чистий дохід від реалізації продукції (товарів, робіт, послуг), рядок 1000, %)</t>
  </si>
  <si>
    <t>Рентабельність EBITDA
(EBITDA, рядок 1410 / чистий дохід від реалізації продукції (товарів, робіт, послуг), рядок 1000, %)</t>
  </si>
  <si>
    <t>Коефіцієнт зносу основних засобів 
(сума зносу / первісна вартість основних засобів) 
(форма 1, рядок 1012 / форма 1, рядок 1011)</t>
  </si>
  <si>
    <t>Інші коефіцієнти/ковенанти, якщо такі передбачені умовами кредитних договорів, із зазначенням банку, валюти та суми зобов'язання на дату останньої звітності, строку погашення. У графі "Оптимальне значення" вказати граничне значення коефіцієнта</t>
  </si>
  <si>
    <t>План із залучення коштів</t>
  </si>
  <si>
    <t>плановий рік
+4 роки</t>
  </si>
  <si>
    <t>Податок на додану вартість нарахований/до відшкодування
(з мінусом)</t>
  </si>
  <si>
    <t>Коефіцієнт рентабельності активів
(чистий фінансовий результат, рядок 1200 / вартість активів, рядок 6030)</t>
  </si>
  <si>
    <t>Коефіцієнт рентабельності власного капіталу
(чистий фінансовий результат, рядок 1200 / власний капітал, рядок 6090)</t>
  </si>
  <si>
    <t>Коефіцієнт рентабельності діяльності
(чистий фінансовий результат, рядок 1200 / чистий дохід від реалізації продукції (товарів, робіт, послуг), рядок 1000)</t>
  </si>
  <si>
    <t>Відрахування частини чистого прибутку</t>
  </si>
  <si>
    <t>Сплата інших податків, зборів, обов'язкових платежів до державного та місцевих бюджетів</t>
  </si>
  <si>
    <t>Усього виплат</t>
  </si>
  <si>
    <t>Усього доходів (рядок 1000 + рядок 1030 + рядок 1110 + рядок 1120+ рядок 1150)</t>
  </si>
  <si>
    <t>Усього витрат (рядок 1010 + рядок 1040 + рядок 1070 + рядок 1080 + рядок 1130 + рядок 1140 + рядок 1160 + рядок 1180 + рядок 1190)</t>
  </si>
  <si>
    <t>План</t>
  </si>
  <si>
    <t>І   квартал</t>
  </si>
  <si>
    <t>півріччя</t>
  </si>
  <si>
    <t>9 місяців</t>
  </si>
  <si>
    <t>Таблиця IІ. Розрахунки з бюджетом</t>
  </si>
  <si>
    <t>Таблиця I. Формування фінансових результатів</t>
  </si>
  <si>
    <t>внесок 15 % чистого прибутку до загального фонду міського бюджету</t>
  </si>
  <si>
    <t>внесок 60 % частини прибутку, який залишається в розпорядженні підприємства після оподаткування відповідно до чинного законодавства та сплати 15 % чистого прибутку до загального фонду міського бюджету</t>
  </si>
  <si>
    <t>Таблиця ІІІ. Рух грошових коштів</t>
  </si>
  <si>
    <t>І  квартал</t>
  </si>
  <si>
    <t>І квартал</t>
  </si>
  <si>
    <t xml:space="preserve">І квартал </t>
  </si>
  <si>
    <t>РОЗГЛЯНУТО __________________________________________</t>
  </si>
  <si>
    <t>______________________________________________________</t>
  </si>
  <si>
    <t xml:space="preserve">(прізвище, ініціали та підпис керівника виконавчого органу міської ради відповідно до підпорядкованості, який розглянув фінансовий план) </t>
  </si>
  <si>
    <t>ЗАТВЕРДЖЕНО ______________________________</t>
  </si>
  <si>
    <t xml:space="preserve">(дата та номер рішення виконавчого </t>
  </si>
  <si>
    <t>комітету міської ради)</t>
  </si>
  <si>
    <r>
      <t xml:space="preserve">Орган державного управління  </t>
    </r>
    <r>
      <rPr>
        <b/>
        <i/>
        <sz val="16"/>
        <rFont val="Times New Roman"/>
        <family val="1"/>
        <charset val="204"/>
      </rPr>
      <t xml:space="preserve"> </t>
    </r>
  </si>
  <si>
    <t>Одиниця виміру, тис. гривень без десяткових знаків</t>
  </si>
  <si>
    <t xml:space="preserve">                      (посада)</t>
  </si>
  <si>
    <t>військовий збір</t>
  </si>
  <si>
    <t>Ставка ЄСВ</t>
  </si>
  <si>
    <t>Ставка ЄСВ для інвалідів</t>
  </si>
  <si>
    <t>Відрахування</t>
  </si>
  <si>
    <t>Утримання</t>
  </si>
  <si>
    <t>ПДФО</t>
  </si>
  <si>
    <t>Військовий збір</t>
  </si>
  <si>
    <t>ФОП інвалідів</t>
  </si>
  <si>
    <t>ФОП (загальний)</t>
  </si>
  <si>
    <t>Податок на доходи фізичних осіб</t>
  </si>
  <si>
    <t>2147/1</t>
  </si>
  <si>
    <t>1000/1</t>
  </si>
  <si>
    <t>1076/1</t>
  </si>
  <si>
    <t>Реалізація продукції власного виробництва</t>
  </si>
  <si>
    <t>серветки,миючі засоби</t>
  </si>
  <si>
    <t>1076/2</t>
  </si>
  <si>
    <t>2146/1</t>
  </si>
  <si>
    <t>витрати на воду для виробництва</t>
  </si>
  <si>
    <t>1076/3</t>
  </si>
  <si>
    <t>Бюджетне фінансув.на ком.послуги</t>
  </si>
  <si>
    <t xml:space="preserve">Комунальне підприємство </t>
  </si>
  <si>
    <t>м. Дніпро , Шевченківський  район</t>
  </si>
  <si>
    <t>Міські,районні у містах ради  та їх виконавчі комітети</t>
  </si>
  <si>
    <t>Сфера послуг і споживчого ринку</t>
  </si>
  <si>
    <t>Постачання інших готових страв</t>
  </si>
  <si>
    <t>комунальна</t>
  </si>
  <si>
    <t>49000, м. Дніпро ,пр.Дмитра Яворницького ,75</t>
  </si>
  <si>
    <t>(056)744-62-80, (097)361-84-11</t>
  </si>
  <si>
    <t>Мусатова Олена Сергіївна</t>
  </si>
  <si>
    <t>Директор</t>
  </si>
  <si>
    <t>Мусатова О.С.</t>
  </si>
  <si>
    <t xml:space="preserve">Директор </t>
  </si>
  <si>
    <t>Збільшення (зменшення) поточних зобов’язань (кредиторська заборгованість)</t>
  </si>
  <si>
    <t>Зменшення (збільшення) оборотних активів (запаси та дебіторська заборгованість)</t>
  </si>
  <si>
    <t>1018/1</t>
  </si>
  <si>
    <t>капітальний ремонт фундаменту приміщення їдальні</t>
  </si>
  <si>
    <t>3310/1</t>
  </si>
  <si>
    <t>внески органів місцевого самоврядування до статуного капіталу</t>
  </si>
  <si>
    <t>3480/1</t>
  </si>
  <si>
    <t>КП "Контакт" ДМР</t>
  </si>
  <si>
    <t>% банку за операції терміналу</t>
  </si>
  <si>
    <t>1085/1</t>
  </si>
  <si>
    <t>3470/1</t>
  </si>
  <si>
    <t>фінансова підтримка статутної діяльності комунальних підприємств</t>
  </si>
  <si>
    <t>капітальний ремонт  приміщення їдальні</t>
  </si>
  <si>
    <t>придбання торгівельного і технологічного облад.</t>
  </si>
  <si>
    <t>3570/1</t>
  </si>
  <si>
    <t>3570/2</t>
  </si>
  <si>
    <t>придбання торгівельного і технологічного обладнання</t>
  </si>
  <si>
    <t>капітальний ремонт приміщень їдальні</t>
  </si>
  <si>
    <t>3270/1</t>
  </si>
  <si>
    <t>3280/1</t>
  </si>
  <si>
    <r>
      <t xml:space="preserve">ПОГОДЖЕНО                                                                    </t>
    </r>
    <r>
      <rPr>
        <sz val="12"/>
        <rFont val="Times New Roman"/>
        <family val="1"/>
        <charset val="204"/>
      </rPr>
      <t xml:space="preserve">  Секретар міської ради</t>
    </r>
    <r>
      <rPr>
        <sz val="16"/>
        <rFont val="Times New Roman"/>
        <family val="1"/>
        <charset val="204"/>
      </rPr>
      <t>__________________</t>
    </r>
    <r>
      <rPr>
        <sz val="14"/>
        <rFont val="Times New Roman"/>
        <family val="1"/>
        <charset val="204"/>
      </rPr>
      <t xml:space="preserve">  О. О. Санжара    </t>
    </r>
    <r>
      <rPr>
        <sz val="16"/>
        <rFont val="Times New Roman"/>
        <family val="1"/>
        <charset val="204"/>
      </rPr>
      <t xml:space="preserve">   (</t>
    </r>
    <r>
      <rPr>
        <sz val="12"/>
        <rFont val="Times New Roman"/>
        <family val="1"/>
        <charset val="204"/>
      </rPr>
      <t>прізвище та ініціали та підпис заступника міського голови за напрямом діяльності  підприємства)</t>
    </r>
  </si>
  <si>
    <t>Керуючий справами  виконавчого комітету міської ради-директор департаменту забеспечення діяльності виконавчих органів Дніпровської міської ради</t>
  </si>
  <si>
    <t xml:space="preserve">Кількість </t>
  </si>
  <si>
    <t>Місячний</t>
  </si>
  <si>
    <t>штатних</t>
  </si>
  <si>
    <t>фонд</t>
  </si>
  <si>
    <t>Доплата</t>
  </si>
  <si>
    <t>Всего</t>
  </si>
  <si>
    <t>Річний</t>
  </si>
  <si>
    <t>Примітка</t>
  </si>
  <si>
    <t>п/п</t>
  </si>
  <si>
    <t xml:space="preserve">      Посада</t>
  </si>
  <si>
    <t>Оклад</t>
  </si>
  <si>
    <t>одиниць</t>
  </si>
  <si>
    <t>оплати</t>
  </si>
  <si>
    <t>ФОП</t>
  </si>
  <si>
    <t>до</t>
  </si>
  <si>
    <t>Адміністрація :</t>
  </si>
  <si>
    <t>1.</t>
  </si>
  <si>
    <t>*</t>
  </si>
  <si>
    <t>2.</t>
  </si>
  <si>
    <t>Гол.бухгалтер</t>
  </si>
  <si>
    <t>**</t>
  </si>
  <si>
    <t>3.</t>
  </si>
  <si>
    <t>Інженер по охрані праці</t>
  </si>
  <si>
    <t>Ітого :</t>
  </si>
  <si>
    <t>стр.1048</t>
  </si>
  <si>
    <t>таблиця№1</t>
  </si>
  <si>
    <t>Производство:</t>
  </si>
  <si>
    <t>4.</t>
  </si>
  <si>
    <t>***</t>
  </si>
  <si>
    <t>5.</t>
  </si>
  <si>
    <t>Бухгалтер</t>
  </si>
  <si>
    <t>6.</t>
  </si>
  <si>
    <t>Кухар 5 розряду</t>
  </si>
  <si>
    <t>Кухар 4 розряду</t>
  </si>
  <si>
    <t>Кухар 3 розряду</t>
  </si>
  <si>
    <t>стр.1013</t>
  </si>
  <si>
    <t>Торговый зал :</t>
  </si>
  <si>
    <t>9.</t>
  </si>
  <si>
    <t>Касир</t>
  </si>
  <si>
    <t>Ітого:</t>
  </si>
  <si>
    <t>стр1073</t>
  </si>
  <si>
    <t>Всього :</t>
  </si>
  <si>
    <t>стр.1510</t>
  </si>
  <si>
    <t>Іквартал</t>
  </si>
  <si>
    <t>9місяців</t>
  </si>
  <si>
    <t>собівартість</t>
  </si>
  <si>
    <t>адмін</t>
  </si>
  <si>
    <t>збут</t>
  </si>
  <si>
    <t>єсв</t>
  </si>
  <si>
    <t>інваліди</t>
  </si>
  <si>
    <t>таблиця 6.1</t>
  </si>
  <si>
    <t>Фонд оплати праці</t>
  </si>
  <si>
    <t>АУП</t>
  </si>
  <si>
    <t>Витрати з оплати праці</t>
  </si>
  <si>
    <t>Середньомісячна ЗП</t>
  </si>
  <si>
    <t>Середньомісячний дохід</t>
  </si>
  <si>
    <t xml:space="preserve">мин. з/пл. ставить </t>
  </si>
  <si>
    <t>равняется 10% от реалізаціі т.е. от стр.1000/1</t>
  </si>
  <si>
    <t>(100% - ср. нац. 63%)</t>
  </si>
  <si>
    <t>колонка 5 равна</t>
  </si>
  <si>
    <t>изменить</t>
  </si>
  <si>
    <t>Наташа  считает  цену за 1 блюдо! Скажет</t>
  </si>
  <si>
    <t xml:space="preserve">колонка 9, 12, 15 </t>
  </si>
  <si>
    <t>фоп</t>
  </si>
  <si>
    <t>есв</t>
  </si>
  <si>
    <t xml:space="preserve">Комунальне підприємство "Контакт" </t>
  </si>
  <si>
    <t>до Порядку складання, затвердження та контролю виконання фінансових планів підприємств комунальної власності територіальної громади міста Дніпра</t>
  </si>
  <si>
    <t>____________________________А. В. Кучеренко</t>
  </si>
  <si>
    <t>на опалення приміщення</t>
  </si>
  <si>
    <t>утримання  приміщення</t>
  </si>
  <si>
    <t>дохід від безоплатно отриманого обладнання</t>
  </si>
  <si>
    <t>1150/1</t>
  </si>
  <si>
    <t>оренд. плата за кавовий аппарат</t>
  </si>
  <si>
    <t>нараховано ПДВ</t>
  </si>
  <si>
    <t>1076/4</t>
  </si>
  <si>
    <t>Прибиральник виробничіх приміщень</t>
  </si>
  <si>
    <t>ФІНАНСОВИЙ ПЛАН ПІДПРИЄМСТВА НА  2021  рік</t>
  </si>
  <si>
    <t>Середньооблікова кількість штатних працівників 10</t>
  </si>
  <si>
    <t>до фінансового плану на 2021 рік</t>
  </si>
  <si>
    <t>Фактичний показник поточного року за останній звітний період 2020 року</t>
  </si>
  <si>
    <t>Плановий 2021 рік</t>
  </si>
  <si>
    <t>Підсобний працівник</t>
  </si>
  <si>
    <t>7.</t>
  </si>
  <si>
    <t>8.</t>
  </si>
  <si>
    <t>10.</t>
  </si>
  <si>
    <t>1085/2</t>
  </si>
  <si>
    <t>за лікарняні</t>
  </si>
  <si>
    <t>1085/3</t>
  </si>
  <si>
    <t>1085/4</t>
  </si>
  <si>
    <t>амортизація основних засобів і Н.М.А.</t>
  </si>
  <si>
    <t>коригування суми непокритого збитку</t>
  </si>
  <si>
    <t>3030/1</t>
  </si>
  <si>
    <t>коригування суми амортизаційних відрахувань</t>
  </si>
  <si>
    <t>3030/2</t>
  </si>
  <si>
    <t>додаткові матеріали /упаковка/</t>
  </si>
  <si>
    <t>1018/2</t>
  </si>
  <si>
    <t>Рік 2020</t>
  </si>
  <si>
    <t>1085/5</t>
  </si>
  <si>
    <t>Плановий показник поточного 2020 року</t>
  </si>
  <si>
    <t>1 квартал</t>
  </si>
  <si>
    <t>доплати</t>
  </si>
  <si>
    <t>усього</t>
  </si>
  <si>
    <t>1085/6</t>
  </si>
  <si>
    <t>Нараховано ЕСВ</t>
  </si>
  <si>
    <t>1085/7</t>
  </si>
  <si>
    <r>
      <t xml:space="preserve">в період  простою - </t>
    </r>
    <r>
      <rPr>
        <sz val="9"/>
        <rFont val="Times New Roman"/>
        <family val="1"/>
        <charset val="204"/>
      </rPr>
      <t>витрати на електроенергію, витрати на водопостачання</t>
    </r>
  </si>
  <si>
    <t>відрахування до резерву сумнівних боргів</t>
  </si>
  <si>
    <t>відрахування до недержавних пенсійних фондів</t>
  </si>
  <si>
    <t>мінус операційні доходи від курсових різниць (рядок 1031)</t>
  </si>
  <si>
    <t>плюс операційні витрати від курсових різниць (рядок 1084)</t>
  </si>
  <si>
    <t>мінус/плюс значні нетипові операційні доходи/витрати (розшифрувати)</t>
  </si>
  <si>
    <t xml:space="preserve">витрати на паливо </t>
  </si>
  <si>
    <t>1030/1</t>
  </si>
  <si>
    <t>інші адміністративні витрати (розшифрувати) посл. банку за інкасацію,бланки,канцтовари</t>
  </si>
  <si>
    <t>витрати на операційну оренду основних засобів та роялті, що мають загальногосподарське призначення</t>
  </si>
  <si>
    <t>витрати на страхування майна загальногосподарського призначення</t>
  </si>
  <si>
    <t>витрати на страхування загальногосподарського персоналу</t>
  </si>
  <si>
    <t xml:space="preserve">організаційно-технічні послуги </t>
  </si>
  <si>
    <t>консультаційні та інформаційні послуги</t>
  </si>
  <si>
    <t>юридичні послуги</t>
  </si>
  <si>
    <t>послуги з оцінки майна</t>
  </si>
  <si>
    <t>витрати на охорону праці загальногосподарського персоналу</t>
  </si>
  <si>
    <t xml:space="preserve">витрати на підвищення кваліфікації та перепідготовку кадрів </t>
  </si>
  <si>
    <t>без учета грошових коштів (без стр. 1165)</t>
  </si>
  <si>
    <t>Фактичний показник за 2019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</si>
</sst>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64" formatCode="_-* #,##0.00_₴_-;\-* #,##0.00_₴_-;_-* &quot;-&quot;??_₴_-;_-@_-"/>
    <numFmt numFmtId="165" formatCode="#,##0&quot;р.&quot;;[Red]\-#,##0&quot;р.&quot;"/>
    <numFmt numFmtId="166" formatCode="#,##0.00&quot;р.&quot;;\-#,##0.00&quot;р.&quot;"/>
    <numFmt numFmtId="167" formatCode="_-* #,##0.00_р_._-;\-* #,##0.00_р_._-;_-* &quot;-&quot;??_р_._-;_-@_-"/>
    <numFmt numFmtId="168" formatCode="_-* #,##0.00\ _г_р_н_._-;\-* #,##0.00\ _г_р_н_._-;_-* &quot;-&quot;??\ _г_р_н_._-;_-@_-"/>
    <numFmt numFmtId="169" formatCode="0.0"/>
    <numFmt numFmtId="170" formatCode="#,##0.0"/>
    <numFmt numFmtId="171" formatCode="###\ ##0.000"/>
    <numFmt numFmtId="172" formatCode="_(&quot;$&quot;* #,##0.00_);_(&quot;$&quot;* \(#,##0.00\);_(&quot;$&quot;* &quot;-&quot;??_);_(@_)"/>
    <numFmt numFmtId="173" formatCode="_(* #,##0_);_(* \(#,##0\);_(* &quot;-&quot;_);_(@_)"/>
    <numFmt numFmtId="174" formatCode="_(* #,##0.00_);_(* \(#,##0.00\);_(* &quot;-&quot;??_);_(@_)"/>
    <numFmt numFmtId="175" formatCode="#,##0.0_ ;[Red]\-#,##0.0\ "/>
    <numFmt numFmtId="176" formatCode="0.0;\(0.0\);\ ;\-"/>
    <numFmt numFmtId="177" formatCode="dd\.mm\.yyyy;@"/>
    <numFmt numFmtId="178" formatCode="_(* #,##0_);_(* \(#,##0\);_(* &quot;-&quot;??_);_(@_)"/>
    <numFmt numFmtId="179" formatCode="_-* #,##0_₴_-;\-* #,##0_₴_-;_-* &quot;-&quot;??_₴_-;_-@_-"/>
  </numFmts>
  <fonts count="87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4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1"/>
      <color indexed="8"/>
      <name val="Arial Cyr"/>
      <family val="2"/>
      <charset val="204"/>
    </font>
    <font>
      <sz val="11"/>
      <color indexed="9"/>
      <name val="Arial Cyr"/>
      <family val="2"/>
      <charset val="204"/>
    </font>
    <font>
      <b/>
      <sz val="12"/>
      <name val="Arial"/>
      <family val="2"/>
      <charset val="204"/>
    </font>
    <font>
      <sz val="10"/>
      <name val="FreeSet"/>
      <family val="2"/>
    </font>
    <font>
      <u/>
      <sz val="10"/>
      <color indexed="12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b/>
      <sz val="10"/>
      <name val="Arial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  <font>
      <sz val="16"/>
      <color indexed="8"/>
      <name val="Times New Roman"/>
      <family val="1"/>
      <charset val="204"/>
    </font>
    <font>
      <sz val="16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6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9"/>
      <name val="Arial Cyr"/>
      <charset val="204"/>
    </font>
    <font>
      <b/>
      <sz val="14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theme="0"/>
      <name val="Times New Roman"/>
      <family val="1"/>
      <charset val="204"/>
    </font>
  </fonts>
  <fills count="4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54">
    <xf numFmtId="0" fontId="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33" fillId="2" borderId="0" applyNumberFormat="0" applyBorder="0" applyAlignment="0" applyProtection="0"/>
    <xf numFmtId="0" fontId="1" fillId="2" borderId="0" applyNumberFormat="0" applyBorder="0" applyAlignment="0" applyProtection="0"/>
    <xf numFmtId="0" fontId="33" fillId="3" borderId="0" applyNumberFormat="0" applyBorder="0" applyAlignment="0" applyProtection="0"/>
    <xf numFmtId="0" fontId="1" fillId="3" borderId="0" applyNumberFormat="0" applyBorder="0" applyAlignment="0" applyProtection="0"/>
    <xf numFmtId="0" fontId="33" fillId="4" borderId="0" applyNumberFormat="0" applyBorder="0" applyAlignment="0" applyProtection="0"/>
    <xf numFmtId="0" fontId="1" fillId="4" borderId="0" applyNumberFormat="0" applyBorder="0" applyAlignment="0" applyProtection="0"/>
    <xf numFmtId="0" fontId="33" fillId="5" borderId="0" applyNumberFormat="0" applyBorder="0" applyAlignment="0" applyProtection="0"/>
    <xf numFmtId="0" fontId="1" fillId="5" borderId="0" applyNumberFormat="0" applyBorder="0" applyAlignment="0" applyProtection="0"/>
    <xf numFmtId="0" fontId="33" fillId="6" borderId="0" applyNumberFormat="0" applyBorder="0" applyAlignment="0" applyProtection="0"/>
    <xf numFmtId="0" fontId="1" fillId="6" borderId="0" applyNumberFormat="0" applyBorder="0" applyAlignment="0" applyProtection="0"/>
    <xf numFmtId="0" fontId="33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3" fillId="8" borderId="0" applyNumberFormat="0" applyBorder="0" applyAlignment="0" applyProtection="0"/>
    <xf numFmtId="0" fontId="1" fillId="8" borderId="0" applyNumberFormat="0" applyBorder="0" applyAlignment="0" applyProtection="0"/>
    <xf numFmtId="0" fontId="33" fillId="9" borderId="0" applyNumberFormat="0" applyBorder="0" applyAlignment="0" applyProtection="0"/>
    <xf numFmtId="0" fontId="1" fillId="9" borderId="0" applyNumberFormat="0" applyBorder="0" applyAlignment="0" applyProtection="0"/>
    <xf numFmtId="0" fontId="33" fillId="10" borderId="0" applyNumberFormat="0" applyBorder="0" applyAlignment="0" applyProtection="0"/>
    <xf numFmtId="0" fontId="1" fillId="10" borderId="0" applyNumberFormat="0" applyBorder="0" applyAlignment="0" applyProtection="0"/>
    <xf numFmtId="0" fontId="33" fillId="5" borderId="0" applyNumberFormat="0" applyBorder="0" applyAlignment="0" applyProtection="0"/>
    <xf numFmtId="0" fontId="1" fillId="5" borderId="0" applyNumberFormat="0" applyBorder="0" applyAlignment="0" applyProtection="0"/>
    <xf numFmtId="0" fontId="33" fillId="8" borderId="0" applyNumberFormat="0" applyBorder="0" applyAlignment="0" applyProtection="0"/>
    <xf numFmtId="0" fontId="1" fillId="8" borderId="0" applyNumberFormat="0" applyBorder="0" applyAlignment="0" applyProtection="0"/>
    <xf numFmtId="0" fontId="33" fillId="11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34" fillId="12" borderId="0" applyNumberFormat="0" applyBorder="0" applyAlignment="0" applyProtection="0"/>
    <xf numFmtId="0" fontId="16" fillId="12" borderId="0" applyNumberFormat="0" applyBorder="0" applyAlignment="0" applyProtection="0"/>
    <xf numFmtId="0" fontId="34" fillId="9" borderId="0" applyNumberFormat="0" applyBorder="0" applyAlignment="0" applyProtection="0"/>
    <xf numFmtId="0" fontId="16" fillId="9" borderId="0" applyNumberFormat="0" applyBorder="0" applyAlignment="0" applyProtection="0"/>
    <xf numFmtId="0" fontId="34" fillId="10" borderId="0" applyNumberFormat="0" applyBorder="0" applyAlignment="0" applyProtection="0"/>
    <xf numFmtId="0" fontId="16" fillId="10" borderId="0" applyNumberFormat="0" applyBorder="0" applyAlignment="0" applyProtection="0"/>
    <xf numFmtId="0" fontId="34" fillId="13" borderId="0" applyNumberFormat="0" applyBorder="0" applyAlignment="0" applyProtection="0"/>
    <xf numFmtId="0" fontId="16" fillId="13" borderId="0" applyNumberFormat="0" applyBorder="0" applyAlignment="0" applyProtection="0"/>
    <xf numFmtId="0" fontId="34" fillId="14" borderId="0" applyNumberFormat="0" applyBorder="0" applyAlignment="0" applyProtection="0"/>
    <xf numFmtId="0" fontId="16" fillId="14" borderId="0" applyNumberFormat="0" applyBorder="0" applyAlignment="0" applyProtection="0"/>
    <xf numFmtId="0" fontId="34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27" fillId="3" borderId="0" applyNumberFormat="0" applyBorder="0" applyAlignment="0" applyProtection="0"/>
    <xf numFmtId="0" fontId="19" fillId="20" borderId="1" applyNumberFormat="0" applyAlignment="0" applyProtection="0"/>
    <xf numFmtId="0" fontId="24" fillId="21" borderId="2" applyNumberFormat="0" applyAlignment="0" applyProtection="0"/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168" fontId="13" fillId="0" borderId="0" applyFont="0" applyFill="0" applyBorder="0" applyAlignment="0" applyProtection="0"/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0" fontId="28" fillId="0" borderId="0" applyNumberFormat="0" applyFill="0" applyBorder="0" applyAlignment="0" applyProtection="0"/>
    <xf numFmtId="171" fontId="36" fillId="0" borderId="0" applyAlignment="0">
      <alignment wrapText="1"/>
    </xf>
    <xf numFmtId="0" fontId="31" fillId="4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17" fillId="7" borderId="1" applyNumberFormat="0" applyAlignment="0" applyProtection="0"/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</xf>
    <xf numFmtId="49" fontId="13" fillId="0" borderId="0" applyNumberFormat="0" applyFont="0" applyAlignment="0">
      <alignment vertical="top" wrapText="1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38" fillId="22" borderId="7">
      <alignment horizontal="left" vertical="center"/>
      <protection locked="0"/>
    </xf>
    <xf numFmtId="49" fontId="38" fillId="22" borderId="7">
      <alignment horizontal="left" vertical="center"/>
    </xf>
    <xf numFmtId="4" fontId="38" fillId="22" borderId="7">
      <alignment horizontal="right" vertical="center"/>
      <protection locked="0"/>
    </xf>
    <xf numFmtId="4" fontId="38" fillId="22" borderId="7">
      <alignment horizontal="right" vertical="center"/>
    </xf>
    <xf numFmtId="4" fontId="39" fillId="22" borderId="7">
      <alignment horizontal="right" vertical="center"/>
      <protection locked="0"/>
    </xf>
    <xf numFmtId="49" fontId="40" fillId="22" borderId="3">
      <alignment horizontal="left" vertical="center"/>
      <protection locked="0"/>
    </xf>
    <xf numFmtId="49" fontId="40" fillId="22" borderId="3">
      <alignment horizontal="left" vertical="center"/>
    </xf>
    <xf numFmtId="49" fontId="41" fillId="22" borderId="3">
      <alignment horizontal="left" vertical="center"/>
      <protection locked="0"/>
    </xf>
    <xf numFmtId="49" fontId="41" fillId="22" borderId="3">
      <alignment horizontal="left" vertical="center"/>
    </xf>
    <xf numFmtId="4" fontId="40" fillId="22" borderId="3">
      <alignment horizontal="right" vertical="center"/>
      <protection locked="0"/>
    </xf>
    <xf numFmtId="4" fontId="40" fillId="22" borderId="3">
      <alignment horizontal="right" vertical="center"/>
    </xf>
    <xf numFmtId="4" fontId="42" fillId="22" borderId="3">
      <alignment horizontal="right" vertical="center"/>
      <protection locked="0"/>
    </xf>
    <xf numFmtId="49" fontId="35" fillId="22" borderId="3">
      <alignment horizontal="left" vertical="center"/>
      <protection locked="0"/>
    </xf>
    <xf numFmtId="49" fontId="35" fillId="22" borderId="3">
      <alignment horizontal="left" vertical="center"/>
      <protection locked="0"/>
    </xf>
    <xf numFmtId="49" fontId="35" fillId="22" borderId="3">
      <alignment horizontal="left" vertical="center"/>
    </xf>
    <xf numFmtId="49" fontId="35" fillId="22" borderId="3">
      <alignment horizontal="left" vertical="center"/>
    </xf>
    <xf numFmtId="49" fontId="39" fillId="22" borderId="3">
      <alignment horizontal="left" vertical="center"/>
      <protection locked="0"/>
    </xf>
    <xf numFmtId="49" fontId="39" fillId="22" borderId="3">
      <alignment horizontal="left" vertical="center"/>
    </xf>
    <xf numFmtId="4" fontId="35" fillId="22" borderId="3">
      <alignment horizontal="right" vertical="center"/>
      <protection locked="0"/>
    </xf>
    <xf numFmtId="4" fontId="35" fillId="22" borderId="3">
      <alignment horizontal="right" vertical="center"/>
      <protection locked="0"/>
    </xf>
    <xf numFmtId="4" fontId="35" fillId="22" borderId="3">
      <alignment horizontal="right" vertical="center"/>
    </xf>
    <xf numFmtId="4" fontId="35" fillId="22" borderId="3">
      <alignment horizontal="right" vertical="center"/>
    </xf>
    <xf numFmtId="4" fontId="39" fillId="22" borderId="3">
      <alignment horizontal="right" vertical="center"/>
      <protection locked="0"/>
    </xf>
    <xf numFmtId="49" fontId="43" fillId="22" borderId="3">
      <alignment horizontal="left" vertical="center"/>
      <protection locked="0"/>
    </xf>
    <xf numFmtId="49" fontId="43" fillId="22" borderId="3">
      <alignment horizontal="left" vertical="center"/>
    </xf>
    <xf numFmtId="49" fontId="44" fillId="22" borderId="3">
      <alignment horizontal="left" vertical="center"/>
      <protection locked="0"/>
    </xf>
    <xf numFmtId="49" fontId="44" fillId="22" borderId="3">
      <alignment horizontal="left" vertical="center"/>
    </xf>
    <xf numFmtId="4" fontId="43" fillId="22" borderId="3">
      <alignment horizontal="right" vertical="center"/>
      <protection locked="0"/>
    </xf>
    <xf numFmtId="4" fontId="43" fillId="22" borderId="3">
      <alignment horizontal="right" vertical="center"/>
    </xf>
    <xf numFmtId="4" fontId="45" fillId="22" borderId="3">
      <alignment horizontal="right" vertical="center"/>
      <protection locked="0"/>
    </xf>
    <xf numFmtId="49" fontId="46" fillId="0" borderId="3">
      <alignment horizontal="left" vertical="center"/>
      <protection locked="0"/>
    </xf>
    <xf numFmtId="49" fontId="46" fillId="0" borderId="3">
      <alignment horizontal="left" vertical="center"/>
    </xf>
    <xf numFmtId="49" fontId="47" fillId="0" borderId="3">
      <alignment horizontal="left" vertical="center"/>
      <protection locked="0"/>
    </xf>
    <xf numFmtId="49" fontId="47" fillId="0" borderId="3">
      <alignment horizontal="left" vertical="center"/>
    </xf>
    <xf numFmtId="4" fontId="46" fillId="0" borderId="3">
      <alignment horizontal="right" vertical="center"/>
      <protection locked="0"/>
    </xf>
    <xf numFmtId="4" fontId="46" fillId="0" borderId="3">
      <alignment horizontal="right" vertical="center"/>
    </xf>
    <xf numFmtId="4" fontId="47" fillId="0" borderId="3">
      <alignment horizontal="right" vertical="center"/>
      <protection locked="0"/>
    </xf>
    <xf numFmtId="49" fontId="48" fillId="0" borderId="3">
      <alignment horizontal="left" vertical="center"/>
      <protection locked="0"/>
    </xf>
    <xf numFmtId="49" fontId="48" fillId="0" borderId="3">
      <alignment horizontal="left" vertical="center"/>
    </xf>
    <xf numFmtId="49" fontId="49" fillId="0" borderId="3">
      <alignment horizontal="left" vertical="center"/>
      <protection locked="0"/>
    </xf>
    <xf numFmtId="49" fontId="49" fillId="0" borderId="3">
      <alignment horizontal="left" vertical="center"/>
    </xf>
    <xf numFmtId="4" fontId="48" fillId="0" borderId="3">
      <alignment horizontal="right" vertical="center"/>
      <protection locked="0"/>
    </xf>
    <xf numFmtId="4" fontId="48" fillId="0" borderId="3">
      <alignment horizontal="right" vertical="center"/>
    </xf>
    <xf numFmtId="49" fontId="46" fillId="0" borderId="3">
      <alignment horizontal="left" vertical="center"/>
      <protection locked="0"/>
    </xf>
    <xf numFmtId="49" fontId="47" fillId="0" borderId="3">
      <alignment horizontal="left" vertical="center"/>
      <protection locked="0"/>
    </xf>
    <xf numFmtId="4" fontId="46" fillId="0" borderId="3">
      <alignment horizontal="right" vertical="center"/>
      <protection locked="0"/>
    </xf>
    <xf numFmtId="0" fontId="29" fillId="0" borderId="8" applyNumberFormat="0" applyFill="0" applyAlignment="0" applyProtection="0"/>
    <xf numFmtId="0" fontId="26" fillId="23" borderId="0" applyNumberFormat="0" applyBorder="0" applyAlignment="0" applyProtection="0"/>
    <xf numFmtId="0" fontId="13" fillId="0" borderId="0"/>
    <xf numFmtId="0" fontId="13" fillId="0" borderId="0"/>
    <xf numFmtId="0" fontId="13" fillId="24" borderId="0" applyNumberFormat="0" applyFill="0" applyAlignment="0">
      <alignment horizontal="center"/>
      <protection locked="0"/>
    </xf>
    <xf numFmtId="0" fontId="2" fillId="25" borderId="9" applyNumberFormat="0" applyFont="0" applyAlignment="0" applyProtection="0"/>
    <xf numFmtId="4" fontId="50" fillId="26" borderId="3">
      <alignment horizontal="right" vertical="center"/>
      <protection locked="0"/>
    </xf>
    <xf numFmtId="4" fontId="50" fillId="27" borderId="3">
      <alignment horizontal="right" vertical="center"/>
      <protection locked="0"/>
    </xf>
    <xf numFmtId="4" fontId="50" fillId="28" borderId="3">
      <alignment horizontal="right" vertical="center"/>
      <protection locked="0"/>
    </xf>
    <xf numFmtId="0" fontId="18" fillId="20" borderId="10" applyNumberFormat="0" applyAlignment="0" applyProtection="0"/>
    <xf numFmtId="49" fontId="35" fillId="0" borderId="3">
      <alignment horizontal="left" vertical="center" wrapText="1"/>
      <protection locked="0"/>
    </xf>
    <xf numFmtId="49" fontId="35" fillId="0" borderId="3">
      <alignment horizontal="left" vertical="center" wrapText="1"/>
      <protection locked="0"/>
    </xf>
    <xf numFmtId="0" fontId="25" fillId="0" borderId="0" applyNumberFormat="0" applyFill="0" applyBorder="0" applyAlignment="0" applyProtection="0"/>
    <xf numFmtId="0" fontId="23" fillId="0" borderId="11" applyNumberFormat="0" applyFill="0" applyAlignment="0" applyProtection="0"/>
    <xf numFmtId="0" fontId="30" fillId="0" borderId="0" applyNumberFormat="0" applyFill="0" applyBorder="0" applyAlignment="0" applyProtection="0"/>
    <xf numFmtId="0" fontId="34" fillId="16" borderId="0" applyNumberFormat="0" applyBorder="0" applyAlignment="0" applyProtection="0"/>
    <xf numFmtId="0" fontId="16" fillId="16" borderId="0" applyNumberFormat="0" applyBorder="0" applyAlignment="0" applyProtection="0"/>
    <xf numFmtId="0" fontId="34" fillId="17" borderId="0" applyNumberFormat="0" applyBorder="0" applyAlignment="0" applyProtection="0"/>
    <xf numFmtId="0" fontId="16" fillId="17" borderId="0" applyNumberFormat="0" applyBorder="0" applyAlignment="0" applyProtection="0"/>
    <xf numFmtId="0" fontId="34" fillId="18" borderId="0" applyNumberFormat="0" applyBorder="0" applyAlignment="0" applyProtection="0"/>
    <xf numFmtId="0" fontId="16" fillId="18" borderId="0" applyNumberFormat="0" applyBorder="0" applyAlignment="0" applyProtection="0"/>
    <xf numFmtId="0" fontId="34" fillId="13" borderId="0" applyNumberFormat="0" applyBorder="0" applyAlignment="0" applyProtection="0"/>
    <xf numFmtId="0" fontId="16" fillId="13" borderId="0" applyNumberFormat="0" applyBorder="0" applyAlignment="0" applyProtection="0"/>
    <xf numFmtId="0" fontId="34" fillId="14" borderId="0" applyNumberFormat="0" applyBorder="0" applyAlignment="0" applyProtection="0"/>
    <xf numFmtId="0" fontId="16" fillId="14" borderId="0" applyNumberFormat="0" applyBorder="0" applyAlignment="0" applyProtection="0"/>
    <xf numFmtId="0" fontId="34" fillId="19" borderId="0" applyNumberFormat="0" applyBorder="0" applyAlignment="0" applyProtection="0"/>
    <xf numFmtId="0" fontId="16" fillId="19" borderId="0" applyNumberFormat="0" applyBorder="0" applyAlignment="0" applyProtection="0"/>
    <xf numFmtId="0" fontId="51" fillId="7" borderId="1" applyNumberFormat="0" applyAlignment="0" applyProtection="0"/>
    <xf numFmtId="0" fontId="17" fillId="7" borderId="1" applyNumberFormat="0" applyAlignment="0" applyProtection="0"/>
    <xf numFmtId="0" fontId="52" fillId="20" borderId="10" applyNumberFormat="0" applyAlignment="0" applyProtection="0"/>
    <xf numFmtId="0" fontId="18" fillId="20" borderId="10" applyNumberFormat="0" applyAlignment="0" applyProtection="0"/>
    <xf numFmtId="0" fontId="53" fillId="20" borderId="1" applyNumberFormat="0" applyAlignment="0" applyProtection="0"/>
    <xf numFmtId="0" fontId="19" fillId="20" borderId="1" applyNumberFormat="0" applyAlignment="0" applyProtection="0"/>
    <xf numFmtId="172" fontId="13" fillId="0" borderId="0" applyFont="0" applyFill="0" applyBorder="0" applyAlignment="0" applyProtection="0"/>
    <xf numFmtId="0" fontId="54" fillId="0" borderId="4" applyNumberFormat="0" applyFill="0" applyAlignment="0" applyProtection="0"/>
    <xf numFmtId="0" fontId="20" fillId="0" borderId="4" applyNumberFormat="0" applyFill="0" applyAlignment="0" applyProtection="0"/>
    <xf numFmtId="0" fontId="55" fillId="0" borderId="5" applyNumberFormat="0" applyFill="0" applyAlignment="0" applyProtection="0"/>
    <xf numFmtId="0" fontId="21" fillId="0" borderId="5" applyNumberFormat="0" applyFill="0" applyAlignment="0" applyProtection="0"/>
    <xf numFmtId="0" fontId="56" fillId="0" borderId="6" applyNumberFormat="0" applyFill="0" applyAlignment="0" applyProtection="0"/>
    <xf numFmtId="0" fontId="22" fillId="0" borderId="6" applyNumberFormat="0" applyFill="0" applyAlignment="0" applyProtection="0"/>
    <xf numFmtId="0" fontId="56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7" fillId="0" borderId="11" applyNumberFormat="0" applyFill="0" applyAlignment="0" applyProtection="0"/>
    <xf numFmtId="0" fontId="23" fillId="0" borderId="11" applyNumberFormat="0" applyFill="0" applyAlignment="0" applyProtection="0"/>
    <xf numFmtId="0" fontId="58" fillId="21" borderId="2" applyNumberFormat="0" applyAlignment="0" applyProtection="0"/>
    <xf numFmtId="0" fontId="24" fillId="21" borderId="2" applyNumberFormat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59" fillId="23" borderId="0" applyNumberFormat="0" applyBorder="0" applyAlignment="0" applyProtection="0"/>
    <xf numFmtId="0" fontId="26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1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1" fillId="0" borderId="0"/>
    <xf numFmtId="0" fontId="82" fillId="0" borderId="0"/>
    <xf numFmtId="0" fontId="13" fillId="0" borderId="0"/>
    <xf numFmtId="0" fontId="2" fillId="0" borderId="0"/>
    <xf numFmtId="0" fontId="13" fillId="0" borderId="0"/>
    <xf numFmtId="0" fontId="13" fillId="0" borderId="0" applyNumberFormat="0" applyFont="0" applyFill="0" applyBorder="0" applyAlignment="0" applyProtection="0">
      <alignment vertical="top"/>
    </xf>
    <xf numFmtId="0" fontId="13" fillId="0" borderId="0" applyNumberFormat="0" applyFont="0" applyFill="0" applyBorder="0" applyAlignment="0" applyProtection="0">
      <alignment vertical="top"/>
    </xf>
    <xf numFmtId="0" fontId="2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60" fillId="3" borderId="0" applyNumberFormat="0" applyBorder="0" applyAlignment="0" applyProtection="0"/>
    <xf numFmtId="0" fontId="27" fillId="3" borderId="0" applyNumberFormat="0" applyBorder="0" applyAlignment="0" applyProtection="0"/>
    <xf numFmtId="0" fontId="61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2" fillId="25" borderId="9" applyNumberFormat="0" applyFont="0" applyAlignment="0" applyProtection="0"/>
    <xf numFmtId="0" fontId="13" fillId="25" borderId="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3" fillId="0" borderId="8" applyNumberFormat="0" applyFill="0" applyAlignment="0" applyProtection="0"/>
    <xf numFmtId="0" fontId="29" fillId="0" borderId="8" applyNumberFormat="0" applyFill="0" applyAlignment="0" applyProtection="0"/>
    <xf numFmtId="0" fontId="32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73" fontId="66" fillId="0" borderId="0" applyFont="0" applyFill="0" applyBorder="0" applyAlignment="0" applyProtection="0"/>
    <xf numFmtId="174" fontId="6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67" fillId="4" borderId="0" applyNumberFormat="0" applyBorder="0" applyAlignment="0" applyProtection="0"/>
    <xf numFmtId="0" fontId="31" fillId="4" borderId="0" applyNumberFormat="0" applyBorder="0" applyAlignment="0" applyProtection="0"/>
    <xf numFmtId="176" fontId="68" fillId="22" borderId="12" applyFill="0" applyBorder="0">
      <alignment horizontal="center" vertical="center" wrapText="1"/>
      <protection locked="0"/>
    </xf>
    <xf numFmtId="171" fontId="69" fillId="0" borderId="0">
      <alignment wrapText="1"/>
    </xf>
    <xf numFmtId="171" fontId="36" fillId="0" borderId="0">
      <alignment wrapText="1"/>
    </xf>
  </cellStyleXfs>
  <cellXfs count="569">
    <xf numFmtId="0" fontId="0" fillId="0" borderId="0" xfId="0"/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 shrinkToFit="1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169" fontId="4" fillId="0" borderId="0" xfId="0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1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left" vertical="center" wrapText="1" shrinkToFit="1"/>
    </xf>
    <xf numFmtId="0" fontId="5" fillId="0" borderId="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right" vertical="center"/>
    </xf>
    <xf numFmtId="170" fontId="5" fillId="0" borderId="0" xfId="0" applyNumberFormat="1" applyFont="1" applyFill="1" applyAlignment="1">
      <alignment vertical="center"/>
    </xf>
    <xf numFmtId="0" fontId="12" fillId="0" borderId="0" xfId="0" applyFont="1" applyFill="1"/>
    <xf numFmtId="169" fontId="4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/>
    <xf numFmtId="16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3" xfId="237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4" fillId="0" borderId="0" xfId="245" applyFont="1" applyFill="1" applyBorder="1" applyAlignment="1">
      <alignment horizontal="center" vertical="center" wrapText="1"/>
    </xf>
    <xf numFmtId="0" fontId="5" fillId="0" borderId="0" xfId="245" applyFont="1" applyFill="1" applyBorder="1" applyAlignment="1">
      <alignment vertical="center"/>
    </xf>
    <xf numFmtId="0" fontId="5" fillId="0" borderId="3" xfId="245" applyFont="1" applyFill="1" applyBorder="1" applyAlignment="1">
      <alignment horizontal="left" vertical="center" wrapText="1"/>
    </xf>
    <xf numFmtId="0" fontId="4" fillId="0" borderId="0" xfId="245" applyFont="1" applyFill="1" applyBorder="1" applyAlignment="1">
      <alignment vertical="center"/>
    </xf>
    <xf numFmtId="0" fontId="5" fillId="0" borderId="0" xfId="245" applyFont="1" applyFill="1" applyBorder="1" applyAlignment="1">
      <alignment horizontal="center" vertical="center"/>
    </xf>
    <xf numFmtId="0" fontId="4" fillId="0" borderId="0" xfId="245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5" fillId="0" borderId="3" xfId="245" applyFont="1" applyFill="1" applyBorder="1" applyAlignment="1">
      <alignment horizontal="center" vertical="center"/>
    </xf>
    <xf numFmtId="0" fontId="5" fillId="0" borderId="3" xfId="245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left" vertical="center" wrapText="1"/>
    </xf>
    <xf numFmtId="170" fontId="4" fillId="0" borderId="0" xfId="0" applyNumberFormat="1" applyFont="1" applyFill="1" applyBorder="1" applyAlignment="1">
      <alignment horizontal="center" vertical="center" wrapText="1"/>
    </xf>
    <xf numFmtId="170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15" fillId="0" borderId="0" xfId="245" applyFont="1" applyFill="1"/>
    <xf numFmtId="0" fontId="6" fillId="0" borderId="0" xfId="0" applyFont="1" applyFill="1" applyAlignment="1">
      <alignment vertical="center"/>
    </xf>
    <xf numFmtId="0" fontId="5" fillId="0" borderId="0" xfId="245" applyFont="1" applyFill="1" applyBorder="1" applyAlignment="1">
      <alignment vertical="center" wrapText="1"/>
    </xf>
    <xf numFmtId="0" fontId="4" fillId="0" borderId="3" xfId="237" applyFont="1" applyFill="1" applyBorder="1" applyAlignment="1">
      <alignment horizontal="left" vertical="center"/>
    </xf>
    <xf numFmtId="0" fontId="5" fillId="0" borderId="0" xfId="0" applyFont="1" applyFill="1"/>
    <xf numFmtId="0" fontId="10" fillId="0" borderId="3" xfId="0" applyFont="1" applyFill="1" applyBorder="1" applyAlignment="1">
      <alignment horizontal="center" vertical="center" wrapText="1" shrinkToFit="1"/>
    </xf>
    <xf numFmtId="0" fontId="10" fillId="0" borderId="14" xfId="0" applyFont="1" applyFill="1" applyBorder="1" applyAlignment="1">
      <alignment horizontal="center" vertical="center" wrapText="1" shrinkToFit="1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12" fillId="0" borderId="0" xfId="0" applyFont="1" applyFill="1" applyAlignment="1">
      <alignment horizontal="right" vertical="center"/>
    </xf>
    <xf numFmtId="0" fontId="15" fillId="0" borderId="0" xfId="0" applyFont="1" applyFill="1" applyAlignment="1">
      <alignment vertical="center"/>
    </xf>
    <xf numFmtId="0" fontId="15" fillId="0" borderId="0" xfId="0" applyFont="1" applyFill="1"/>
    <xf numFmtId="0" fontId="15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3" xfId="0" quotePrefix="1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4" fillId="0" borderId="3" xfId="237" applyFont="1" applyFill="1" applyBorder="1" applyAlignment="1">
      <alignment horizontal="left" vertical="center" wrapText="1"/>
    </xf>
    <xf numFmtId="0" fontId="5" fillId="0" borderId="3" xfId="237" applyNumberFormat="1" applyFont="1" applyFill="1" applyBorder="1" applyAlignment="1">
      <alignment horizontal="left" vertical="center" wrapText="1"/>
    </xf>
    <xf numFmtId="0" fontId="5" fillId="0" borderId="3" xfId="237" applyNumberFormat="1" applyFont="1" applyFill="1" applyBorder="1" applyAlignment="1">
      <alignment horizontal="center" vertical="center" wrapText="1"/>
    </xf>
    <xf numFmtId="0" fontId="5" fillId="0" borderId="3" xfId="237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 shrinkToFi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169" fontId="5" fillId="0" borderId="0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 shrinkToFit="1"/>
    </xf>
    <xf numFmtId="49" fontId="5" fillId="0" borderId="3" xfId="237" applyNumberFormat="1" applyFont="1" applyFill="1" applyBorder="1" applyAlignment="1">
      <alignment horizontal="left" vertical="center" wrapText="1"/>
    </xf>
    <xf numFmtId="0" fontId="5" fillId="0" borderId="3" xfId="237" applyNumberFormat="1" applyFont="1" applyFill="1" applyBorder="1" applyAlignment="1">
      <alignment horizontal="left" vertical="top" wrapText="1"/>
    </xf>
    <xf numFmtId="0" fontId="5" fillId="29" borderId="3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vertical="center" wrapText="1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3" xfId="182" applyFont="1" applyFill="1" applyBorder="1" applyAlignment="1" applyProtection="1">
      <alignment vertical="center" wrapText="1"/>
    </xf>
    <xf numFmtId="173" fontId="5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182" applyFont="1" applyFill="1" applyBorder="1" applyAlignment="1" applyProtection="1">
      <alignment vertical="center" wrapText="1"/>
    </xf>
    <xf numFmtId="0" fontId="4" fillId="0" borderId="3" xfId="0" applyFont="1" applyFill="1" applyBorder="1" applyAlignment="1" applyProtection="1">
      <alignment vertical="center" wrapText="1"/>
    </xf>
    <xf numFmtId="0" fontId="5" fillId="0" borderId="3" xfId="0" applyFont="1" applyFill="1" applyBorder="1" applyAlignment="1" applyProtection="1">
      <alignment vertical="center" wrapText="1"/>
    </xf>
    <xf numFmtId="0" fontId="5" fillId="0" borderId="3" xfId="0" applyFont="1" applyFill="1" applyBorder="1" applyAlignment="1" applyProtection="1">
      <alignment horizontal="left" vertical="center" wrapText="1"/>
    </xf>
    <xf numFmtId="0" fontId="5" fillId="0" borderId="3" xfId="245" applyFont="1" applyFill="1" applyBorder="1" applyAlignment="1" applyProtection="1">
      <alignment horizontal="left" vertical="center" wrapText="1"/>
    </xf>
    <xf numFmtId="0" fontId="4" fillId="0" borderId="3" xfId="0" applyFont="1" applyFill="1" applyBorder="1" applyAlignment="1" applyProtection="1">
      <alignment horizontal="left" vertical="center" wrapText="1"/>
    </xf>
    <xf numFmtId="17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70" fillId="0" borderId="0" xfId="0" applyFont="1" applyAlignment="1" applyProtection="1">
      <alignment horizontal="left" vertical="top" wrapText="1"/>
      <protection locked="0"/>
    </xf>
    <xf numFmtId="0" fontId="70" fillId="0" borderId="0" xfId="0" applyFont="1" applyAlignment="1" applyProtection="1">
      <alignment vertical="top" wrapText="1"/>
      <protection locked="0"/>
    </xf>
    <xf numFmtId="0" fontId="71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71" fillId="0" borderId="0" xfId="0" applyFont="1" applyFill="1" applyBorder="1" applyAlignment="1" applyProtection="1">
      <alignment horizontal="right" vertical="center"/>
      <protection locked="0"/>
    </xf>
    <xf numFmtId="0" fontId="71" fillId="0" borderId="0" xfId="0" applyFont="1" applyFill="1" applyBorder="1" applyAlignment="1" applyProtection="1">
      <alignment horizontal="left" vertical="center"/>
      <protection locked="0"/>
    </xf>
    <xf numFmtId="0" fontId="71" fillId="0" borderId="0" xfId="0" applyFont="1" applyFill="1" applyBorder="1" applyAlignment="1" applyProtection="1">
      <alignment horizontal="right" vertical="center" wrapText="1"/>
      <protection locked="0"/>
    </xf>
    <xf numFmtId="0" fontId="71" fillId="0" borderId="0" xfId="0" applyFont="1" applyFill="1" applyBorder="1" applyAlignment="1" applyProtection="1">
      <alignment horizontal="left" vertical="center" wrapText="1"/>
      <protection locked="0"/>
    </xf>
    <xf numFmtId="0" fontId="71" fillId="0" borderId="0" xfId="0" applyFont="1" applyFill="1" applyAlignment="1" applyProtection="1">
      <alignment horizontal="center" vertical="center"/>
      <protection locked="0"/>
    </xf>
    <xf numFmtId="0" fontId="71" fillId="0" borderId="0" xfId="0" applyFont="1" applyFill="1" applyBorder="1" applyAlignment="1" applyProtection="1">
      <alignment horizontal="center" vertical="center"/>
      <protection locked="0"/>
    </xf>
    <xf numFmtId="0" fontId="71" fillId="0" borderId="14" xfId="0" applyFont="1" applyFill="1" applyBorder="1" applyAlignment="1" applyProtection="1">
      <alignment vertical="center"/>
      <protection locked="0"/>
    </xf>
    <xf numFmtId="0" fontId="71" fillId="0" borderId="15" xfId="0" applyFont="1" applyFill="1" applyBorder="1" applyAlignment="1" applyProtection="1">
      <alignment vertical="center"/>
      <protection locked="0"/>
    </xf>
    <xf numFmtId="0" fontId="71" fillId="0" borderId="16" xfId="0" applyFont="1" applyFill="1" applyBorder="1" applyAlignment="1" applyProtection="1">
      <alignment vertical="center"/>
      <protection locked="0"/>
    </xf>
    <xf numFmtId="0" fontId="71" fillId="0" borderId="3" xfId="0" applyFont="1" applyFill="1" applyBorder="1" applyAlignment="1" applyProtection="1">
      <alignment horizontal="center" vertical="center"/>
      <protection locked="0"/>
    </xf>
    <xf numFmtId="0" fontId="71" fillId="0" borderId="14" xfId="0" applyFont="1" applyFill="1" applyBorder="1" applyAlignment="1" applyProtection="1">
      <alignment horizontal="left" vertical="center" wrapText="1"/>
      <protection locked="0"/>
    </xf>
    <xf numFmtId="0" fontId="71" fillId="0" borderId="15" xfId="0" applyFont="1" applyFill="1" applyBorder="1" applyAlignment="1" applyProtection="1">
      <alignment vertical="center" wrapText="1"/>
      <protection locked="0"/>
    </xf>
    <xf numFmtId="0" fontId="71" fillId="0" borderId="16" xfId="0" applyFont="1" applyFill="1" applyBorder="1" applyAlignment="1" applyProtection="1">
      <alignment vertical="center" wrapText="1"/>
      <protection locked="0"/>
    </xf>
    <xf numFmtId="0" fontId="71" fillId="0" borderId="3" xfId="0" applyFont="1" applyFill="1" applyBorder="1" applyAlignment="1" applyProtection="1">
      <alignment vertical="center"/>
      <protection locked="0"/>
    </xf>
    <xf numFmtId="0" fontId="71" fillId="0" borderId="17" xfId="0" applyFont="1" applyFill="1" applyBorder="1" applyAlignment="1" applyProtection="1">
      <alignment vertical="center" wrapText="1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71" fillId="0" borderId="18" xfId="0" applyFont="1" applyFill="1" applyBorder="1" applyAlignment="1" applyProtection="1">
      <alignment vertical="center"/>
      <protection locked="0"/>
    </xf>
    <xf numFmtId="0" fontId="71" fillId="0" borderId="3" xfId="0" applyFont="1" applyFill="1" applyBorder="1" applyAlignment="1" applyProtection="1">
      <alignment vertical="center" wrapText="1"/>
      <protection locked="0"/>
    </xf>
    <xf numFmtId="170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170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170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170" fontId="5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quotePrefix="1" applyFont="1" applyFill="1" applyBorder="1" applyAlignment="1" applyProtection="1">
      <alignment horizontal="center" vertical="center"/>
      <protection locked="0"/>
    </xf>
    <xf numFmtId="170" fontId="6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Alignment="1" applyProtection="1">
      <alignment horizontal="left" vertical="center"/>
      <protection locked="0"/>
    </xf>
    <xf numFmtId="0" fontId="4" fillId="0" borderId="0" xfId="0" quotePrefix="1" applyFont="1" applyFill="1" applyBorder="1" applyAlignment="1" applyProtection="1">
      <alignment horizontal="center"/>
      <protection locked="0"/>
    </xf>
    <xf numFmtId="170" fontId="4" fillId="0" borderId="0" xfId="0" quotePrefix="1" applyNumberFormat="1" applyFont="1" applyFill="1" applyBorder="1" applyAlignment="1" applyProtection="1">
      <alignment horizontal="center"/>
      <protection locked="0"/>
    </xf>
    <xf numFmtId="170" fontId="4" fillId="0" borderId="0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245" applyFont="1" applyFill="1" applyBorder="1" applyAlignment="1" applyProtection="1">
      <alignment horizontal="left" vertical="center" wrapText="1"/>
      <protection locked="0"/>
    </xf>
    <xf numFmtId="0" fontId="5" fillId="0" borderId="0" xfId="245" applyFont="1" applyFill="1" applyBorder="1" applyAlignment="1" applyProtection="1">
      <alignment horizontal="center" vertical="center"/>
      <protection locked="0"/>
    </xf>
    <xf numFmtId="170" fontId="5" fillId="0" borderId="0" xfId="245" applyNumberFormat="1" applyFont="1" applyFill="1" applyBorder="1" applyAlignment="1" applyProtection="1">
      <alignment horizontal="center" vertical="center" wrapText="1"/>
      <protection locked="0"/>
    </xf>
    <xf numFmtId="170" fontId="5" fillId="0" borderId="0" xfId="245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quotePrefix="1" applyFont="1" applyFill="1" applyBorder="1" applyAlignment="1" applyProtection="1">
      <alignment horizontal="center" vertical="center"/>
      <protection locked="0"/>
    </xf>
    <xf numFmtId="169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169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3" fontId="5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 wrapText="1"/>
      <protection locked="0"/>
    </xf>
    <xf numFmtId="49" fontId="5" fillId="0" borderId="3" xfId="237" applyNumberFormat="1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Fill="1" applyProtection="1"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10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NumberFormat="1" applyFont="1" applyFill="1" applyBorder="1" applyAlignment="1" applyProtection="1">
      <alignment horizontal="left" vertical="center" wrapText="1"/>
      <protection locked="0"/>
    </xf>
    <xf numFmtId="0" fontId="5" fillId="0" borderId="3" xfId="0" applyNumberFormat="1" applyFont="1" applyFill="1" applyBorder="1" applyAlignment="1">
      <alignment horizontal="left" vertical="center" wrapText="1"/>
    </xf>
    <xf numFmtId="0" fontId="5" fillId="0" borderId="3" xfId="0" quotePrefix="1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1" fontId="0" fillId="0" borderId="0" xfId="0" applyNumberFormat="1"/>
    <xf numFmtId="0" fontId="13" fillId="0" borderId="3" xfId="0" applyFont="1" applyFill="1" applyBorder="1" applyAlignment="1">
      <alignment horizontal="left" vertical="center" wrapText="1"/>
    </xf>
    <xf numFmtId="0" fontId="13" fillId="0" borderId="3" xfId="245" applyFont="1" applyFill="1" applyBorder="1" applyAlignment="1">
      <alignment horizontal="left" vertical="center" wrapText="1"/>
    </xf>
    <xf numFmtId="1" fontId="0" fillId="0" borderId="3" xfId="0" applyNumberFormat="1" applyBorder="1"/>
    <xf numFmtId="0" fontId="0" fillId="0" borderId="3" xfId="0" applyBorder="1"/>
    <xf numFmtId="0" fontId="75" fillId="0" borderId="3" xfId="0" applyFont="1" applyBorder="1" applyAlignment="1">
      <alignment horizontal="center"/>
    </xf>
    <xf numFmtId="0" fontId="0" fillId="0" borderId="3" xfId="0" applyBorder="1" applyAlignment="1">
      <alignment horizontal="left" vertical="center" wrapText="1"/>
    </xf>
    <xf numFmtId="10" fontId="0" fillId="0" borderId="3" xfId="0" applyNumberFormat="1" applyBorder="1" applyAlignment="1">
      <alignment horizontal="center" vertical="center" wrapText="1"/>
    </xf>
    <xf numFmtId="9" fontId="0" fillId="0" borderId="3" xfId="0" applyNumberFormat="1" applyBorder="1" applyAlignment="1">
      <alignment horizontal="center" vertical="center" wrapText="1"/>
    </xf>
    <xf numFmtId="0" fontId="75" fillId="0" borderId="3" xfId="0" applyFont="1" applyBorder="1" applyAlignment="1">
      <alignment horizontal="center" vertical="center" wrapText="1"/>
    </xf>
    <xf numFmtId="0" fontId="75" fillId="30" borderId="3" xfId="0" applyFont="1" applyFill="1" applyBorder="1" applyAlignment="1">
      <alignment horizontal="left" wrapText="1"/>
    </xf>
    <xf numFmtId="0" fontId="75" fillId="31" borderId="3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5" fillId="0" borderId="3" xfId="245" applyFont="1" applyFill="1" applyBorder="1" applyAlignment="1" applyProtection="1">
      <alignment horizontal="left" vertical="center" wrapText="1"/>
      <protection locked="0"/>
    </xf>
    <xf numFmtId="0" fontId="5" fillId="0" borderId="3" xfId="245" applyFont="1" applyFill="1" applyBorder="1" applyAlignment="1" applyProtection="1">
      <alignment horizontal="center" vertical="center" wrapText="1"/>
      <protection locked="0"/>
    </xf>
    <xf numFmtId="0" fontId="4" fillId="0" borderId="3" xfId="245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1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3" xfId="0" applyNumberFormat="1" applyFont="1" applyFill="1" applyBorder="1" applyAlignment="1">
      <alignment horizontal="center" vertical="center" wrapText="1"/>
    </xf>
    <xf numFmtId="1" fontId="0" fillId="0" borderId="3" xfId="0" applyNumberFormat="1" applyFill="1" applyBorder="1"/>
    <xf numFmtId="0" fontId="0" fillId="0" borderId="3" xfId="0" applyFill="1" applyBorder="1" applyProtection="1">
      <protection locked="0"/>
    </xf>
    <xf numFmtId="10" fontId="76" fillId="30" borderId="3" xfId="0" applyNumberFormat="1" applyFont="1" applyFill="1" applyBorder="1" applyAlignment="1" applyProtection="1">
      <alignment horizontal="center" vertical="center" wrapText="1"/>
      <protection locked="0"/>
    </xf>
    <xf numFmtId="1" fontId="5" fillId="22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left" vertical="center" wrapText="1"/>
    </xf>
    <xf numFmtId="10" fontId="0" fillId="0" borderId="0" xfId="0" applyNumberFormat="1" applyBorder="1" applyAlignment="1">
      <alignment horizontal="center" vertical="center" wrapText="1"/>
    </xf>
    <xf numFmtId="0" fontId="75" fillId="22" borderId="0" xfId="0" applyFont="1" applyFill="1" applyBorder="1" applyAlignment="1">
      <alignment horizontal="left" wrapText="1"/>
    </xf>
    <xf numFmtId="0" fontId="0" fillId="0" borderId="0" xfId="0" applyFill="1" applyBorder="1" applyProtection="1">
      <protection locked="0"/>
    </xf>
    <xf numFmtId="10" fontId="76" fillId="31" borderId="3" xfId="0" applyNumberFormat="1" applyFont="1" applyFill="1" applyBorder="1" applyAlignment="1">
      <alignment horizontal="center" vertical="center" wrapText="1"/>
    </xf>
    <xf numFmtId="0" fontId="5" fillId="0" borderId="3" xfId="0" quotePrefix="1" applyFont="1" applyFill="1" applyBorder="1" applyAlignment="1" applyProtection="1">
      <alignment horizontal="center" vertical="center"/>
    </xf>
    <xf numFmtId="0" fontId="5" fillId="0" borderId="3" xfId="182" applyFont="1" applyFill="1" applyBorder="1" applyAlignment="1" applyProtection="1">
      <alignment horizontal="left" vertical="center" wrapText="1"/>
    </xf>
    <xf numFmtId="0" fontId="10" fillId="0" borderId="14" xfId="0" applyFont="1" applyFill="1" applyBorder="1" applyAlignment="1" applyProtection="1">
      <alignment horizontal="center" vertical="center" wrapText="1" shrinkToFit="1"/>
      <protection locked="0"/>
    </xf>
    <xf numFmtId="3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3" xfId="0" applyNumberFormat="1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 applyProtection="1">
      <alignment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horizontal="left" vertical="center" wrapText="1"/>
      <protection locked="0"/>
    </xf>
    <xf numFmtId="0" fontId="5" fillId="22" borderId="3" xfId="0" applyFont="1" applyFill="1" applyBorder="1" applyAlignment="1" applyProtection="1">
      <alignment horizontal="left" vertical="center" wrapText="1"/>
      <protection locked="0"/>
    </xf>
    <xf numFmtId="0" fontId="77" fillId="22" borderId="3" xfId="0" applyFont="1" applyFill="1" applyBorder="1" applyAlignment="1" applyProtection="1">
      <alignment horizontal="left" vertical="center" wrapText="1"/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19" xfId="0" applyBorder="1" applyAlignment="1">
      <alignment horizontal="center"/>
    </xf>
    <xf numFmtId="0" fontId="0" fillId="0" borderId="22" xfId="0" applyBorder="1"/>
    <xf numFmtId="0" fontId="0" fillId="0" borderId="23" xfId="0" applyBorder="1"/>
    <xf numFmtId="0" fontId="75" fillId="0" borderId="20" xfId="0" applyFont="1" applyBorder="1"/>
    <xf numFmtId="2" fontId="0" fillId="0" borderId="19" xfId="0" applyNumberFormat="1" applyBorder="1" applyAlignment="1">
      <alignment horizontal="center"/>
    </xf>
    <xf numFmtId="0" fontId="0" fillId="0" borderId="19" xfId="0" applyNumberFormat="1" applyBorder="1" applyAlignment="1">
      <alignment horizontal="center"/>
    </xf>
    <xf numFmtId="0" fontId="0" fillId="22" borderId="20" xfId="0" applyFill="1" applyBorder="1"/>
    <xf numFmtId="2" fontId="0" fillId="0" borderId="19" xfId="0" applyNumberFormat="1" applyBorder="1"/>
    <xf numFmtId="2" fontId="0" fillId="0" borderId="19" xfId="0" applyNumberFormat="1" applyFill="1" applyBorder="1"/>
    <xf numFmtId="0" fontId="75" fillId="22" borderId="20" xfId="0" applyFont="1" applyFill="1" applyBorder="1"/>
    <xf numFmtId="2" fontId="75" fillId="0" borderId="19" xfId="0" applyNumberFormat="1" applyFont="1" applyBorder="1" applyAlignment="1">
      <alignment horizontal="center"/>
    </xf>
    <xf numFmtId="0" fontId="75" fillId="0" borderId="19" xfId="0" applyNumberFormat="1" applyFont="1" applyBorder="1" applyAlignment="1">
      <alignment horizontal="center"/>
    </xf>
    <xf numFmtId="2" fontId="75" fillId="0" borderId="19" xfId="0" applyNumberFormat="1" applyFont="1" applyBorder="1"/>
    <xf numFmtId="49" fontId="0" fillId="0" borderId="19" xfId="0" applyNumberFormat="1" applyBorder="1" applyAlignment="1">
      <alignment horizontal="center"/>
    </xf>
    <xf numFmtId="0" fontId="0" fillId="0" borderId="22" xfId="0" applyBorder="1" applyAlignment="1">
      <alignment horizontal="center"/>
    </xf>
    <xf numFmtId="2" fontId="0" fillId="0" borderId="22" xfId="0" applyNumberFormat="1" applyBorder="1" applyAlignment="1">
      <alignment horizontal="center"/>
    </xf>
    <xf numFmtId="49" fontId="0" fillId="0" borderId="22" xfId="0" applyNumberFormat="1" applyBorder="1" applyAlignment="1">
      <alignment horizontal="center"/>
    </xf>
    <xf numFmtId="0" fontId="0" fillId="0" borderId="19" xfId="0" applyFill="1" applyBorder="1"/>
    <xf numFmtId="0" fontId="0" fillId="0" borderId="21" xfId="0" applyFill="1" applyBorder="1"/>
    <xf numFmtId="2" fontId="0" fillId="0" borderId="0" xfId="0" applyNumberFormat="1"/>
    <xf numFmtId="179" fontId="75" fillId="0" borderId="3" xfId="323" applyNumberFormat="1" applyFont="1" applyBorder="1"/>
    <xf numFmtId="179" fontId="75" fillId="0" borderId="16" xfId="323" applyNumberFormat="1" applyFont="1" applyBorder="1"/>
    <xf numFmtId="0" fontId="0" fillId="0" borderId="24" xfId="0" applyFill="1" applyBorder="1"/>
    <xf numFmtId="0" fontId="0" fillId="0" borderId="24" xfId="0" applyBorder="1"/>
    <xf numFmtId="0" fontId="0" fillId="22" borderId="0" xfId="0" applyFill="1"/>
    <xf numFmtId="0" fontId="0" fillId="32" borderId="0" xfId="0" applyFill="1"/>
    <xf numFmtId="179" fontId="0" fillId="0" borderId="0" xfId="323" applyNumberFormat="1" applyFont="1"/>
    <xf numFmtId="179" fontId="0" fillId="22" borderId="0" xfId="323" applyNumberFormat="1" applyFont="1" applyFill="1"/>
    <xf numFmtId="179" fontId="0" fillId="0" borderId="0" xfId="0" applyNumberFormat="1"/>
    <xf numFmtId="0" fontId="0" fillId="24" borderId="20" xfId="0" applyFill="1" applyBorder="1"/>
    <xf numFmtId="0" fontId="0" fillId="24" borderId="19" xfId="0" applyFill="1" applyBorder="1" applyAlignment="1">
      <alignment horizontal="center"/>
    </xf>
    <xf numFmtId="2" fontId="0" fillId="24" borderId="19" xfId="0" applyNumberFormat="1" applyFill="1" applyBorder="1" applyAlignment="1">
      <alignment horizontal="center"/>
    </xf>
    <xf numFmtId="0" fontId="0" fillId="24" borderId="19" xfId="0" applyNumberFormat="1" applyFill="1" applyBorder="1" applyAlignment="1">
      <alignment horizontal="center"/>
    </xf>
    <xf numFmtId="2" fontId="0" fillId="24" borderId="19" xfId="0" applyNumberFormat="1" applyFill="1" applyBorder="1"/>
    <xf numFmtId="0" fontId="0" fillId="24" borderId="24" xfId="0" applyFill="1" applyBorder="1"/>
    <xf numFmtId="2" fontId="0" fillId="24" borderId="0" xfId="0" applyNumberFormat="1" applyFill="1"/>
    <xf numFmtId="0" fontId="0" fillId="24" borderId="0" xfId="0" applyFill="1"/>
    <xf numFmtId="0" fontId="0" fillId="33" borderId="3" xfId="0" applyFill="1" applyBorder="1"/>
    <xf numFmtId="179" fontId="0" fillId="33" borderId="3" xfId="323" applyNumberFormat="1" applyFont="1" applyFill="1" applyBorder="1"/>
    <xf numFmtId="0" fontId="0" fillId="24" borderId="3" xfId="0" applyFill="1" applyBorder="1"/>
    <xf numFmtId="179" fontId="0" fillId="24" borderId="3" xfId="323" applyNumberFormat="1" applyFont="1" applyFill="1" applyBorder="1"/>
    <xf numFmtId="0" fontId="0" fillId="34" borderId="3" xfId="0" applyFill="1" applyBorder="1"/>
    <xf numFmtId="179" fontId="0" fillId="34" borderId="3" xfId="323" applyNumberFormat="1" applyFont="1" applyFill="1" applyBorder="1"/>
    <xf numFmtId="1" fontId="5" fillId="0" borderId="0" xfId="0" applyNumberFormat="1" applyFont="1" applyFill="1" applyBorder="1" applyAlignment="1" applyProtection="1">
      <alignment vertical="center"/>
      <protection locked="0"/>
    </xf>
    <xf numFmtId="1" fontId="5" fillId="0" borderId="0" xfId="0" applyNumberFormat="1" applyFont="1" applyFill="1" applyAlignment="1" applyProtection="1">
      <alignment vertical="center"/>
      <protection locked="0"/>
    </xf>
    <xf numFmtId="0" fontId="0" fillId="22" borderId="19" xfId="0" applyFill="1" applyBorder="1" applyAlignment="1">
      <alignment horizontal="center"/>
    </xf>
    <xf numFmtId="2" fontId="0" fillId="22" borderId="19" xfId="0" applyNumberFormat="1" applyFill="1" applyBorder="1"/>
    <xf numFmtId="0" fontId="0" fillId="22" borderId="24" xfId="0" applyFill="1" applyBorder="1"/>
    <xf numFmtId="0" fontId="12" fillId="22" borderId="0" xfId="0" applyFont="1" applyFill="1"/>
    <xf numFmtId="0" fontId="5" fillId="22" borderId="3" xfId="237" applyFont="1" applyFill="1" applyBorder="1" applyAlignment="1">
      <alignment horizontal="center" vertical="center"/>
    </xf>
    <xf numFmtId="2" fontId="5" fillId="22" borderId="3" xfId="237" applyNumberFormat="1" applyFont="1" applyFill="1" applyBorder="1" applyAlignment="1" applyProtection="1">
      <alignment horizontal="center" vertical="center" wrapText="1"/>
      <protection locked="0"/>
    </xf>
    <xf numFmtId="170" fontId="5" fillId="22" borderId="3" xfId="237" applyNumberFormat="1" applyFont="1" applyFill="1" applyBorder="1" applyAlignment="1" applyProtection="1">
      <alignment horizontal="center" vertical="center" wrapText="1"/>
      <protection locked="0"/>
    </xf>
    <xf numFmtId="0" fontId="12" fillId="22" borderId="0" xfId="0" applyFont="1" applyFill="1" applyProtection="1">
      <protection locked="0"/>
    </xf>
    <xf numFmtId="2" fontId="0" fillId="32" borderId="19" xfId="0" applyNumberFormat="1" applyFill="1" applyBorder="1" applyAlignment="1">
      <alignment horizontal="center"/>
    </xf>
    <xf numFmtId="2" fontId="0" fillId="0" borderId="19" xfId="0" applyNumberFormat="1" applyFill="1" applyBorder="1" applyAlignment="1">
      <alignment horizontal="center"/>
    </xf>
    <xf numFmtId="0" fontId="79" fillId="35" borderId="0" xfId="0" applyFont="1" applyFill="1"/>
    <xf numFmtId="9" fontId="5" fillId="0" borderId="0" xfId="0" applyNumberFormat="1" applyFont="1" applyFill="1" applyAlignment="1" applyProtection="1">
      <alignment vertical="center"/>
      <protection locked="0"/>
    </xf>
    <xf numFmtId="0" fontId="80" fillId="0" borderId="0" xfId="0" applyFont="1" applyFill="1" applyBorder="1" applyAlignment="1" applyProtection="1">
      <alignment vertical="center"/>
      <protection locked="0"/>
    </xf>
    <xf numFmtId="4" fontId="5" fillId="0" borderId="0" xfId="0" applyNumberFormat="1" applyFont="1" applyFill="1" applyBorder="1" applyAlignment="1">
      <alignment vertical="center"/>
    </xf>
    <xf numFmtId="1" fontId="5" fillId="22" borderId="3" xfId="0" applyNumberFormat="1" applyFont="1" applyFill="1" applyBorder="1" applyAlignment="1" applyProtection="1">
      <alignment horizontal="center" vertical="center" wrapText="1"/>
    </xf>
    <xf numFmtId="2" fontId="5" fillId="22" borderId="3" xfId="0" applyNumberFormat="1" applyFont="1" applyFill="1" applyBorder="1" applyAlignment="1" applyProtection="1">
      <alignment horizontal="center" vertical="center" wrapText="1"/>
      <protection locked="0"/>
    </xf>
    <xf numFmtId="2" fontId="5" fillId="22" borderId="3" xfId="0" applyNumberFormat="1" applyFont="1" applyFill="1" applyBorder="1" applyAlignment="1" applyProtection="1">
      <alignment horizontal="center" vertical="center" wrapText="1"/>
    </xf>
    <xf numFmtId="0" fontId="5" fillId="22" borderId="3" xfId="0" quotePrefix="1" applyFont="1" applyFill="1" applyBorder="1" applyAlignment="1" applyProtection="1">
      <alignment horizontal="center" vertical="center"/>
      <protection locked="0"/>
    </xf>
    <xf numFmtId="0" fontId="10" fillId="22" borderId="3" xfId="0" applyFont="1" applyFill="1" applyBorder="1" applyAlignment="1" applyProtection="1">
      <alignment horizontal="left" vertical="center" wrapText="1"/>
      <protection locked="0"/>
    </xf>
    <xf numFmtId="0" fontId="5" fillId="22" borderId="3" xfId="0" applyFont="1" applyFill="1" applyBorder="1" applyAlignment="1" applyProtection="1">
      <alignment horizontal="center" vertical="center"/>
      <protection locked="0"/>
    </xf>
    <xf numFmtId="0" fontId="5" fillId="22" borderId="3" xfId="0" applyFont="1" applyFill="1" applyBorder="1" applyAlignment="1" applyProtection="1">
      <alignment horizontal="center" vertical="center" wrapText="1"/>
      <protection locked="0"/>
    </xf>
    <xf numFmtId="1" fontId="4" fillId="22" borderId="3" xfId="0" applyNumberFormat="1" applyFont="1" applyFill="1" applyBorder="1" applyAlignment="1" applyProtection="1">
      <alignment horizontal="center" vertical="center" wrapText="1"/>
      <protection locked="0"/>
    </xf>
    <xf numFmtId="1" fontId="5" fillId="22" borderId="3" xfId="0" applyNumberFormat="1" applyFont="1" applyFill="1" applyBorder="1" applyAlignment="1">
      <alignment horizontal="center" vertical="center" wrapText="1"/>
    </xf>
    <xf numFmtId="1" fontId="4" fillId="22" borderId="3" xfId="0" applyNumberFormat="1" applyFont="1" applyFill="1" applyBorder="1" applyAlignment="1">
      <alignment horizontal="center" vertical="center" wrapText="1"/>
    </xf>
    <xf numFmtId="0" fontId="5" fillId="22" borderId="3" xfId="0" applyFont="1" applyFill="1" applyBorder="1" applyAlignment="1">
      <alignment horizontal="center" vertical="center" wrapText="1"/>
    </xf>
    <xf numFmtId="2" fontId="5" fillId="22" borderId="3" xfId="237" applyNumberFormat="1" applyFont="1" applyFill="1" applyBorder="1" applyAlignment="1">
      <alignment horizontal="center" vertical="center" wrapText="1"/>
    </xf>
    <xf numFmtId="170" fontId="5" fillId="22" borderId="3" xfId="237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vertical="center"/>
    </xf>
    <xf numFmtId="2" fontId="0" fillId="36" borderId="19" xfId="0" applyNumberFormat="1" applyFill="1" applyBorder="1" applyAlignment="1">
      <alignment horizontal="center"/>
    </xf>
    <xf numFmtId="0" fontId="2" fillId="36" borderId="19" xfId="0" applyNumberFormat="1" applyFont="1" applyFill="1" applyBorder="1" applyAlignment="1">
      <alignment horizontal="center"/>
    </xf>
    <xf numFmtId="0" fontId="0" fillId="36" borderId="19" xfId="0" applyNumberFormat="1" applyFill="1" applyBorder="1" applyAlignment="1">
      <alignment horizontal="center"/>
    </xf>
    <xf numFmtId="0" fontId="0" fillId="36" borderId="20" xfId="0" applyFill="1" applyBorder="1"/>
    <xf numFmtId="0" fontId="10" fillId="0" borderId="3" xfId="0" applyFont="1" applyFill="1" applyBorder="1" applyAlignment="1" applyProtection="1">
      <alignment horizontal="left" vertical="center" wrapText="1"/>
    </xf>
    <xf numFmtId="1" fontId="5" fillId="0" borderId="3" xfId="0" applyNumberFormat="1" applyFont="1" applyFill="1" applyBorder="1" applyAlignment="1" applyProtection="1">
      <alignment horizontal="center" vertical="center" wrapText="1"/>
    </xf>
    <xf numFmtId="0" fontId="0" fillId="37" borderId="19" xfId="0" applyNumberFormat="1" applyFill="1" applyBorder="1" applyAlignment="1">
      <alignment horizontal="center"/>
    </xf>
    <xf numFmtId="0" fontId="75" fillId="37" borderId="20" xfId="0" applyFont="1" applyFill="1" applyBorder="1"/>
    <xf numFmtId="0" fontId="0" fillId="37" borderId="20" xfId="0" applyFill="1" applyBorder="1"/>
    <xf numFmtId="0" fontId="2" fillId="37" borderId="19" xfId="0" applyNumberFormat="1" applyFont="1" applyFill="1" applyBorder="1" applyAlignment="1">
      <alignment horizontal="center"/>
    </xf>
    <xf numFmtId="0" fontId="0" fillId="37" borderId="20" xfId="0" applyFill="1" applyBorder="1" applyAlignment="1">
      <alignment wrapText="1"/>
    </xf>
    <xf numFmtId="2" fontId="0" fillId="37" borderId="19" xfId="0" applyNumberFormat="1" applyFill="1" applyBorder="1" applyAlignment="1">
      <alignment horizontal="center"/>
    </xf>
    <xf numFmtId="0" fontId="0" fillId="38" borderId="20" xfId="0" applyFill="1" applyBorder="1" applyAlignment="1">
      <alignment wrapText="1"/>
    </xf>
    <xf numFmtId="2" fontId="0" fillId="38" borderId="19" xfId="0" applyNumberFormat="1" applyFill="1" applyBorder="1" applyAlignment="1">
      <alignment horizontal="center"/>
    </xf>
    <xf numFmtId="0" fontId="2" fillId="38" borderId="19" xfId="0" applyNumberFormat="1" applyFont="1" applyFill="1" applyBorder="1" applyAlignment="1">
      <alignment horizontal="center"/>
    </xf>
    <xf numFmtId="0" fontId="0" fillId="38" borderId="24" xfId="0" applyFill="1" applyBorder="1"/>
    <xf numFmtId="2" fontId="0" fillId="39" borderId="19" xfId="0" applyNumberFormat="1" applyFill="1" applyBorder="1"/>
    <xf numFmtId="0" fontId="0" fillId="39" borderId="19" xfId="0" applyNumberFormat="1" applyFill="1" applyBorder="1" applyAlignment="1">
      <alignment horizontal="center"/>
    </xf>
    <xf numFmtId="2" fontId="0" fillId="39" borderId="19" xfId="0" applyNumberFormat="1" applyFill="1" applyBorder="1" applyAlignment="1">
      <alignment horizontal="center"/>
    </xf>
    <xf numFmtId="0" fontId="0" fillId="39" borderId="20" xfId="0" applyFill="1" applyBorder="1"/>
    <xf numFmtId="0" fontId="0" fillId="39" borderId="24" xfId="0" applyFill="1" applyBorder="1"/>
    <xf numFmtId="1" fontId="5" fillId="4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40" borderId="0" xfId="0" applyFont="1" applyFill="1" applyAlignment="1">
      <alignment vertical="center"/>
    </xf>
    <xf numFmtId="0" fontId="5" fillId="40" borderId="3" xfId="237" applyFont="1" applyFill="1" applyBorder="1" applyAlignment="1">
      <alignment horizontal="center" vertical="center"/>
    </xf>
    <xf numFmtId="179" fontId="0" fillId="36" borderId="0" xfId="323" applyNumberFormat="1" applyFont="1" applyFill="1"/>
    <xf numFmtId="1" fontId="5" fillId="40" borderId="3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  <protection locked="0"/>
    </xf>
    <xf numFmtId="170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>
      <alignment vertical="center"/>
    </xf>
    <xf numFmtId="0" fontId="5" fillId="0" borderId="3" xfId="0" applyFont="1" applyFill="1" applyBorder="1" applyAlignment="1" applyProtection="1">
      <alignment horizontal="left" vertical="center" wrapText="1"/>
    </xf>
    <xf numFmtId="0" fontId="5" fillId="40" borderId="3" xfId="0" applyFont="1" applyFill="1" applyBorder="1" applyAlignment="1" applyProtection="1">
      <alignment horizontal="left" vertical="center" wrapText="1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71" fillId="40" borderId="3" xfId="0" applyFont="1" applyFill="1" applyBorder="1" applyAlignment="1" applyProtection="1">
      <alignment horizontal="left" vertical="center"/>
      <protection locked="0"/>
    </xf>
    <xf numFmtId="0" fontId="5" fillId="40" borderId="0" xfId="0" applyFont="1" applyFill="1" applyAlignment="1" applyProtection="1">
      <alignment vertical="center"/>
      <protection locked="0"/>
    </xf>
    <xf numFmtId="0" fontId="5" fillId="40" borderId="3" xfId="0" applyFont="1" applyFill="1" applyBorder="1" applyAlignment="1" applyProtection="1">
      <alignment horizontal="left" vertical="center" wrapText="1"/>
      <protection locked="0"/>
    </xf>
    <xf numFmtId="1" fontId="4" fillId="40" borderId="3" xfId="0" applyNumberFormat="1" applyFont="1" applyFill="1" applyBorder="1" applyAlignment="1" applyProtection="1">
      <alignment horizontal="center" vertical="center" wrapText="1"/>
      <protection locked="0"/>
    </xf>
    <xf numFmtId="49" fontId="83" fillId="40" borderId="3" xfId="0" applyNumberFormat="1" applyFont="1" applyFill="1" applyBorder="1" applyAlignment="1" applyProtection="1">
      <alignment horizontal="left" vertical="center" wrapText="1"/>
      <protection locked="0"/>
    </xf>
    <xf numFmtId="0" fontId="5" fillId="40" borderId="3" xfId="0" applyFont="1" applyFill="1" applyBorder="1" applyAlignment="1" applyProtection="1">
      <alignment horizontal="center" vertical="center"/>
      <protection locked="0"/>
    </xf>
    <xf numFmtId="49" fontId="85" fillId="40" borderId="3" xfId="0" applyNumberFormat="1" applyFont="1" applyFill="1" applyBorder="1" applyAlignment="1" applyProtection="1">
      <alignment horizontal="left" vertical="center" wrapText="1"/>
      <protection locked="0"/>
    </xf>
    <xf numFmtId="1" fontId="5" fillId="40" borderId="3" xfId="0" applyNumberFormat="1" applyFont="1" applyFill="1" applyBorder="1" applyAlignment="1">
      <alignment horizontal="center" vertical="center" wrapText="1"/>
    </xf>
    <xf numFmtId="1" fontId="4" fillId="40" borderId="3" xfId="0" applyNumberFormat="1" applyFont="1" applyFill="1" applyBorder="1" applyAlignment="1">
      <alignment horizontal="center" vertical="center" wrapText="1"/>
    </xf>
    <xf numFmtId="170" fontId="4" fillId="40" borderId="0" xfId="0" quotePrefix="1" applyNumberFormat="1" applyFont="1" applyFill="1" applyBorder="1" applyAlignment="1" applyProtection="1">
      <alignment horizontal="center"/>
      <protection locked="0"/>
    </xf>
    <xf numFmtId="170" fontId="5" fillId="40" borderId="0" xfId="0" applyNumberFormat="1" applyFont="1" applyFill="1" applyBorder="1" applyAlignment="1" applyProtection="1">
      <alignment horizontal="right" vertical="center" wrapText="1"/>
      <protection locked="0"/>
    </xf>
    <xf numFmtId="0" fontId="5" fillId="40" borderId="3" xfId="0" quotePrefix="1" applyFont="1" applyFill="1" applyBorder="1" applyAlignment="1" applyProtection="1">
      <alignment horizontal="center" vertical="center"/>
    </xf>
    <xf numFmtId="49" fontId="4" fillId="40" borderId="3" xfId="0" applyNumberFormat="1" applyFont="1" applyFill="1" applyBorder="1" applyAlignment="1" applyProtection="1">
      <alignment horizontal="left" vertical="center" wrapText="1"/>
      <protection locked="0"/>
    </xf>
    <xf numFmtId="49" fontId="5" fillId="40" borderId="3" xfId="0" applyNumberFormat="1" applyFont="1" applyFill="1" applyBorder="1" applyAlignment="1" applyProtection="1">
      <alignment horizontal="left" vertical="center" wrapText="1"/>
      <protection locked="0"/>
    </xf>
    <xf numFmtId="49" fontId="12" fillId="40" borderId="3" xfId="0" applyNumberFormat="1" applyFont="1" applyFill="1" applyBorder="1" applyAlignment="1" applyProtection="1">
      <alignment horizontal="left" vertical="center" wrapText="1"/>
      <protection locked="0"/>
    </xf>
    <xf numFmtId="0" fontId="4" fillId="40" borderId="0" xfId="0" applyFont="1" applyFill="1" applyBorder="1" applyAlignment="1" applyProtection="1">
      <alignment vertical="center"/>
      <protection locked="0"/>
    </xf>
    <xf numFmtId="0" fontId="5" fillId="40" borderId="0" xfId="0" applyFont="1" applyFill="1" applyBorder="1" applyAlignment="1" applyProtection="1">
      <alignment vertical="center"/>
      <protection locked="0"/>
    </xf>
    <xf numFmtId="1" fontId="5" fillId="41" borderId="3" xfId="0" applyNumberFormat="1" applyFont="1" applyFill="1" applyBorder="1" applyAlignment="1" applyProtection="1">
      <alignment horizontal="center" vertical="center" wrapText="1"/>
    </xf>
    <xf numFmtId="1" fontId="4" fillId="41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41" borderId="3" xfId="0" applyFont="1" applyFill="1" applyBorder="1" applyAlignment="1" applyProtection="1">
      <alignment horizontal="left" vertical="center" wrapText="1"/>
      <protection locked="0"/>
    </xf>
    <xf numFmtId="0" fontId="4" fillId="41" borderId="3" xfId="0" quotePrefix="1" applyFont="1" applyFill="1" applyBorder="1" applyAlignment="1" applyProtection="1">
      <alignment horizontal="center" vertical="center"/>
      <protection locked="0"/>
    </xf>
    <xf numFmtId="1" fontId="5" fillId="41" borderId="3" xfId="0" applyNumberFormat="1" applyFont="1" applyFill="1" applyBorder="1" applyAlignment="1">
      <alignment horizontal="center" vertical="center" wrapText="1"/>
    </xf>
    <xf numFmtId="1" fontId="4" fillId="41" borderId="3" xfId="0" applyNumberFormat="1" applyFont="1" applyFill="1" applyBorder="1" applyAlignment="1" applyProtection="1">
      <alignment horizontal="center" vertical="center" wrapText="1"/>
    </xf>
    <xf numFmtId="1" fontId="5" fillId="41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41" borderId="3" xfId="0" applyFont="1" applyFill="1" applyBorder="1" applyAlignment="1" applyProtection="1">
      <alignment horizontal="left" vertical="center" wrapText="1"/>
    </xf>
    <xf numFmtId="0" fontId="4" fillId="41" borderId="3" xfId="0" quotePrefix="1" applyFont="1" applyFill="1" applyBorder="1" applyAlignment="1" applyProtection="1">
      <alignment horizontal="center" vertical="center" wrapText="1"/>
    </xf>
    <xf numFmtId="0" fontId="4" fillId="41" borderId="3" xfId="0" applyFont="1" applyFill="1" applyBorder="1" applyAlignment="1">
      <alignment horizontal="left" vertical="center" wrapText="1"/>
    </xf>
    <xf numFmtId="1" fontId="4" fillId="41" borderId="3" xfId="0" applyNumberFormat="1" applyFont="1" applyFill="1" applyBorder="1" applyAlignment="1">
      <alignment horizontal="center" vertical="center" wrapText="1"/>
    </xf>
    <xf numFmtId="0" fontId="4" fillId="40" borderId="0" xfId="245" applyFont="1" applyFill="1" applyBorder="1" applyAlignment="1">
      <alignment horizontal="center" vertical="center" wrapText="1"/>
    </xf>
    <xf numFmtId="0" fontId="5" fillId="40" borderId="3" xfId="245" applyFont="1" applyFill="1" applyBorder="1" applyAlignment="1">
      <alignment horizontal="center" vertical="center" wrapText="1"/>
    </xf>
    <xf numFmtId="170" fontId="5" fillId="40" borderId="0" xfId="245" applyNumberFormat="1" applyFont="1" applyFill="1" applyBorder="1" applyAlignment="1" applyProtection="1">
      <alignment horizontal="right" vertical="center" wrapText="1"/>
      <protection locked="0"/>
    </xf>
    <xf numFmtId="0" fontId="5" fillId="40" borderId="0" xfId="245" applyFont="1" applyFill="1" applyBorder="1" applyAlignment="1">
      <alignment horizontal="center" vertical="center"/>
    </xf>
    <xf numFmtId="0" fontId="4" fillId="41" borderId="3" xfId="245" applyFont="1" applyFill="1" applyBorder="1" applyAlignment="1">
      <alignment horizontal="left" vertical="center" wrapText="1"/>
    </xf>
    <xf numFmtId="0" fontId="5" fillId="41" borderId="3" xfId="0" applyFont="1" applyFill="1" applyBorder="1" applyAlignment="1">
      <alignment horizontal="center" vertical="center" wrapText="1"/>
    </xf>
    <xf numFmtId="0" fontId="5" fillId="41" borderId="0" xfId="245" applyFont="1" applyFill="1" applyBorder="1" applyAlignment="1">
      <alignment vertical="center"/>
    </xf>
    <xf numFmtId="0" fontId="4" fillId="41" borderId="3" xfId="0" applyFont="1" applyFill="1" applyBorder="1" applyAlignment="1">
      <alignment horizontal="center" vertical="center" wrapText="1"/>
    </xf>
    <xf numFmtId="0" fontId="4" fillId="41" borderId="3" xfId="245" applyFont="1" applyFill="1" applyBorder="1" applyAlignment="1" applyProtection="1">
      <alignment horizontal="left" vertical="center" wrapText="1"/>
      <protection locked="0"/>
    </xf>
    <xf numFmtId="0" fontId="4" fillId="41" borderId="3" xfId="245" applyFont="1" applyFill="1" applyBorder="1" applyAlignment="1" applyProtection="1">
      <alignment horizontal="center" vertical="center" wrapText="1"/>
      <protection locked="0"/>
    </xf>
    <xf numFmtId="0" fontId="5" fillId="41" borderId="3" xfId="245" applyFont="1" applyFill="1" applyBorder="1" applyAlignment="1" applyProtection="1">
      <alignment horizontal="left" vertical="center" wrapText="1"/>
      <protection locked="0"/>
    </xf>
    <xf numFmtId="0" fontId="5" fillId="41" borderId="3" xfId="245" applyFont="1" applyFill="1" applyBorder="1" applyAlignment="1" applyProtection="1">
      <alignment horizontal="center" vertical="center" wrapText="1"/>
      <protection locked="0"/>
    </xf>
    <xf numFmtId="0" fontId="5" fillId="40" borderId="0" xfId="0" applyFont="1" applyFill="1" applyBorder="1" applyAlignment="1">
      <alignment horizontal="right" vertical="center"/>
    </xf>
    <xf numFmtId="0" fontId="5" fillId="40" borderId="3" xfId="0" applyFont="1" applyFill="1" applyBorder="1" applyAlignment="1">
      <alignment horizontal="center" vertical="center" wrapText="1" shrinkToFit="1"/>
    </xf>
    <xf numFmtId="169" fontId="4" fillId="40" borderId="0" xfId="0" applyNumberFormat="1" applyFont="1" applyFill="1" applyBorder="1" applyAlignment="1" applyProtection="1">
      <alignment horizontal="center" vertical="center" wrapText="1"/>
      <protection locked="0"/>
    </xf>
    <xf numFmtId="169" fontId="4" fillId="40" borderId="0" xfId="0" applyNumberFormat="1" applyFont="1" applyFill="1" applyBorder="1" applyAlignment="1" applyProtection="1">
      <alignment horizontal="right" vertical="center" wrapText="1"/>
      <protection locked="0"/>
    </xf>
    <xf numFmtId="0" fontId="4" fillId="41" borderId="3" xfId="0" applyFont="1" applyFill="1" applyBorder="1" applyAlignment="1" applyProtection="1">
      <alignment horizontal="center" vertical="center"/>
      <protection locked="0"/>
    </xf>
    <xf numFmtId="0" fontId="4" fillId="41" borderId="3" xfId="0" applyFont="1" applyFill="1" applyBorder="1" applyAlignment="1">
      <alignment horizontal="center" vertical="center"/>
    </xf>
    <xf numFmtId="0" fontId="5" fillId="41" borderId="3" xfId="0" applyFont="1" applyFill="1" applyBorder="1" applyAlignment="1">
      <alignment horizontal="center" vertical="center"/>
    </xf>
    <xf numFmtId="0" fontId="15" fillId="0" borderId="0" xfId="245" applyFont="1" applyFill="1" applyProtection="1">
      <protection locked="0"/>
    </xf>
    <xf numFmtId="0" fontId="4" fillId="0" borderId="0" xfId="0" applyFont="1" applyFill="1" applyAlignment="1" applyProtection="1">
      <alignment vertical="center"/>
      <protection locked="0"/>
    </xf>
    <xf numFmtId="1" fontId="86" fillId="40" borderId="3" xfId="0" applyNumberFormat="1" applyFont="1" applyFill="1" applyBorder="1" applyAlignment="1" applyProtection="1">
      <alignment horizontal="left" vertical="center" wrapText="1"/>
      <protection locked="0"/>
    </xf>
    <xf numFmtId="169" fontId="5" fillId="0" borderId="0" xfId="0" applyNumberFormat="1" applyFont="1" applyFill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4" fillId="40" borderId="0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 shrinkToFit="1"/>
      <protection locked="0"/>
    </xf>
    <xf numFmtId="0" fontId="5" fillId="40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quotePrefix="1" applyFont="1" applyFill="1" applyBorder="1" applyAlignment="1" applyProtection="1">
      <alignment horizontal="center" vertical="center" wrapText="1"/>
      <protection locked="0"/>
    </xf>
    <xf numFmtId="170" fontId="5" fillId="40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40" borderId="0" xfId="0" applyFont="1" applyFill="1" applyBorder="1" applyAlignment="1" applyProtection="1">
      <alignment horizontal="center" vertical="center"/>
      <protection locked="0"/>
    </xf>
    <xf numFmtId="0" fontId="10" fillId="41" borderId="3" xfId="0" applyFont="1" applyFill="1" applyBorder="1" applyAlignment="1" applyProtection="1">
      <alignment horizontal="left" vertical="center" wrapText="1"/>
    </xf>
    <xf numFmtId="0" fontId="5" fillId="41" borderId="3" xfId="0" quotePrefix="1" applyFont="1" applyFill="1" applyBorder="1" applyAlignment="1" applyProtection="1">
      <alignment horizontal="center" vertical="center"/>
    </xf>
    <xf numFmtId="0" fontId="4" fillId="41" borderId="3" xfId="0" quotePrefix="1" applyFont="1" applyFill="1" applyBorder="1" applyAlignment="1" applyProtection="1">
      <alignment horizontal="center" vertical="center"/>
    </xf>
    <xf numFmtId="0" fontId="5" fillId="41" borderId="3" xfId="0" applyFont="1" applyFill="1" applyBorder="1" applyAlignment="1" applyProtection="1">
      <alignment horizontal="left" vertical="center" wrapText="1"/>
    </xf>
    <xf numFmtId="0" fontId="5" fillId="41" borderId="3" xfId="0" applyFont="1" applyFill="1" applyBorder="1" applyAlignment="1" applyProtection="1">
      <alignment horizontal="left" vertical="center" wrapText="1" shrinkToFit="1"/>
    </xf>
    <xf numFmtId="0" fontId="81" fillId="41" borderId="3" xfId="0" applyFont="1" applyFill="1" applyBorder="1" applyAlignment="1" applyProtection="1">
      <alignment horizontal="left" vertical="center" wrapText="1"/>
    </xf>
    <xf numFmtId="49" fontId="5" fillId="40" borderId="3" xfId="0" applyNumberFormat="1" applyFont="1" applyFill="1" applyBorder="1" applyAlignment="1" applyProtection="1">
      <alignment horizontal="left" vertical="center" wrapText="1"/>
    </xf>
    <xf numFmtId="49" fontId="85" fillId="40" borderId="3" xfId="0" applyNumberFormat="1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5" fillId="40" borderId="3" xfId="0" applyFont="1" applyFill="1" applyBorder="1" applyAlignment="1">
      <alignment horizontal="center" vertical="center" wrapText="1"/>
    </xf>
    <xf numFmtId="0" fontId="5" fillId="40" borderId="3" xfId="0" applyFont="1" applyFill="1" applyBorder="1" applyAlignment="1">
      <alignment horizontal="center" vertical="center"/>
    </xf>
    <xf numFmtId="0" fontId="5" fillId="4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right" vertical="center"/>
      <protection locked="0"/>
    </xf>
    <xf numFmtId="169" fontId="4" fillId="0" borderId="0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Alignment="1" applyProtection="1"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vertical="center" wrapText="1" shrinkToFit="1"/>
      <protection locked="0"/>
    </xf>
    <xf numFmtId="0" fontId="5" fillId="0" borderId="0" xfId="0" applyFont="1" applyFill="1" applyBorder="1" applyAlignment="1" applyProtection="1">
      <alignment vertical="center" wrapText="1" shrinkToFit="1"/>
      <protection locked="0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13" xfId="0" applyFont="1" applyFill="1" applyBorder="1" applyAlignment="1" applyProtection="1">
      <alignment horizontal="center" vertical="center"/>
      <protection locked="0"/>
    </xf>
    <xf numFmtId="0" fontId="75" fillId="0" borderId="3" xfId="0" applyFont="1" applyBorder="1" applyAlignment="1">
      <alignment horizontal="center" vertical="center" wrapText="1"/>
    </xf>
    <xf numFmtId="0" fontId="75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4" fillId="0" borderId="14" xfId="0" applyFont="1" applyFill="1" applyBorder="1" applyAlignment="1" applyProtection="1">
      <alignment horizontal="center"/>
    </xf>
    <xf numFmtId="0" fontId="0" fillId="0" borderId="15" xfId="0" applyBorder="1"/>
    <xf numFmtId="0" fontId="0" fillId="0" borderId="16" xfId="0" applyBorder="1"/>
    <xf numFmtId="0" fontId="4" fillId="0" borderId="14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14" xfId="237" applyNumberFormat="1" applyFont="1" applyFill="1" applyBorder="1" applyAlignment="1" applyProtection="1">
      <alignment horizontal="center" vertical="center" wrapText="1"/>
    </xf>
    <xf numFmtId="0" fontId="4" fillId="0" borderId="15" xfId="237" applyNumberFormat="1" applyFont="1" applyFill="1" applyBorder="1" applyAlignment="1" applyProtection="1">
      <alignment horizontal="center" vertical="center" wrapText="1"/>
    </xf>
    <xf numFmtId="0" fontId="4" fillId="0" borderId="16" xfId="237" applyNumberFormat="1" applyFont="1" applyFill="1" applyBorder="1" applyAlignment="1" applyProtection="1">
      <alignment horizontal="center" vertical="center" wrapText="1"/>
    </xf>
    <xf numFmtId="170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170" fontId="5" fillId="0" borderId="0" xfId="0" quotePrefix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 applyProtection="1">
      <alignment horizontal="center" vertical="center" wrapText="1"/>
    </xf>
    <xf numFmtId="0" fontId="4" fillId="0" borderId="16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25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 shrinkToFit="1"/>
    </xf>
    <xf numFmtId="0" fontId="5" fillId="0" borderId="25" xfId="0" applyFont="1" applyFill="1" applyBorder="1" applyAlignment="1" applyProtection="1">
      <alignment horizontal="center" vertical="center" wrapText="1" shrinkToFit="1"/>
    </xf>
    <xf numFmtId="0" fontId="71" fillId="0" borderId="15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center" vertical="center"/>
    </xf>
    <xf numFmtId="0" fontId="74" fillId="0" borderId="15" xfId="0" applyFont="1" applyBorder="1" applyAlignment="1" applyProtection="1">
      <alignment horizontal="left" vertical="center" wrapText="1"/>
      <protection locked="0"/>
    </xf>
    <xf numFmtId="0" fontId="74" fillId="0" borderId="16" xfId="0" applyFont="1" applyBorder="1" applyAlignment="1" applyProtection="1">
      <alignment horizontal="left" vertical="center" wrapText="1"/>
      <protection locked="0"/>
    </xf>
    <xf numFmtId="0" fontId="71" fillId="0" borderId="14" xfId="0" applyFont="1" applyFill="1" applyBorder="1" applyAlignment="1" applyProtection="1">
      <alignment horizontal="left" vertical="center" wrapText="1"/>
      <protection locked="0"/>
    </xf>
    <xf numFmtId="0" fontId="78" fillId="0" borderId="0" xfId="0" applyFont="1" applyAlignment="1" applyProtection="1">
      <alignment horizontal="left" vertical="top" wrapText="1"/>
      <protection locked="0"/>
    </xf>
    <xf numFmtId="0" fontId="71" fillId="0" borderId="0" xfId="0" applyFont="1" applyFill="1" applyBorder="1" applyAlignment="1" applyProtection="1">
      <alignment horizontal="left" vertical="center" wrapText="1"/>
      <protection locked="0"/>
    </xf>
    <xf numFmtId="0" fontId="70" fillId="0" borderId="0" xfId="0" applyFont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72" fillId="0" borderId="0" xfId="0" applyFont="1" applyAlignment="1" applyProtection="1">
      <alignment horizontal="left" vertical="top" wrapText="1"/>
      <protection locked="0"/>
    </xf>
    <xf numFmtId="0" fontId="71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40" borderId="3" xfId="0" applyFont="1" applyFill="1" applyBorder="1" applyAlignment="1" applyProtection="1">
      <alignment horizontal="center" vertical="center" wrapText="1"/>
      <protection locked="0"/>
    </xf>
    <xf numFmtId="0" fontId="4" fillId="22" borderId="14" xfId="0" applyFont="1" applyFill="1" applyBorder="1" applyAlignment="1" applyProtection="1">
      <alignment horizontal="center" vertical="center" wrapText="1"/>
      <protection locked="0"/>
    </xf>
    <xf numFmtId="0" fontId="4" fillId="22" borderId="15" xfId="0" applyFont="1" applyFill="1" applyBorder="1" applyAlignment="1" applyProtection="1">
      <alignment horizontal="center" vertical="center" wrapText="1"/>
      <protection locked="0"/>
    </xf>
    <xf numFmtId="0" fontId="4" fillId="22" borderId="16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4" fillId="0" borderId="14" xfId="0" applyFont="1" applyFill="1" applyBorder="1" applyAlignment="1" applyProtection="1">
      <alignment horizontal="center" vertical="center" wrapText="1"/>
      <protection locked="0"/>
    </xf>
    <xf numFmtId="0" fontId="4" fillId="0" borderId="15" xfId="0" applyFont="1" applyFill="1" applyBorder="1" applyAlignment="1" applyProtection="1">
      <alignment horizontal="center" vertical="center" wrapText="1"/>
      <protection locked="0"/>
    </xf>
    <xf numFmtId="0" fontId="4" fillId="0" borderId="16" xfId="0" applyFont="1" applyFill="1" applyBorder="1" applyAlignment="1" applyProtection="1">
      <alignment horizontal="center" vertical="center" wrapText="1"/>
      <protection locked="0"/>
    </xf>
    <xf numFmtId="170" fontId="5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3" xfId="0" applyFont="1" applyFill="1" applyBorder="1" applyAlignment="1" applyProtection="1">
      <alignment horizontal="center" vertical="center" wrapText="1" shrinkToFit="1"/>
      <protection locked="0"/>
    </xf>
    <xf numFmtId="0" fontId="12" fillId="40" borderId="3" xfId="0" applyFont="1" applyFill="1" applyBorder="1" applyAlignment="1" applyProtection="1">
      <alignment horizontal="center" vertical="center" wrapText="1"/>
      <protection locked="0"/>
    </xf>
    <xf numFmtId="0" fontId="4" fillId="0" borderId="14" xfId="245" applyFont="1" applyFill="1" applyBorder="1" applyAlignment="1">
      <alignment horizontal="center" vertical="center" wrapText="1"/>
    </xf>
    <xf numFmtId="0" fontId="4" fillId="0" borderId="15" xfId="245" applyFont="1" applyFill="1" applyBorder="1" applyAlignment="1">
      <alignment horizontal="center" vertical="center" wrapText="1"/>
    </xf>
    <xf numFmtId="0" fontId="4" fillId="0" borderId="16" xfId="245" applyFont="1" applyFill="1" applyBorder="1" applyAlignment="1">
      <alignment horizontal="center" vertical="center" wrapText="1"/>
    </xf>
    <xf numFmtId="170" fontId="5" fillId="0" borderId="0" xfId="0" quotePrefix="1" applyNumberFormat="1" applyFont="1" applyFill="1" applyBorder="1" applyAlignment="1" applyProtection="1">
      <alignment horizontal="left" vertical="center" wrapText="1"/>
      <protection locked="0"/>
    </xf>
    <xf numFmtId="0" fontId="4" fillId="0" borderId="0" xfId="245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245" applyFont="1" applyFill="1" applyBorder="1" applyAlignment="1">
      <alignment horizontal="center" vertical="center" wrapText="1"/>
    </xf>
    <xf numFmtId="0" fontId="5" fillId="40" borderId="3" xfId="245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8" xfId="245" applyFont="1" applyFill="1" applyBorder="1" applyAlignment="1">
      <alignment horizontal="center" vertical="center" wrapText="1"/>
    </xf>
    <xf numFmtId="0" fontId="5" fillId="0" borderId="25" xfId="245" applyFont="1" applyFill="1" applyBorder="1" applyAlignment="1">
      <alignment horizontal="center" vertical="center" wrapText="1"/>
    </xf>
    <xf numFmtId="0" fontId="5" fillId="40" borderId="3" xfId="0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vertical="center"/>
    </xf>
    <xf numFmtId="0" fontId="4" fillId="0" borderId="0" xfId="237" applyNumberFormat="1" applyFont="1" applyFill="1" applyBorder="1" applyAlignment="1">
      <alignment horizontal="center" vertical="center" wrapText="1"/>
    </xf>
    <xf numFmtId="0" fontId="5" fillId="0" borderId="18" xfId="237" applyNumberFormat="1" applyFont="1" applyFill="1" applyBorder="1" applyAlignment="1">
      <alignment horizontal="center" vertical="center" wrapText="1"/>
    </xf>
    <xf numFmtId="0" fontId="5" fillId="0" borderId="25" xfId="237" applyNumberFormat="1" applyFont="1" applyFill="1" applyBorder="1" applyAlignment="1">
      <alignment horizontal="center" vertical="center" wrapText="1"/>
    </xf>
    <xf numFmtId="0" fontId="5" fillId="22" borderId="18" xfId="237" applyNumberFormat="1" applyFont="1" applyFill="1" applyBorder="1" applyAlignment="1">
      <alignment horizontal="center" vertical="center" wrapText="1"/>
    </xf>
    <xf numFmtId="0" fontId="5" fillId="22" borderId="25" xfId="237" applyNumberFormat="1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 shrinkToFit="1"/>
    </xf>
    <xf numFmtId="0" fontId="5" fillId="0" borderId="25" xfId="0" applyFont="1" applyFill="1" applyBorder="1" applyAlignment="1">
      <alignment horizontal="center" vertical="center" wrapText="1" shrinkToFit="1"/>
    </xf>
    <xf numFmtId="178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178" fontId="5" fillId="0" borderId="14" xfId="0" applyNumberFormat="1" applyFont="1" applyFill="1" applyBorder="1" applyAlignment="1" applyProtection="1">
      <alignment horizontal="center" vertical="center" wrapText="1"/>
      <protection locked="0"/>
    </xf>
    <xf numFmtId="178" fontId="5" fillId="0" borderId="15" xfId="0" applyNumberFormat="1" applyFont="1" applyFill="1" applyBorder="1" applyAlignment="1" applyProtection="1">
      <alignment horizontal="center" vertical="center" wrapText="1"/>
      <protection locked="0"/>
    </xf>
    <xf numFmtId="178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178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4" xfId="0" applyFont="1" applyFill="1" applyBorder="1" applyAlignment="1" applyProtection="1">
      <alignment horizontal="left" vertical="center" wrapText="1"/>
      <protection locked="0"/>
    </xf>
    <xf numFmtId="0" fontId="5" fillId="0" borderId="15" xfId="0" applyFont="1" applyFill="1" applyBorder="1" applyAlignment="1" applyProtection="1">
      <alignment horizontal="left" vertical="center" wrapText="1"/>
      <protection locked="0"/>
    </xf>
    <xf numFmtId="0" fontId="5" fillId="0" borderId="16" xfId="0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5" fillId="22" borderId="14" xfId="0" applyNumberFormat="1" applyFont="1" applyFill="1" applyBorder="1" applyAlignment="1">
      <alignment horizontal="center" vertical="center" wrapText="1"/>
    </xf>
    <xf numFmtId="0" fontId="5" fillId="22" borderId="16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4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15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16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3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40" borderId="14" xfId="0" applyFont="1" applyFill="1" applyBorder="1" applyAlignment="1" applyProtection="1">
      <alignment horizontal="center" vertical="center" wrapText="1"/>
      <protection locked="0"/>
    </xf>
    <xf numFmtId="0" fontId="5" fillId="40" borderId="15" xfId="0" applyFont="1" applyFill="1" applyBorder="1" applyAlignment="1" applyProtection="1">
      <alignment horizontal="center" vertical="center" wrapText="1"/>
      <protection locked="0"/>
    </xf>
    <xf numFmtId="0" fontId="5" fillId="40" borderId="16" xfId="0" applyFont="1" applyFill="1" applyBorder="1" applyAlignment="1" applyProtection="1">
      <alignment horizontal="center" vertical="center" wrapText="1"/>
      <protection locked="0"/>
    </xf>
    <xf numFmtId="9" fontId="5" fillId="22" borderId="14" xfId="0" applyNumberFormat="1" applyFont="1" applyFill="1" applyBorder="1" applyAlignment="1" applyProtection="1">
      <alignment horizontal="center" vertical="center" wrapText="1"/>
    </xf>
    <xf numFmtId="9" fontId="5" fillId="22" borderId="16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 shrinkToFit="1"/>
    </xf>
    <xf numFmtId="178" fontId="5" fillId="40" borderId="14" xfId="0" applyNumberFormat="1" applyFont="1" applyFill="1" applyBorder="1" applyAlignment="1" applyProtection="1">
      <alignment horizontal="center" vertical="center" wrapText="1"/>
      <protection locked="0"/>
    </xf>
    <xf numFmtId="178" fontId="5" fillId="40" borderId="1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>
      <alignment horizontal="left" vertical="center" wrapText="1"/>
    </xf>
    <xf numFmtId="0" fontId="5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4" fillId="40" borderId="14" xfId="0" applyFont="1" applyFill="1" applyBorder="1" applyAlignment="1" applyProtection="1">
      <alignment horizontal="center" vertical="center" wrapText="1"/>
    </xf>
    <xf numFmtId="0" fontId="4" fillId="40" borderId="15" xfId="0" applyFont="1" applyFill="1" applyBorder="1" applyAlignment="1" applyProtection="1">
      <alignment horizontal="center" vertical="center" wrapText="1"/>
    </xf>
    <xf numFmtId="0" fontId="4" fillId="40" borderId="16" xfId="0" applyFont="1" applyFill="1" applyBorder="1" applyAlignment="1" applyProtection="1">
      <alignment horizontal="center" vertical="center" wrapText="1"/>
    </xf>
    <xf numFmtId="0" fontId="5" fillId="40" borderId="3" xfId="0" applyFont="1" applyFill="1" applyBorder="1" applyAlignment="1" applyProtection="1">
      <alignment horizontal="left" vertical="center" wrapText="1"/>
    </xf>
    <xf numFmtId="0" fontId="5" fillId="0" borderId="3" xfId="0" applyFont="1" applyFill="1" applyBorder="1" applyAlignment="1" applyProtection="1">
      <alignment horizontal="left" vertical="center" wrapText="1"/>
    </xf>
    <xf numFmtId="178" fontId="5" fillId="22" borderId="14" xfId="0" applyNumberFormat="1" applyFont="1" applyFill="1" applyBorder="1" applyAlignment="1" applyProtection="1">
      <alignment horizontal="center" vertical="center" wrapText="1"/>
      <protection locked="0"/>
    </xf>
    <xf numFmtId="178" fontId="5" fillId="22" borderId="16" xfId="0" applyNumberFormat="1" applyFont="1" applyFill="1" applyBorder="1" applyAlignment="1" applyProtection="1">
      <alignment horizontal="center" vertical="center" wrapText="1"/>
      <protection locked="0"/>
    </xf>
    <xf numFmtId="3" fontId="5" fillId="40" borderId="14" xfId="0" applyNumberFormat="1" applyFont="1" applyFill="1" applyBorder="1" applyAlignment="1" applyProtection="1">
      <alignment horizontal="right" vertical="center" wrapText="1"/>
      <protection locked="0"/>
    </xf>
    <xf numFmtId="3" fontId="5" fillId="40" borderId="16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>
      <alignment vertical="center" wrapText="1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5" fillId="40" borderId="0" xfId="0" applyFont="1" applyFill="1" applyAlignment="1">
      <alignment vertical="center" wrapText="1"/>
    </xf>
    <xf numFmtId="0" fontId="5" fillId="22" borderId="3" xfId="0" applyFont="1" applyFill="1" applyBorder="1" applyAlignment="1" applyProtection="1">
      <alignment horizontal="center" vertical="center" wrapText="1"/>
    </xf>
    <xf numFmtId="10" fontId="5" fillId="22" borderId="14" xfId="0" applyNumberFormat="1" applyFont="1" applyFill="1" applyBorder="1" applyAlignment="1" applyProtection="1">
      <alignment horizontal="center" vertical="center" wrapText="1"/>
    </xf>
    <xf numFmtId="10" fontId="5" fillId="22" borderId="16" xfId="0" applyNumberFormat="1" applyFont="1" applyFill="1" applyBorder="1" applyAlignment="1" applyProtection="1">
      <alignment horizontal="center" vertical="center" wrapText="1"/>
    </xf>
    <xf numFmtId="0" fontId="10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6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49" fontId="10" fillId="0" borderId="14" xfId="0" applyNumberFormat="1" applyFont="1" applyFill="1" applyBorder="1" applyAlignment="1" applyProtection="1">
      <alignment horizontal="left" vertical="center" wrapText="1"/>
      <protection locked="0"/>
    </xf>
    <xf numFmtId="49" fontId="10" fillId="0" borderId="15" xfId="0" applyNumberFormat="1" applyFont="1" applyFill="1" applyBorder="1" applyAlignment="1" applyProtection="1">
      <alignment horizontal="left" vertical="center" wrapText="1"/>
      <protection locked="0"/>
    </xf>
    <xf numFmtId="49" fontId="10" fillId="0" borderId="16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0" fillId="0" borderId="14" xfId="0" applyFont="1" applyFill="1" applyBorder="1" applyAlignment="1" applyProtection="1">
      <alignment horizontal="center" vertical="center" wrapText="1"/>
      <protection locked="0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0" fillId="0" borderId="16" xfId="0" applyFont="1" applyFill="1" applyBorder="1" applyAlignment="1" applyProtection="1">
      <alignment horizontal="center" vertical="center" wrapText="1"/>
      <protection locked="0"/>
    </xf>
    <xf numFmtId="0" fontId="10" fillId="29" borderId="14" xfId="0" applyNumberFormat="1" applyFont="1" applyFill="1" applyBorder="1" applyAlignment="1">
      <alignment horizontal="center" vertical="center" wrapText="1"/>
    </xf>
    <xf numFmtId="0" fontId="10" fillId="29" borderId="15" xfId="0" applyNumberFormat="1" applyFont="1" applyFill="1" applyBorder="1" applyAlignment="1">
      <alignment horizontal="center" vertical="center" wrapText="1"/>
    </xf>
    <xf numFmtId="0" fontId="10" fillId="29" borderId="16" xfId="0" applyNumberFormat="1" applyFont="1" applyFill="1" applyBorder="1" applyAlignment="1">
      <alignment horizontal="center" vertical="center" wrapText="1"/>
    </xf>
    <xf numFmtId="0" fontId="5" fillId="29" borderId="14" xfId="0" applyNumberFormat="1" applyFont="1" applyFill="1" applyBorder="1" applyAlignment="1">
      <alignment horizontal="center" vertical="center" wrapText="1"/>
    </xf>
    <xf numFmtId="0" fontId="5" fillId="29" borderId="15" xfId="0" applyNumberFormat="1" applyFont="1" applyFill="1" applyBorder="1" applyAlignment="1">
      <alignment horizontal="center" vertical="center" wrapText="1"/>
    </xf>
    <xf numFmtId="0" fontId="5" fillId="29" borderId="16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29" borderId="3" xfId="0" applyNumberFormat="1" applyFont="1" applyFill="1" applyBorder="1" applyAlignment="1">
      <alignment horizontal="center" vertical="center" wrapText="1"/>
    </xf>
    <xf numFmtId="177" fontId="10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3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49" fontId="10" fillId="0" borderId="3" xfId="0" applyNumberFormat="1" applyFont="1" applyFill="1" applyBorder="1" applyAlignment="1">
      <alignment horizontal="left" vertical="center" wrapText="1"/>
    </xf>
    <xf numFmtId="0" fontId="5" fillId="29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5" fillId="0" borderId="14" xfId="0" applyFont="1" applyFill="1" applyBorder="1" applyAlignment="1">
      <alignment horizontal="center" vertical="center" wrapText="1" shrinkToFit="1"/>
    </xf>
    <xf numFmtId="0" fontId="5" fillId="0" borderId="15" xfId="0" applyFont="1" applyFill="1" applyBorder="1" applyAlignment="1">
      <alignment horizontal="center" vertical="center" wrapText="1" shrinkToFit="1"/>
    </xf>
    <xf numFmtId="0" fontId="5" fillId="0" borderId="16" xfId="0" applyFont="1" applyFill="1" applyBorder="1" applyAlignment="1">
      <alignment horizontal="center" vertical="center" wrapText="1" shrinkToFit="1"/>
    </xf>
    <xf numFmtId="3" fontId="5" fillId="0" borderId="14" xfId="0" applyNumberFormat="1" applyFont="1" applyFill="1" applyBorder="1" applyAlignment="1">
      <alignment horizontal="left" vertical="center" wrapText="1"/>
    </xf>
    <xf numFmtId="3" fontId="5" fillId="0" borderId="15" xfId="0" applyNumberFormat="1" applyFont="1" applyFill="1" applyBorder="1" applyAlignment="1">
      <alignment horizontal="left" vertical="center" wrapText="1"/>
    </xf>
    <xf numFmtId="3" fontId="5" fillId="0" borderId="16" xfId="0" applyNumberFormat="1" applyFont="1" applyFill="1" applyBorder="1" applyAlignment="1">
      <alignment horizontal="left" vertical="center" wrapText="1"/>
    </xf>
    <xf numFmtId="3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center"/>
      <protection locked="0"/>
    </xf>
  </cellXfs>
  <cellStyles count="354">
    <cellStyle name="_Fakt_2" xfId="1"/>
    <cellStyle name="_rozhufrovka 2009" xfId="2"/>
    <cellStyle name="_АТиСТ 5а МТР липень 2008" xfId="3"/>
    <cellStyle name="_ПРГК сводний_" xfId="4"/>
    <cellStyle name="_УТГ" xfId="5"/>
    <cellStyle name="_Феодосия 5а МТР липень 2008" xfId="6"/>
    <cellStyle name="_ХТГ довідка." xfId="7"/>
    <cellStyle name="_Шебелинка 5а МТР липень 2008" xfId="8"/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Акцент1 2" xfId="15"/>
    <cellStyle name="20% - Акцент1 3" xfId="16"/>
    <cellStyle name="20% - Акцент2 2" xfId="17"/>
    <cellStyle name="20% - Акцент2 3" xfId="18"/>
    <cellStyle name="20% - Акцент3 2" xfId="19"/>
    <cellStyle name="20% - Акцент3 3" xfId="20"/>
    <cellStyle name="20% - Акцент4 2" xfId="21"/>
    <cellStyle name="20% - Акцент4 3" xfId="22"/>
    <cellStyle name="20% - Акцент5 2" xfId="23"/>
    <cellStyle name="20% - Акцент5 3" xfId="24"/>
    <cellStyle name="20% - Акцент6 2" xfId="25"/>
    <cellStyle name="20% - Акцент6 3" xfId="26"/>
    <cellStyle name="40% - Accent1" xfId="27"/>
    <cellStyle name="40% - Accent2" xfId="28"/>
    <cellStyle name="40% - Accent3" xfId="29"/>
    <cellStyle name="40% - Accent4" xfId="30"/>
    <cellStyle name="40% - Accent5" xfId="31"/>
    <cellStyle name="40% - Accent6" xfId="32"/>
    <cellStyle name="40% - Акцент1 2" xfId="33"/>
    <cellStyle name="40% - Акцент1 3" xfId="34"/>
    <cellStyle name="40% - Акцент2 2" xfId="35"/>
    <cellStyle name="40% - Акцент2 3" xfId="36"/>
    <cellStyle name="40% - Акцент3 2" xfId="37"/>
    <cellStyle name="40% - Акцент3 3" xfId="38"/>
    <cellStyle name="40% - Акцент4 2" xfId="39"/>
    <cellStyle name="40% - Акцент4 3" xfId="40"/>
    <cellStyle name="40% - Акцент5 2" xfId="41"/>
    <cellStyle name="40% - Акцент5 3" xfId="42"/>
    <cellStyle name="40% - Акцент6 2" xfId="43"/>
    <cellStyle name="40% - Акцент6 3" xfId="44"/>
    <cellStyle name="60% - Accent1" xfId="45"/>
    <cellStyle name="60% - Accent2" xfId="46"/>
    <cellStyle name="60% - Accent3" xfId="47"/>
    <cellStyle name="60% - Accent4" xfId="48"/>
    <cellStyle name="60% - Accent5" xfId="49"/>
    <cellStyle name="60% - Accent6" xfId="50"/>
    <cellStyle name="60% - Акцент1 2" xfId="51"/>
    <cellStyle name="60% - Акцент1 3" xfId="52"/>
    <cellStyle name="60% - Акцент2 2" xfId="53"/>
    <cellStyle name="60% - Акцент2 3" xfId="54"/>
    <cellStyle name="60% - Акцент3 2" xfId="55"/>
    <cellStyle name="60% - Акцент3 3" xfId="56"/>
    <cellStyle name="60% - Акцент4 2" xfId="57"/>
    <cellStyle name="60% - Акцент4 3" xfId="58"/>
    <cellStyle name="60% - Акцент5 2" xfId="59"/>
    <cellStyle name="60% - Акцент5 3" xfId="60"/>
    <cellStyle name="60% - Акцент6 2" xfId="61"/>
    <cellStyle name="60% - Акцент6 3" xfId="62"/>
    <cellStyle name="Accent1" xfId="63"/>
    <cellStyle name="Accent2" xfId="64"/>
    <cellStyle name="Accent3" xfId="65"/>
    <cellStyle name="Accent4" xfId="66"/>
    <cellStyle name="Accent5" xfId="67"/>
    <cellStyle name="Accent6" xfId="68"/>
    <cellStyle name="Bad" xfId="69"/>
    <cellStyle name="Calculation" xfId="70"/>
    <cellStyle name="Check Cell" xfId="71"/>
    <cellStyle name="Column-Header" xfId="72"/>
    <cellStyle name="Column-Header 2" xfId="73"/>
    <cellStyle name="Column-Header 3" xfId="74"/>
    <cellStyle name="Column-Header 4" xfId="75"/>
    <cellStyle name="Column-Header 5" xfId="76"/>
    <cellStyle name="Column-Header 6" xfId="77"/>
    <cellStyle name="Column-Header 7" xfId="78"/>
    <cellStyle name="Column-Header 7 2" xfId="79"/>
    <cellStyle name="Column-Header 8" xfId="80"/>
    <cellStyle name="Column-Header 8 2" xfId="81"/>
    <cellStyle name="Column-Header 9" xfId="82"/>
    <cellStyle name="Column-Header 9 2" xfId="83"/>
    <cellStyle name="Column-Header_Zvit rux-koshtiv 2010 Департамент " xfId="84"/>
    <cellStyle name="Comma_2005_03_15-Финансовый_БГ" xfId="85"/>
    <cellStyle name="Define-Column" xfId="86"/>
    <cellStyle name="Define-Column 10" xfId="87"/>
    <cellStyle name="Define-Column 2" xfId="88"/>
    <cellStyle name="Define-Column 3" xfId="89"/>
    <cellStyle name="Define-Column 4" xfId="90"/>
    <cellStyle name="Define-Column 5" xfId="91"/>
    <cellStyle name="Define-Column 6" xfId="92"/>
    <cellStyle name="Define-Column 7" xfId="93"/>
    <cellStyle name="Define-Column 7 2" xfId="94"/>
    <cellStyle name="Define-Column 7 3" xfId="95"/>
    <cellStyle name="Define-Column 8" xfId="96"/>
    <cellStyle name="Define-Column 8 2" xfId="97"/>
    <cellStyle name="Define-Column 8 3" xfId="98"/>
    <cellStyle name="Define-Column 9" xfId="99"/>
    <cellStyle name="Define-Column 9 2" xfId="100"/>
    <cellStyle name="Define-Column 9 3" xfId="101"/>
    <cellStyle name="Define-Column_Zvit rux-koshtiv 2010 Департамент " xfId="102"/>
    <cellStyle name="Explanatory Text" xfId="103"/>
    <cellStyle name="FS10" xfId="104"/>
    <cellStyle name="Good" xfId="105"/>
    <cellStyle name="Heading 1" xfId="106"/>
    <cellStyle name="Heading 2" xfId="107"/>
    <cellStyle name="Heading 3" xfId="108"/>
    <cellStyle name="Heading 4" xfId="109"/>
    <cellStyle name="Hyperlink 2" xfId="110"/>
    <cellStyle name="Input" xfId="111"/>
    <cellStyle name="Level0" xfId="112"/>
    <cellStyle name="Level0 10" xfId="113"/>
    <cellStyle name="Level0 2" xfId="114"/>
    <cellStyle name="Level0 2 2" xfId="115"/>
    <cellStyle name="Level0 3" xfId="116"/>
    <cellStyle name="Level0 3 2" xfId="117"/>
    <cellStyle name="Level0 4" xfId="118"/>
    <cellStyle name="Level0 4 2" xfId="119"/>
    <cellStyle name="Level0 5" xfId="120"/>
    <cellStyle name="Level0 6" xfId="121"/>
    <cellStyle name="Level0 7" xfId="122"/>
    <cellStyle name="Level0 7 2" xfId="123"/>
    <cellStyle name="Level0 7 3" xfId="124"/>
    <cellStyle name="Level0 8" xfId="125"/>
    <cellStyle name="Level0 8 2" xfId="126"/>
    <cellStyle name="Level0 8 3" xfId="127"/>
    <cellStyle name="Level0 9" xfId="128"/>
    <cellStyle name="Level0 9 2" xfId="129"/>
    <cellStyle name="Level0 9 3" xfId="130"/>
    <cellStyle name="Level0_Zvit rux-koshtiv 2010 Департамент " xfId="131"/>
    <cellStyle name="Level1" xfId="132"/>
    <cellStyle name="Level1 2" xfId="133"/>
    <cellStyle name="Level1-Numbers" xfId="134"/>
    <cellStyle name="Level1-Numbers 2" xfId="135"/>
    <cellStyle name="Level1-Numbers-Hide" xfId="136"/>
    <cellStyle name="Level2" xfId="137"/>
    <cellStyle name="Level2 2" xfId="138"/>
    <cellStyle name="Level2-Hide" xfId="139"/>
    <cellStyle name="Level2-Hide 2" xfId="140"/>
    <cellStyle name="Level2-Numbers" xfId="141"/>
    <cellStyle name="Level2-Numbers 2" xfId="142"/>
    <cellStyle name="Level2-Numbers-Hide" xfId="143"/>
    <cellStyle name="Level3" xfId="144"/>
    <cellStyle name="Level3 2" xfId="145"/>
    <cellStyle name="Level3 3" xfId="146"/>
    <cellStyle name="Level3_План департамент_2010_1207" xfId="147"/>
    <cellStyle name="Level3-Hide" xfId="148"/>
    <cellStyle name="Level3-Hide 2" xfId="149"/>
    <cellStyle name="Level3-Numbers" xfId="150"/>
    <cellStyle name="Level3-Numbers 2" xfId="151"/>
    <cellStyle name="Level3-Numbers 3" xfId="152"/>
    <cellStyle name="Level3-Numbers_План департамент_2010_1207" xfId="153"/>
    <cellStyle name="Level3-Numbers-Hide" xfId="154"/>
    <cellStyle name="Level4" xfId="155"/>
    <cellStyle name="Level4 2" xfId="156"/>
    <cellStyle name="Level4-Hide" xfId="157"/>
    <cellStyle name="Level4-Hide 2" xfId="158"/>
    <cellStyle name="Level4-Numbers" xfId="159"/>
    <cellStyle name="Level4-Numbers 2" xfId="160"/>
    <cellStyle name="Level4-Numbers-Hide" xfId="161"/>
    <cellStyle name="Level5" xfId="162"/>
    <cellStyle name="Level5 2" xfId="163"/>
    <cellStyle name="Level5-Hide" xfId="164"/>
    <cellStyle name="Level5-Hide 2" xfId="165"/>
    <cellStyle name="Level5-Numbers" xfId="166"/>
    <cellStyle name="Level5-Numbers 2" xfId="167"/>
    <cellStyle name="Level5-Numbers-Hide" xfId="168"/>
    <cellStyle name="Level6" xfId="169"/>
    <cellStyle name="Level6 2" xfId="170"/>
    <cellStyle name="Level6-Hide" xfId="171"/>
    <cellStyle name="Level6-Hide 2" xfId="172"/>
    <cellStyle name="Level6-Numbers" xfId="173"/>
    <cellStyle name="Level6-Numbers 2" xfId="174"/>
    <cellStyle name="Level7" xfId="175"/>
    <cellStyle name="Level7-Hide" xfId="176"/>
    <cellStyle name="Level7-Numbers" xfId="177"/>
    <cellStyle name="Linked Cell" xfId="178"/>
    <cellStyle name="Neutral" xfId="179"/>
    <cellStyle name="Normal 2" xfId="180"/>
    <cellStyle name="Normal_2005_03_15-Финансовый_БГ" xfId="181"/>
    <cellStyle name="Normal_GSE DCF_Model_31_07_09 final" xfId="182"/>
    <cellStyle name="Note" xfId="183"/>
    <cellStyle name="Number-Cells" xfId="184"/>
    <cellStyle name="Number-Cells-Column2" xfId="185"/>
    <cellStyle name="Number-Cells-Column5" xfId="186"/>
    <cellStyle name="Output" xfId="187"/>
    <cellStyle name="Row-Header" xfId="188"/>
    <cellStyle name="Row-Header 2" xfId="189"/>
    <cellStyle name="Title" xfId="190"/>
    <cellStyle name="Total" xfId="191"/>
    <cellStyle name="Warning Text" xfId="192"/>
    <cellStyle name="Акцент1 2" xfId="193"/>
    <cellStyle name="Акцент1 3" xfId="194"/>
    <cellStyle name="Акцент2 2" xfId="195"/>
    <cellStyle name="Акцент2 3" xfId="196"/>
    <cellStyle name="Акцент3 2" xfId="197"/>
    <cellStyle name="Акцент3 3" xfId="198"/>
    <cellStyle name="Акцент4 2" xfId="199"/>
    <cellStyle name="Акцент4 3" xfId="200"/>
    <cellStyle name="Акцент5 2" xfId="201"/>
    <cellStyle name="Акцент5 3" xfId="202"/>
    <cellStyle name="Акцент6 2" xfId="203"/>
    <cellStyle name="Акцент6 3" xfId="204"/>
    <cellStyle name="Ввод  2" xfId="205"/>
    <cellStyle name="Ввод  3" xfId="206"/>
    <cellStyle name="Вывод 2" xfId="207"/>
    <cellStyle name="Вывод 3" xfId="208"/>
    <cellStyle name="Вычисление 2" xfId="209"/>
    <cellStyle name="Вычисление 3" xfId="210"/>
    <cellStyle name="Денежный 2" xfId="211"/>
    <cellStyle name="Заголовок 1 2" xfId="212"/>
    <cellStyle name="Заголовок 1 3" xfId="213"/>
    <cellStyle name="Заголовок 2 2" xfId="214"/>
    <cellStyle name="Заголовок 2 3" xfId="215"/>
    <cellStyle name="Заголовок 3 2" xfId="216"/>
    <cellStyle name="Заголовок 3 3" xfId="217"/>
    <cellStyle name="Заголовок 4 2" xfId="218"/>
    <cellStyle name="Заголовок 4 3" xfId="219"/>
    <cellStyle name="Итог 2" xfId="220"/>
    <cellStyle name="Итог 3" xfId="221"/>
    <cellStyle name="Контрольная ячейка 2" xfId="222"/>
    <cellStyle name="Контрольная ячейка 3" xfId="223"/>
    <cellStyle name="Название 2" xfId="224"/>
    <cellStyle name="Название 3" xfId="225"/>
    <cellStyle name="Нейтральный 2" xfId="226"/>
    <cellStyle name="Нейтральный 3" xfId="227"/>
    <cellStyle name="Обычный" xfId="0" builtinId="0"/>
    <cellStyle name="Обычный 10" xfId="228"/>
    <cellStyle name="Обычный 11" xfId="229"/>
    <cellStyle name="Обычный 12" xfId="230"/>
    <cellStyle name="Обычный 13" xfId="231"/>
    <cellStyle name="Обычный 14" xfId="232"/>
    <cellStyle name="Обычный 15" xfId="233"/>
    <cellStyle name="Обычный 16" xfId="234"/>
    <cellStyle name="Обычный 17" xfId="235"/>
    <cellStyle name="Обычный 18" xfId="236"/>
    <cellStyle name="Обычный 2" xfId="237"/>
    <cellStyle name="Обычный 2 10" xfId="238"/>
    <cellStyle name="Обычный 2 11" xfId="239"/>
    <cellStyle name="Обычный 2 12" xfId="240"/>
    <cellStyle name="Обычный 2 13" xfId="241"/>
    <cellStyle name="Обычный 2 14" xfId="242"/>
    <cellStyle name="Обычный 2 15" xfId="243"/>
    <cellStyle name="Обычный 2 16" xfId="244"/>
    <cellStyle name="Обычный 2 2" xfId="245"/>
    <cellStyle name="Обычный 2 2 2" xfId="246"/>
    <cellStyle name="Обычный 2 2 3" xfId="247"/>
    <cellStyle name="Обычный 2 2_Расшифровка прочих" xfId="248"/>
    <cellStyle name="Обычный 2 3" xfId="249"/>
    <cellStyle name="Обычный 2 4" xfId="250"/>
    <cellStyle name="Обычный 2 5" xfId="251"/>
    <cellStyle name="Обычный 2 6" xfId="252"/>
    <cellStyle name="Обычный 2 7" xfId="253"/>
    <cellStyle name="Обычный 2 8" xfId="254"/>
    <cellStyle name="Обычный 2 9" xfId="255"/>
    <cellStyle name="Обычный 2_2604-2010" xfId="256"/>
    <cellStyle name="Обычный 3" xfId="257"/>
    <cellStyle name="Обычный 3 10" xfId="258"/>
    <cellStyle name="Обычный 3 11" xfId="259"/>
    <cellStyle name="Обычный 3 12" xfId="260"/>
    <cellStyle name="Обычный 3 13" xfId="261"/>
    <cellStyle name="Обычный 3 14" xfId="262"/>
    <cellStyle name="Обычный 3 2" xfId="263"/>
    <cellStyle name="Обычный 3 3" xfId="264"/>
    <cellStyle name="Обычный 3 4" xfId="265"/>
    <cellStyle name="Обычный 3 5" xfId="266"/>
    <cellStyle name="Обычный 3 6" xfId="267"/>
    <cellStyle name="Обычный 3 7" xfId="268"/>
    <cellStyle name="Обычный 3 8" xfId="269"/>
    <cellStyle name="Обычный 3 9" xfId="270"/>
    <cellStyle name="Обычный 3_Дефицит_7 млрд_0608_бс" xfId="271"/>
    <cellStyle name="Обычный 4" xfId="272"/>
    <cellStyle name="Обычный 5" xfId="273"/>
    <cellStyle name="Обычный 5 2" xfId="274"/>
    <cellStyle name="Обычный 6" xfId="275"/>
    <cellStyle name="Обычный 6 2" xfId="276"/>
    <cellStyle name="Обычный 6 3" xfId="277"/>
    <cellStyle name="Обычный 6 4" xfId="278"/>
    <cellStyle name="Обычный 6_Дефицит_7 млрд_0608_бс" xfId="279"/>
    <cellStyle name="Обычный 7" xfId="280"/>
    <cellStyle name="Обычный 7 2" xfId="281"/>
    <cellStyle name="Обычный 8" xfId="282"/>
    <cellStyle name="Обычный 9" xfId="283"/>
    <cellStyle name="Обычный 9 2" xfId="284"/>
    <cellStyle name="Плохой 2" xfId="285"/>
    <cellStyle name="Плохой 3" xfId="286"/>
    <cellStyle name="Пояснение 2" xfId="287"/>
    <cellStyle name="Пояснение 3" xfId="288"/>
    <cellStyle name="Примечание 2" xfId="289"/>
    <cellStyle name="Примечание 3" xfId="290"/>
    <cellStyle name="Процентный 2" xfId="291"/>
    <cellStyle name="Процентный 2 10" xfId="292"/>
    <cellStyle name="Процентный 2 11" xfId="293"/>
    <cellStyle name="Процентный 2 12" xfId="294"/>
    <cellStyle name="Процентный 2 13" xfId="295"/>
    <cellStyle name="Процентный 2 14" xfId="296"/>
    <cellStyle name="Процентный 2 15" xfId="297"/>
    <cellStyle name="Процентный 2 16" xfId="298"/>
    <cellStyle name="Процентный 2 2" xfId="299"/>
    <cellStyle name="Процентный 2 3" xfId="300"/>
    <cellStyle name="Процентный 2 4" xfId="301"/>
    <cellStyle name="Процентный 2 5" xfId="302"/>
    <cellStyle name="Процентный 2 6" xfId="303"/>
    <cellStyle name="Процентный 2 7" xfId="304"/>
    <cellStyle name="Процентный 2 8" xfId="305"/>
    <cellStyle name="Процентный 2 9" xfId="306"/>
    <cellStyle name="Процентный 3" xfId="307"/>
    <cellStyle name="Процентный 4" xfId="308"/>
    <cellStyle name="Процентный 4 2" xfId="309"/>
    <cellStyle name="Связанная ячейка 2" xfId="310"/>
    <cellStyle name="Связанная ячейка 3" xfId="311"/>
    <cellStyle name="Стиль 1" xfId="312"/>
    <cellStyle name="Стиль 1 2" xfId="313"/>
    <cellStyle name="Стиль 1 3" xfId="314"/>
    <cellStyle name="Стиль 1 4" xfId="315"/>
    <cellStyle name="Стиль 1 5" xfId="316"/>
    <cellStyle name="Стиль 1 6" xfId="317"/>
    <cellStyle name="Стиль 1 7" xfId="318"/>
    <cellStyle name="Текст предупреждения 2" xfId="319"/>
    <cellStyle name="Текст предупреждения 3" xfId="320"/>
    <cellStyle name="Тысячи [0]_1.62" xfId="321"/>
    <cellStyle name="Тысячи_1.62" xfId="322"/>
    <cellStyle name="Финансовый" xfId="323" builtinId="3"/>
    <cellStyle name="Финансовый 2" xfId="324"/>
    <cellStyle name="Финансовый 2 10" xfId="325"/>
    <cellStyle name="Финансовый 2 11" xfId="326"/>
    <cellStyle name="Финансовый 2 12" xfId="327"/>
    <cellStyle name="Финансовый 2 13" xfId="328"/>
    <cellStyle name="Финансовый 2 14" xfId="329"/>
    <cellStyle name="Финансовый 2 15" xfId="330"/>
    <cellStyle name="Финансовый 2 16" xfId="331"/>
    <cellStyle name="Финансовый 2 17" xfId="332"/>
    <cellStyle name="Финансовый 2 2" xfId="333"/>
    <cellStyle name="Финансовый 2 3" xfId="334"/>
    <cellStyle name="Финансовый 2 4" xfId="335"/>
    <cellStyle name="Финансовый 2 5" xfId="336"/>
    <cellStyle name="Финансовый 2 6" xfId="337"/>
    <cellStyle name="Финансовый 2 7" xfId="338"/>
    <cellStyle name="Финансовый 2 8" xfId="339"/>
    <cellStyle name="Финансовый 2 9" xfId="340"/>
    <cellStyle name="Финансовый 3" xfId="341"/>
    <cellStyle name="Финансовый 3 2" xfId="342"/>
    <cellStyle name="Финансовый 4" xfId="343"/>
    <cellStyle name="Финансовый 4 2" xfId="344"/>
    <cellStyle name="Финансовый 4 3" xfId="345"/>
    <cellStyle name="Финансовый 5" xfId="346"/>
    <cellStyle name="Финансовый 6" xfId="347"/>
    <cellStyle name="Финансовый 7" xfId="348"/>
    <cellStyle name="Хороший 2" xfId="349"/>
    <cellStyle name="Хороший 3" xfId="350"/>
    <cellStyle name="числовой" xfId="351"/>
    <cellStyle name="Ю" xfId="352"/>
    <cellStyle name="Ю-FreeSet_10" xfId="353"/>
  </cellStyles>
  <dxfs count="0"/>
  <tableStyles count="0" defaultTableStyle="TableStyleMedium2" defaultPivotStyle="PivotStyleLight16"/>
  <colors>
    <mruColors>
      <color rgb="FF00FFFF"/>
      <color rgb="FFFFFF99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9" Type="http://schemas.openxmlformats.org/officeDocument/2006/relationships/externalLink" Target="externalLinks/externalLink2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1.xml"/><Relationship Id="rId34" Type="http://schemas.openxmlformats.org/officeDocument/2006/relationships/externalLink" Target="externalLinks/externalLink24.xml"/><Relationship Id="rId42" Type="http://schemas.openxmlformats.org/officeDocument/2006/relationships/externalLink" Target="externalLinks/externalLink3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23.xml"/><Relationship Id="rId38" Type="http://schemas.openxmlformats.org/officeDocument/2006/relationships/externalLink" Target="externalLinks/externalLink2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3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externalLink" Target="externalLinks/externalLink22.xml"/><Relationship Id="rId37" Type="http://schemas.openxmlformats.org/officeDocument/2006/relationships/externalLink" Target="externalLinks/externalLink27.xml"/><Relationship Id="rId40" Type="http://schemas.openxmlformats.org/officeDocument/2006/relationships/externalLink" Target="externalLinks/externalLink30.xml"/><Relationship Id="rId45" Type="http://schemas.openxmlformats.org/officeDocument/2006/relationships/externalLink" Target="externalLinks/externalLink3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36" Type="http://schemas.openxmlformats.org/officeDocument/2006/relationships/externalLink" Target="externalLinks/externalLink2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31" Type="http://schemas.openxmlformats.org/officeDocument/2006/relationships/externalLink" Target="externalLinks/externalLink21.xml"/><Relationship Id="rId44" Type="http://schemas.openxmlformats.org/officeDocument/2006/relationships/externalLink" Target="externalLinks/externalLink3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externalLink" Target="externalLinks/externalLink20.xml"/><Relationship Id="rId35" Type="http://schemas.openxmlformats.org/officeDocument/2006/relationships/externalLink" Target="externalLinks/externalLink25.xml"/><Relationship Id="rId43" Type="http://schemas.openxmlformats.org/officeDocument/2006/relationships/externalLink" Target="externalLinks/externalLink3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Ariadna/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Лист1"/>
      <sheetName val="МТР все 2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7  Інші витрати"/>
      <sheetName val="Ф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  <sheetName val="Лист1"/>
      <sheetName val="ТРП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Технич лист"/>
    </sheetNames>
    <sheetDataSet>
      <sheetData sheetId="0" refreshError="1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  <sheetName val="База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_Структура по елементах"/>
      <sheetName val="Д3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1_Структура по елементах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5:F20"/>
  <sheetViews>
    <sheetView workbookViewId="0">
      <selection activeCell="C12" sqref="C12:F12"/>
    </sheetView>
  </sheetViews>
  <sheetFormatPr defaultRowHeight="12.75"/>
  <cols>
    <col min="1" max="1" width="17.5703125" customWidth="1"/>
    <col min="2" max="2" width="16" customWidth="1"/>
    <col min="3" max="3" width="13" customWidth="1"/>
    <col min="4" max="4" width="13.140625" customWidth="1"/>
    <col min="5" max="6" width="12.140625" customWidth="1"/>
  </cols>
  <sheetData>
    <row r="5" spans="1:6" ht="25.5">
      <c r="A5" s="385" t="s">
        <v>371</v>
      </c>
      <c r="B5" s="385"/>
      <c r="C5" s="386" t="s">
        <v>372</v>
      </c>
      <c r="D5" s="386"/>
      <c r="E5" s="159" t="s">
        <v>373</v>
      </c>
      <c r="F5" s="159" t="s">
        <v>374</v>
      </c>
    </row>
    <row r="6" spans="1:6" ht="18">
      <c r="A6" s="156" t="s">
        <v>369</v>
      </c>
      <c r="B6" s="171">
        <v>0.22</v>
      </c>
      <c r="C6" s="173"/>
      <c r="D6" s="174"/>
      <c r="E6" s="158">
        <v>0.18</v>
      </c>
      <c r="F6" s="157">
        <v>1.4999999999999999E-2</v>
      </c>
    </row>
    <row r="7" spans="1:6" ht="25.5">
      <c r="A7" s="156" t="s">
        <v>370</v>
      </c>
      <c r="B7" s="177">
        <v>8.4099999999999994E-2</v>
      </c>
      <c r="C7" s="173"/>
      <c r="D7" s="162"/>
      <c r="E7" s="162"/>
      <c r="F7" s="162"/>
    </row>
    <row r="8" spans="1:6" ht="72.75" customHeight="1">
      <c r="A8" s="173"/>
      <c r="B8" s="174"/>
      <c r="C8" s="173"/>
      <c r="D8" s="174"/>
      <c r="E8" s="162"/>
      <c r="F8" s="162"/>
    </row>
    <row r="10" spans="1:6" ht="24" customHeight="1">
      <c r="B10" s="154"/>
      <c r="C10" s="155" t="s">
        <v>357</v>
      </c>
      <c r="D10" s="155" t="s">
        <v>349</v>
      </c>
      <c r="E10" s="155" t="s">
        <v>350</v>
      </c>
      <c r="F10" s="155" t="s">
        <v>71</v>
      </c>
    </row>
    <row r="11" spans="1:6" ht="25.5">
      <c r="B11" s="160" t="s">
        <v>376</v>
      </c>
      <c r="C11" s="169">
        <f>'I. Фін результат'!F95</f>
        <v>235</v>
      </c>
      <c r="D11" s="169">
        <f>'I. Фін результат'!G95</f>
        <v>471</v>
      </c>
      <c r="E11" s="169">
        <f>'I. Фін результат'!H95</f>
        <v>706</v>
      </c>
      <c r="F11" s="169">
        <f>'I. Фін результат'!I95</f>
        <v>940</v>
      </c>
    </row>
    <row r="12" spans="1:6" ht="26.25" customHeight="1">
      <c r="B12" s="161" t="s">
        <v>375</v>
      </c>
      <c r="C12" s="170">
        <f>штатка!J42/1000</f>
        <v>18</v>
      </c>
      <c r="D12" s="170">
        <f>штатка!K42/1000</f>
        <v>36</v>
      </c>
      <c r="E12" s="170">
        <f>штатка!L42/1000</f>
        <v>54</v>
      </c>
      <c r="F12" s="170">
        <f>штатка!M42/1000</f>
        <v>72</v>
      </c>
    </row>
    <row r="13" spans="1:6">
      <c r="B13" s="175"/>
      <c r="C13" s="176"/>
      <c r="D13" s="176"/>
      <c r="E13" s="176"/>
      <c r="F13" s="176"/>
    </row>
    <row r="17" spans="2:6" ht="25.5">
      <c r="B17" s="151" t="s">
        <v>6</v>
      </c>
      <c r="C17" s="153">
        <f>(C11-C12)*$B$6+C12*$B$7</f>
        <v>49.253799999999998</v>
      </c>
      <c r="D17" s="153">
        <f>(D11-D12)*$B$6+D12*$B$7</f>
        <v>98.727599999999995</v>
      </c>
      <c r="E17" s="153">
        <f>(E11-E12)*$B$6+E12*$B$7</f>
        <v>147.98140000000001</v>
      </c>
      <c r="F17" s="153">
        <f>(F11-F12)*$B$6+F12*$B$7</f>
        <v>197.01519999999999</v>
      </c>
    </row>
    <row r="18" spans="2:6" ht="38.25">
      <c r="B18" s="152" t="s">
        <v>377</v>
      </c>
      <c r="C18" s="153">
        <f>C11*$E$6</f>
        <v>42.3</v>
      </c>
      <c r="D18" s="153">
        <f>D11*$E$6</f>
        <v>84.78</v>
      </c>
      <c r="E18" s="153">
        <f>E11*$E$6</f>
        <v>127.08</v>
      </c>
      <c r="F18" s="153">
        <f>F11*$E$6</f>
        <v>169.2</v>
      </c>
    </row>
    <row r="19" spans="2:6">
      <c r="B19" s="156" t="s">
        <v>374</v>
      </c>
      <c r="C19" s="153">
        <f>C11*$F$6</f>
        <v>3.5249999999999999</v>
      </c>
      <c r="D19" s="153">
        <f>D11*$F$6</f>
        <v>7.0649999999999995</v>
      </c>
      <c r="E19" s="153">
        <f>E11*$F$6</f>
        <v>10.59</v>
      </c>
      <c r="F19" s="153">
        <f>F11*$F$6</f>
        <v>14.1</v>
      </c>
    </row>
    <row r="20" spans="2:6">
      <c r="C20" s="150"/>
      <c r="D20" s="150"/>
      <c r="E20" s="150"/>
      <c r="F20" s="150"/>
    </row>
  </sheetData>
  <sheetProtection password="C6FB" sheet="1"/>
  <mergeCells count="2">
    <mergeCell ref="A5:B5"/>
    <mergeCell ref="C5:D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E71"/>
  <sheetViews>
    <sheetView topLeftCell="F45" zoomScale="60" zoomScaleNormal="70" zoomScaleSheetLayoutView="50" workbookViewId="0">
      <selection activeCell="V57" sqref="V57:Z57"/>
    </sheetView>
  </sheetViews>
  <sheetFormatPr defaultRowHeight="18.75"/>
  <cols>
    <col min="1" max="1" width="4.42578125" style="1" customWidth="1"/>
    <col min="2" max="2" width="28.7109375" style="1" customWidth="1"/>
    <col min="3" max="6" width="11.28515625" style="1" customWidth="1"/>
    <col min="7" max="31" width="11" style="1" customWidth="1"/>
    <col min="32" max="16384" width="9.140625" style="1"/>
  </cols>
  <sheetData>
    <row r="1" spans="1:31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Q1" s="24"/>
      <c r="R1" s="24"/>
      <c r="S1" s="24"/>
      <c r="T1" s="24"/>
      <c r="U1" s="24"/>
      <c r="AB1" s="557"/>
      <c r="AC1" s="558"/>
      <c r="AD1" s="558"/>
      <c r="AE1" s="558"/>
    </row>
    <row r="2" spans="1:31" ht="18.75" customHeight="1">
      <c r="B2" s="33" t="s">
        <v>233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</row>
    <row r="3" spans="1:3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</row>
    <row r="4" spans="1:31" ht="18.75" customHeight="1">
      <c r="A4" s="458" t="s">
        <v>45</v>
      </c>
      <c r="B4" s="458" t="s">
        <v>189</v>
      </c>
      <c r="C4" s="517" t="s">
        <v>190</v>
      </c>
      <c r="D4" s="518"/>
      <c r="E4" s="518"/>
      <c r="F4" s="519"/>
      <c r="G4" s="517" t="s">
        <v>327</v>
      </c>
      <c r="H4" s="518"/>
      <c r="I4" s="518"/>
      <c r="J4" s="518"/>
      <c r="K4" s="518"/>
      <c r="L4" s="519"/>
      <c r="M4" s="517" t="s">
        <v>191</v>
      </c>
      <c r="N4" s="518"/>
      <c r="O4" s="518"/>
      <c r="P4" s="519"/>
      <c r="Q4" s="480" t="s">
        <v>281</v>
      </c>
      <c r="R4" s="481"/>
      <c r="S4" s="481"/>
      <c r="T4" s="481"/>
      <c r="U4" s="481"/>
      <c r="V4" s="481"/>
      <c r="W4" s="481"/>
      <c r="X4" s="481"/>
      <c r="Y4" s="481"/>
      <c r="Z4" s="481"/>
      <c r="AA4" s="481"/>
      <c r="AB4" s="481"/>
      <c r="AC4" s="481"/>
      <c r="AD4" s="481"/>
      <c r="AE4" s="482"/>
    </row>
    <row r="5" spans="1:31" ht="48.75" customHeight="1">
      <c r="A5" s="459"/>
      <c r="B5" s="459"/>
      <c r="C5" s="520"/>
      <c r="D5" s="521"/>
      <c r="E5" s="521"/>
      <c r="F5" s="522"/>
      <c r="G5" s="520"/>
      <c r="H5" s="521"/>
      <c r="I5" s="521"/>
      <c r="J5" s="521"/>
      <c r="K5" s="521"/>
      <c r="L5" s="522"/>
      <c r="M5" s="520"/>
      <c r="N5" s="521"/>
      <c r="O5" s="521"/>
      <c r="P5" s="522"/>
      <c r="Q5" s="484" t="s">
        <v>192</v>
      </c>
      <c r="R5" s="485"/>
      <c r="S5" s="486"/>
      <c r="T5" s="484" t="s">
        <v>193</v>
      </c>
      <c r="U5" s="485"/>
      <c r="V5" s="486"/>
      <c r="W5" s="484" t="s">
        <v>42</v>
      </c>
      <c r="X5" s="485"/>
      <c r="Y5" s="486"/>
      <c r="Z5" s="480" t="s">
        <v>194</v>
      </c>
      <c r="AA5" s="481"/>
      <c r="AB5" s="482"/>
      <c r="AC5" s="480" t="s">
        <v>195</v>
      </c>
      <c r="AD5" s="481"/>
      <c r="AE5" s="482"/>
    </row>
    <row r="6" spans="1:31" ht="18" customHeight="1">
      <c r="A6" s="55">
        <v>1</v>
      </c>
      <c r="B6" s="56">
        <v>2</v>
      </c>
      <c r="C6" s="523">
        <v>3</v>
      </c>
      <c r="D6" s="524"/>
      <c r="E6" s="524"/>
      <c r="F6" s="525"/>
      <c r="G6" s="523">
        <v>4</v>
      </c>
      <c r="H6" s="524"/>
      <c r="I6" s="524"/>
      <c r="J6" s="524"/>
      <c r="K6" s="524"/>
      <c r="L6" s="525"/>
      <c r="M6" s="523">
        <v>5</v>
      </c>
      <c r="N6" s="524"/>
      <c r="O6" s="524"/>
      <c r="P6" s="525"/>
      <c r="Q6" s="523">
        <v>6</v>
      </c>
      <c r="R6" s="524"/>
      <c r="S6" s="525"/>
      <c r="T6" s="523">
        <v>7</v>
      </c>
      <c r="U6" s="524"/>
      <c r="V6" s="525"/>
      <c r="W6" s="526">
        <v>8</v>
      </c>
      <c r="X6" s="527"/>
      <c r="Y6" s="528"/>
      <c r="Z6" s="526">
        <v>9</v>
      </c>
      <c r="AA6" s="527"/>
      <c r="AB6" s="528"/>
      <c r="AC6" s="526">
        <v>10</v>
      </c>
      <c r="AD6" s="527"/>
      <c r="AE6" s="528"/>
    </row>
    <row r="7" spans="1:31" ht="20.100000000000001" customHeight="1">
      <c r="A7" s="55"/>
      <c r="B7" s="180"/>
      <c r="C7" s="534"/>
      <c r="D7" s="535"/>
      <c r="E7" s="535"/>
      <c r="F7" s="536"/>
      <c r="G7" s="529"/>
      <c r="H7" s="530"/>
      <c r="I7" s="530"/>
      <c r="J7" s="530"/>
      <c r="K7" s="530"/>
      <c r="L7" s="531"/>
      <c r="M7" s="537">
        <f>SUM(Q7,T7,W7,Z7,AC7)</f>
        <v>0</v>
      </c>
      <c r="N7" s="538"/>
      <c r="O7" s="538"/>
      <c r="P7" s="539"/>
      <c r="Q7" s="514"/>
      <c r="R7" s="515"/>
      <c r="S7" s="516"/>
      <c r="T7" s="514"/>
      <c r="U7" s="515"/>
      <c r="V7" s="516"/>
      <c r="W7" s="514"/>
      <c r="X7" s="515"/>
      <c r="Y7" s="516"/>
      <c r="Z7" s="514"/>
      <c r="AA7" s="515"/>
      <c r="AB7" s="516"/>
      <c r="AC7" s="514"/>
      <c r="AD7" s="515"/>
      <c r="AE7" s="516"/>
    </row>
    <row r="8" spans="1:31" ht="20.100000000000001" customHeight="1">
      <c r="A8" s="55"/>
      <c r="B8" s="180"/>
      <c r="C8" s="534"/>
      <c r="D8" s="535"/>
      <c r="E8" s="535"/>
      <c r="F8" s="536"/>
      <c r="G8" s="529"/>
      <c r="H8" s="530"/>
      <c r="I8" s="530"/>
      <c r="J8" s="530"/>
      <c r="K8" s="530"/>
      <c r="L8" s="531"/>
      <c r="M8" s="537">
        <f>SUM(Q8,T8,W8,Z8,AC8)</f>
        <v>0</v>
      </c>
      <c r="N8" s="538"/>
      <c r="O8" s="538"/>
      <c r="P8" s="539"/>
      <c r="Q8" s="514"/>
      <c r="R8" s="515"/>
      <c r="S8" s="516"/>
      <c r="T8" s="514"/>
      <c r="U8" s="515"/>
      <c r="V8" s="516"/>
      <c r="W8" s="514"/>
      <c r="X8" s="515"/>
      <c r="Y8" s="516"/>
      <c r="Z8" s="514"/>
      <c r="AA8" s="515"/>
      <c r="AB8" s="516"/>
      <c r="AC8" s="514"/>
      <c r="AD8" s="515"/>
      <c r="AE8" s="516"/>
    </row>
    <row r="9" spans="1:31" ht="20.100000000000001" customHeight="1">
      <c r="A9" s="55"/>
      <c r="B9" s="180"/>
      <c r="C9" s="534"/>
      <c r="D9" s="535"/>
      <c r="E9" s="535"/>
      <c r="F9" s="536"/>
      <c r="G9" s="529"/>
      <c r="H9" s="530"/>
      <c r="I9" s="530"/>
      <c r="J9" s="530"/>
      <c r="K9" s="530"/>
      <c r="L9" s="531"/>
      <c r="M9" s="537">
        <f>SUM(Q9,T9,W9,Z9,AC9)</f>
        <v>0</v>
      </c>
      <c r="N9" s="538"/>
      <c r="O9" s="538"/>
      <c r="P9" s="539"/>
      <c r="Q9" s="514"/>
      <c r="R9" s="515"/>
      <c r="S9" s="516"/>
      <c r="T9" s="514"/>
      <c r="U9" s="515"/>
      <c r="V9" s="516"/>
      <c r="W9" s="514"/>
      <c r="X9" s="515"/>
      <c r="Y9" s="516"/>
      <c r="Z9" s="514"/>
      <c r="AA9" s="515"/>
      <c r="AB9" s="516"/>
      <c r="AC9" s="514"/>
      <c r="AD9" s="515"/>
      <c r="AE9" s="516"/>
    </row>
    <row r="10" spans="1:31" ht="20.100000000000001" customHeight="1">
      <c r="A10" s="55"/>
      <c r="B10" s="180"/>
      <c r="C10" s="534"/>
      <c r="D10" s="535"/>
      <c r="E10" s="535"/>
      <c r="F10" s="536"/>
      <c r="G10" s="529"/>
      <c r="H10" s="530"/>
      <c r="I10" s="530"/>
      <c r="J10" s="530"/>
      <c r="K10" s="530"/>
      <c r="L10" s="531"/>
      <c r="M10" s="537">
        <f>SUM(Q10,T10,W10,Z10,AC10)</f>
        <v>0</v>
      </c>
      <c r="N10" s="538"/>
      <c r="O10" s="538"/>
      <c r="P10" s="539"/>
      <c r="Q10" s="514"/>
      <c r="R10" s="515"/>
      <c r="S10" s="516"/>
      <c r="T10" s="514"/>
      <c r="U10" s="515"/>
      <c r="V10" s="516"/>
      <c r="W10" s="514"/>
      <c r="X10" s="515"/>
      <c r="Y10" s="516"/>
      <c r="Z10" s="514"/>
      <c r="AA10" s="515"/>
      <c r="AB10" s="516"/>
      <c r="AC10" s="514"/>
      <c r="AD10" s="515"/>
      <c r="AE10" s="516"/>
    </row>
    <row r="11" spans="1:31" ht="20.100000000000001" customHeight="1">
      <c r="A11" s="559" t="s">
        <v>50</v>
      </c>
      <c r="B11" s="560"/>
      <c r="C11" s="560"/>
      <c r="D11" s="560"/>
      <c r="E11" s="560"/>
      <c r="F11" s="560"/>
      <c r="G11" s="560"/>
      <c r="H11" s="560"/>
      <c r="I11" s="560"/>
      <c r="J11" s="560"/>
      <c r="K11" s="560"/>
      <c r="L11" s="561"/>
      <c r="M11" s="540">
        <f>SUM(M7:P10)</f>
        <v>0</v>
      </c>
      <c r="N11" s="541"/>
      <c r="O11" s="541"/>
      <c r="P11" s="542"/>
      <c r="Q11" s="540">
        <f>SUM(Q7:S10)</f>
        <v>0</v>
      </c>
      <c r="R11" s="541"/>
      <c r="S11" s="542"/>
      <c r="T11" s="540">
        <f>SUM(T7:V10)</f>
        <v>0</v>
      </c>
      <c r="U11" s="541"/>
      <c r="V11" s="542"/>
      <c r="W11" s="540">
        <f>SUM(W7:Y10)</f>
        <v>0</v>
      </c>
      <c r="X11" s="541"/>
      <c r="Y11" s="542"/>
      <c r="Z11" s="540">
        <f>SUM(Z7:AB10)</f>
        <v>0</v>
      </c>
      <c r="AA11" s="541"/>
      <c r="AB11" s="542"/>
      <c r="AC11" s="540">
        <f>SUM(AC7:AE10)</f>
        <v>0</v>
      </c>
      <c r="AD11" s="541"/>
      <c r="AE11" s="542"/>
    </row>
    <row r="12" spans="1:31" ht="18.75" customHeight="1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9"/>
      <c r="N12" s="29"/>
      <c r="O12" s="29"/>
      <c r="P12" s="29"/>
      <c r="Q12" s="47"/>
      <c r="R12" s="47"/>
      <c r="S12" s="47"/>
      <c r="T12" s="47"/>
      <c r="U12" s="47"/>
      <c r="V12" s="47"/>
      <c r="W12" s="48"/>
      <c r="X12" s="48"/>
      <c r="Y12" s="48"/>
      <c r="Z12" s="48"/>
      <c r="AA12" s="48"/>
      <c r="AB12" s="48"/>
      <c r="AC12" s="48"/>
      <c r="AD12" s="48"/>
      <c r="AE12" s="48"/>
    </row>
    <row r="13" spans="1:31" s="33" customFormat="1" ht="18.75" customHeight="1">
      <c r="B13" s="33" t="s">
        <v>234</v>
      </c>
    </row>
    <row r="14" spans="1:31" s="33" customFormat="1" ht="18.75" customHeight="1"/>
    <row r="15" spans="1:31" ht="18.75" customHeight="1">
      <c r="A15" s="447" t="s">
        <v>45</v>
      </c>
      <c r="B15" s="447" t="s">
        <v>196</v>
      </c>
      <c r="C15" s="448" t="s">
        <v>189</v>
      </c>
      <c r="D15" s="448"/>
      <c r="E15" s="448"/>
      <c r="F15" s="448"/>
      <c r="G15" s="448" t="s">
        <v>327</v>
      </c>
      <c r="H15" s="448"/>
      <c r="I15" s="448"/>
      <c r="J15" s="448"/>
      <c r="K15" s="448"/>
      <c r="L15" s="448"/>
      <c r="M15" s="448"/>
      <c r="N15" s="448"/>
      <c r="O15" s="448"/>
      <c r="P15" s="448"/>
      <c r="Q15" s="448" t="s">
        <v>197</v>
      </c>
      <c r="R15" s="448"/>
      <c r="S15" s="448"/>
      <c r="T15" s="448"/>
      <c r="U15" s="448"/>
      <c r="V15" s="444" t="s">
        <v>198</v>
      </c>
      <c r="W15" s="444"/>
      <c r="X15" s="444"/>
      <c r="Y15" s="444"/>
      <c r="Z15" s="444"/>
      <c r="AA15" s="444"/>
      <c r="AB15" s="444"/>
      <c r="AC15" s="444"/>
      <c r="AD15" s="444"/>
      <c r="AE15" s="444"/>
    </row>
    <row r="16" spans="1:31" ht="18.75" customHeight="1">
      <c r="A16" s="447"/>
      <c r="B16" s="447"/>
      <c r="C16" s="448"/>
      <c r="D16" s="448"/>
      <c r="E16" s="448"/>
      <c r="F16" s="448"/>
      <c r="G16" s="448"/>
      <c r="H16" s="448"/>
      <c r="I16" s="448"/>
      <c r="J16" s="448"/>
      <c r="K16" s="448"/>
      <c r="L16" s="448"/>
      <c r="M16" s="448"/>
      <c r="N16" s="448"/>
      <c r="O16" s="448"/>
      <c r="P16" s="448"/>
      <c r="Q16" s="448"/>
      <c r="R16" s="448"/>
      <c r="S16" s="448"/>
      <c r="T16" s="448"/>
      <c r="U16" s="448"/>
      <c r="V16" s="444" t="s">
        <v>199</v>
      </c>
      <c r="W16" s="444"/>
      <c r="X16" s="444" t="s">
        <v>90</v>
      </c>
      <c r="Y16" s="444"/>
      <c r="Z16" s="444"/>
      <c r="AA16" s="444"/>
      <c r="AB16" s="444"/>
      <c r="AC16" s="444"/>
      <c r="AD16" s="444"/>
      <c r="AE16" s="444"/>
    </row>
    <row r="17" spans="1:31" ht="18.75" customHeight="1">
      <c r="A17" s="447"/>
      <c r="B17" s="447"/>
      <c r="C17" s="448"/>
      <c r="D17" s="448"/>
      <c r="E17" s="448"/>
      <c r="F17" s="448"/>
      <c r="G17" s="448"/>
      <c r="H17" s="448"/>
      <c r="I17" s="448"/>
      <c r="J17" s="448"/>
      <c r="K17" s="448"/>
      <c r="L17" s="448"/>
      <c r="M17" s="448"/>
      <c r="N17" s="448"/>
      <c r="O17" s="448"/>
      <c r="P17" s="448"/>
      <c r="Q17" s="448"/>
      <c r="R17" s="448"/>
      <c r="S17" s="448"/>
      <c r="T17" s="448"/>
      <c r="U17" s="448"/>
      <c r="V17" s="444"/>
      <c r="W17" s="444"/>
      <c r="X17" s="444" t="s">
        <v>357</v>
      </c>
      <c r="Y17" s="444"/>
      <c r="Z17" s="444" t="s">
        <v>349</v>
      </c>
      <c r="AA17" s="444"/>
      <c r="AB17" s="444" t="s">
        <v>350</v>
      </c>
      <c r="AC17" s="444"/>
      <c r="AD17" s="444" t="s">
        <v>71</v>
      </c>
      <c r="AE17" s="444"/>
    </row>
    <row r="18" spans="1:31" ht="18" customHeight="1">
      <c r="A18" s="55">
        <v>1</v>
      </c>
      <c r="B18" s="55">
        <v>2</v>
      </c>
      <c r="C18" s="532">
        <v>3</v>
      </c>
      <c r="D18" s="532"/>
      <c r="E18" s="532"/>
      <c r="F18" s="532"/>
      <c r="G18" s="532">
        <v>4</v>
      </c>
      <c r="H18" s="532"/>
      <c r="I18" s="532"/>
      <c r="J18" s="532"/>
      <c r="K18" s="532"/>
      <c r="L18" s="532"/>
      <c r="M18" s="532"/>
      <c r="N18" s="532"/>
      <c r="O18" s="532"/>
      <c r="P18" s="532"/>
      <c r="Q18" s="532">
        <v>5</v>
      </c>
      <c r="R18" s="532"/>
      <c r="S18" s="532"/>
      <c r="T18" s="532"/>
      <c r="U18" s="532"/>
      <c r="V18" s="532">
        <v>6</v>
      </c>
      <c r="W18" s="532"/>
      <c r="X18" s="543">
        <v>7</v>
      </c>
      <c r="Y18" s="543"/>
      <c r="Z18" s="543">
        <v>8</v>
      </c>
      <c r="AA18" s="543"/>
      <c r="AB18" s="543">
        <v>9</v>
      </c>
      <c r="AC18" s="543"/>
      <c r="AD18" s="543">
        <v>10</v>
      </c>
      <c r="AE18" s="543"/>
    </row>
    <row r="19" spans="1:31" ht="20.100000000000001" customHeight="1">
      <c r="A19" s="75"/>
      <c r="B19" s="70"/>
      <c r="C19" s="554"/>
      <c r="D19" s="554"/>
      <c r="E19" s="554"/>
      <c r="F19" s="554"/>
      <c r="G19" s="555"/>
      <c r="H19" s="555"/>
      <c r="I19" s="555"/>
      <c r="J19" s="555"/>
      <c r="K19" s="555"/>
      <c r="L19" s="555"/>
      <c r="M19" s="555"/>
      <c r="N19" s="555"/>
      <c r="O19" s="555"/>
      <c r="P19" s="555"/>
      <c r="Q19" s="545"/>
      <c r="R19" s="545"/>
      <c r="S19" s="545"/>
      <c r="T19" s="545"/>
      <c r="U19" s="545"/>
      <c r="V19" s="544">
        <f>AD19</f>
        <v>0</v>
      </c>
      <c r="W19" s="544"/>
      <c r="X19" s="533"/>
      <c r="Y19" s="533"/>
      <c r="Z19" s="533"/>
      <c r="AA19" s="533"/>
      <c r="AB19" s="533"/>
      <c r="AC19" s="533"/>
      <c r="AD19" s="533"/>
      <c r="AE19" s="533"/>
    </row>
    <row r="20" spans="1:31" ht="20.100000000000001" customHeight="1">
      <c r="A20" s="75"/>
      <c r="B20" s="70"/>
      <c r="C20" s="554"/>
      <c r="D20" s="554"/>
      <c r="E20" s="554"/>
      <c r="F20" s="554"/>
      <c r="G20" s="555"/>
      <c r="H20" s="555"/>
      <c r="I20" s="555"/>
      <c r="J20" s="555"/>
      <c r="K20" s="555"/>
      <c r="L20" s="555"/>
      <c r="M20" s="555"/>
      <c r="N20" s="555"/>
      <c r="O20" s="555"/>
      <c r="P20" s="555"/>
      <c r="Q20" s="545"/>
      <c r="R20" s="545"/>
      <c r="S20" s="545"/>
      <c r="T20" s="545"/>
      <c r="U20" s="545"/>
      <c r="V20" s="544">
        <f>AD20</f>
        <v>0</v>
      </c>
      <c r="W20" s="544"/>
      <c r="X20" s="533"/>
      <c r="Y20" s="533"/>
      <c r="Z20" s="533"/>
      <c r="AA20" s="533"/>
      <c r="AB20" s="533"/>
      <c r="AC20" s="533"/>
      <c r="AD20" s="533"/>
      <c r="AE20" s="533"/>
    </row>
    <row r="21" spans="1:31" ht="20.100000000000001" customHeight="1">
      <c r="A21" s="75"/>
      <c r="B21" s="70"/>
      <c r="C21" s="554"/>
      <c r="D21" s="554"/>
      <c r="E21" s="554"/>
      <c r="F21" s="554"/>
      <c r="G21" s="555"/>
      <c r="H21" s="555"/>
      <c r="I21" s="555"/>
      <c r="J21" s="555"/>
      <c r="K21" s="555"/>
      <c r="L21" s="555"/>
      <c r="M21" s="555"/>
      <c r="N21" s="555"/>
      <c r="O21" s="555"/>
      <c r="P21" s="555"/>
      <c r="Q21" s="545"/>
      <c r="R21" s="545"/>
      <c r="S21" s="545"/>
      <c r="T21" s="545"/>
      <c r="U21" s="545"/>
      <c r="V21" s="544">
        <f>AD21</f>
        <v>0</v>
      </c>
      <c r="W21" s="544"/>
      <c r="X21" s="533"/>
      <c r="Y21" s="533"/>
      <c r="Z21" s="533"/>
      <c r="AA21" s="533"/>
      <c r="AB21" s="533"/>
      <c r="AC21" s="533"/>
      <c r="AD21" s="533"/>
      <c r="AE21" s="533"/>
    </row>
    <row r="22" spans="1:31" ht="20.100000000000001" customHeight="1">
      <c r="A22" s="75"/>
      <c r="B22" s="70"/>
      <c r="C22" s="554"/>
      <c r="D22" s="554"/>
      <c r="E22" s="554"/>
      <c r="F22" s="554"/>
      <c r="G22" s="555"/>
      <c r="H22" s="555"/>
      <c r="I22" s="555"/>
      <c r="J22" s="555"/>
      <c r="K22" s="555"/>
      <c r="L22" s="555"/>
      <c r="M22" s="555"/>
      <c r="N22" s="555"/>
      <c r="O22" s="555"/>
      <c r="P22" s="555"/>
      <c r="Q22" s="545"/>
      <c r="R22" s="545"/>
      <c r="S22" s="545"/>
      <c r="T22" s="545"/>
      <c r="U22" s="545"/>
      <c r="V22" s="544">
        <f>AD22</f>
        <v>0</v>
      </c>
      <c r="W22" s="544"/>
      <c r="X22" s="533"/>
      <c r="Y22" s="533"/>
      <c r="Z22" s="533"/>
      <c r="AA22" s="533"/>
      <c r="AB22" s="533"/>
      <c r="AC22" s="533"/>
      <c r="AD22" s="533"/>
      <c r="AE22" s="533"/>
    </row>
    <row r="23" spans="1:31" ht="20.100000000000001" customHeight="1">
      <c r="A23" s="447" t="s">
        <v>50</v>
      </c>
      <c r="B23" s="447"/>
      <c r="C23" s="447"/>
      <c r="D23" s="447"/>
      <c r="E23" s="447"/>
      <c r="F23" s="447"/>
      <c r="G23" s="447"/>
      <c r="H23" s="447"/>
      <c r="I23" s="447"/>
      <c r="J23" s="447"/>
      <c r="K23" s="447"/>
      <c r="L23" s="447"/>
      <c r="M23" s="447"/>
      <c r="N23" s="447"/>
      <c r="O23" s="447"/>
      <c r="P23" s="447"/>
      <c r="Q23" s="447"/>
      <c r="R23" s="447"/>
      <c r="S23" s="447"/>
      <c r="T23" s="447"/>
      <c r="U23" s="447"/>
      <c r="V23" s="544">
        <f>AD23</f>
        <v>0</v>
      </c>
      <c r="W23" s="544"/>
      <c r="X23" s="556">
        <f>SUM(X19:Y22)</f>
        <v>0</v>
      </c>
      <c r="Y23" s="556"/>
      <c r="Z23" s="556">
        <f>SUM(Z19:AA22)</f>
        <v>0</v>
      </c>
      <c r="AA23" s="556"/>
      <c r="AB23" s="556">
        <f>SUM(AB19:AC22)</f>
        <v>0</v>
      </c>
      <c r="AC23" s="556"/>
      <c r="AD23" s="556">
        <f>SUM(AD19:AE22)</f>
        <v>0</v>
      </c>
      <c r="AE23" s="556"/>
    </row>
    <row r="24" spans="1:3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Q24" s="24"/>
      <c r="R24" s="24"/>
      <c r="S24" s="24"/>
      <c r="T24" s="24"/>
      <c r="U24" s="24"/>
      <c r="AE24" s="24"/>
    </row>
    <row r="25" spans="1:3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Q25" s="24"/>
      <c r="R25" s="24"/>
      <c r="S25" s="24"/>
      <c r="T25" s="24"/>
      <c r="U25" s="24"/>
      <c r="AE25" s="24"/>
    </row>
    <row r="26" spans="1:31" s="33" customFormat="1" ht="18.75" customHeight="1">
      <c r="B26" s="33" t="s">
        <v>211</v>
      </c>
    </row>
    <row r="27" spans="1:31">
      <c r="A27" s="22"/>
      <c r="B27" s="22"/>
      <c r="C27" s="22"/>
      <c r="D27" s="22"/>
      <c r="E27" s="22"/>
      <c r="F27" s="22"/>
      <c r="G27" s="22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22"/>
      <c r="AD27" s="58" t="s">
        <v>231</v>
      </c>
    </row>
    <row r="28" spans="1:31" ht="30" customHeight="1">
      <c r="A28" s="448" t="s">
        <v>45</v>
      </c>
      <c r="B28" s="448" t="s">
        <v>235</v>
      </c>
      <c r="C28" s="448"/>
      <c r="D28" s="448"/>
      <c r="E28" s="448"/>
      <c r="F28" s="448"/>
      <c r="G28" s="484" t="s">
        <v>49</v>
      </c>
      <c r="H28" s="485"/>
      <c r="I28" s="485"/>
      <c r="J28" s="486"/>
      <c r="K28" s="484" t="s">
        <v>81</v>
      </c>
      <c r="L28" s="485"/>
      <c r="M28" s="485"/>
      <c r="N28" s="486"/>
      <c r="O28" s="484" t="s">
        <v>285</v>
      </c>
      <c r="P28" s="485"/>
      <c r="Q28" s="485"/>
      <c r="R28" s="486"/>
      <c r="S28" s="484" t="s">
        <v>122</v>
      </c>
      <c r="T28" s="485"/>
      <c r="U28" s="485"/>
      <c r="V28" s="486"/>
      <c r="W28" s="484" t="s">
        <v>50</v>
      </c>
      <c r="X28" s="485"/>
      <c r="Y28" s="485"/>
      <c r="Z28" s="486"/>
    </row>
    <row r="29" spans="1:31" ht="30" customHeight="1">
      <c r="A29" s="448"/>
      <c r="B29" s="448"/>
      <c r="C29" s="448"/>
      <c r="D29" s="448"/>
      <c r="E29" s="448"/>
      <c r="F29" s="448"/>
      <c r="G29" s="484" t="s">
        <v>90</v>
      </c>
      <c r="H29" s="485"/>
      <c r="I29" s="485"/>
      <c r="J29" s="486"/>
      <c r="K29" s="484" t="s">
        <v>90</v>
      </c>
      <c r="L29" s="485"/>
      <c r="M29" s="485"/>
      <c r="N29" s="486"/>
      <c r="O29" s="484" t="s">
        <v>90</v>
      </c>
      <c r="P29" s="485"/>
      <c r="Q29" s="485"/>
      <c r="R29" s="486"/>
      <c r="S29" s="484" t="s">
        <v>90</v>
      </c>
      <c r="T29" s="485"/>
      <c r="U29" s="485"/>
      <c r="V29" s="486"/>
      <c r="W29" s="484" t="s">
        <v>90</v>
      </c>
      <c r="X29" s="485"/>
      <c r="Y29" s="485"/>
      <c r="Z29" s="486"/>
    </row>
    <row r="30" spans="1:31" ht="39.950000000000003" customHeight="1">
      <c r="A30" s="448"/>
      <c r="B30" s="448"/>
      <c r="C30" s="448"/>
      <c r="D30" s="448"/>
      <c r="E30" s="448"/>
      <c r="F30" s="448"/>
      <c r="G30" s="6" t="s">
        <v>358</v>
      </c>
      <c r="H30" s="6" t="s">
        <v>349</v>
      </c>
      <c r="I30" s="6" t="s">
        <v>350</v>
      </c>
      <c r="J30" s="6" t="s">
        <v>71</v>
      </c>
      <c r="K30" s="6" t="s">
        <v>358</v>
      </c>
      <c r="L30" s="6" t="s">
        <v>349</v>
      </c>
      <c r="M30" s="6" t="s">
        <v>350</v>
      </c>
      <c r="N30" s="6" t="s">
        <v>71</v>
      </c>
      <c r="O30" s="6" t="s">
        <v>358</v>
      </c>
      <c r="P30" s="6" t="s">
        <v>349</v>
      </c>
      <c r="Q30" s="6" t="s">
        <v>350</v>
      </c>
      <c r="R30" s="6" t="s">
        <v>71</v>
      </c>
      <c r="S30" s="6" t="s">
        <v>358</v>
      </c>
      <c r="T30" s="6" t="s">
        <v>349</v>
      </c>
      <c r="U30" s="6" t="s">
        <v>350</v>
      </c>
      <c r="V30" s="6" t="s">
        <v>71</v>
      </c>
      <c r="W30" s="6" t="s">
        <v>358</v>
      </c>
      <c r="X30" s="6" t="s">
        <v>349</v>
      </c>
      <c r="Y30" s="6" t="s">
        <v>350</v>
      </c>
      <c r="Z30" s="6" t="s">
        <v>71</v>
      </c>
    </row>
    <row r="31" spans="1:31" ht="18" customHeight="1">
      <c r="A31" s="6">
        <v>1</v>
      </c>
      <c r="B31" s="448">
        <v>2</v>
      </c>
      <c r="C31" s="448"/>
      <c r="D31" s="448"/>
      <c r="E31" s="448"/>
      <c r="F31" s="448"/>
      <c r="G31" s="6">
        <v>3</v>
      </c>
      <c r="H31" s="79">
        <v>4</v>
      </c>
      <c r="I31" s="79">
        <v>5</v>
      </c>
      <c r="J31" s="80">
        <v>6</v>
      </c>
      <c r="K31" s="80">
        <v>7</v>
      </c>
      <c r="L31" s="80">
        <v>8</v>
      </c>
      <c r="M31" s="81">
        <v>9</v>
      </c>
      <c r="N31" s="6">
        <v>10</v>
      </c>
      <c r="O31" s="79">
        <v>11</v>
      </c>
      <c r="P31" s="80">
        <v>12</v>
      </c>
      <c r="Q31" s="80">
        <v>13</v>
      </c>
      <c r="R31" s="81">
        <v>14</v>
      </c>
      <c r="S31" s="6">
        <v>15</v>
      </c>
      <c r="T31" s="79">
        <v>16</v>
      </c>
      <c r="U31" s="80">
        <v>17</v>
      </c>
      <c r="V31" s="80">
        <v>18</v>
      </c>
      <c r="W31" s="80">
        <v>19</v>
      </c>
      <c r="X31" s="81">
        <v>20</v>
      </c>
      <c r="Y31" s="6">
        <v>21</v>
      </c>
      <c r="Z31" s="5">
        <v>22</v>
      </c>
    </row>
    <row r="32" spans="1:31" ht="20.100000000000001" customHeight="1">
      <c r="A32" s="74"/>
      <c r="B32" s="546"/>
      <c r="C32" s="546"/>
      <c r="D32" s="546"/>
      <c r="E32" s="546"/>
      <c r="F32" s="546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78">
        <f t="shared" ref="W32:Z35" si="0">SUM(G32,K32,O32,S32)</f>
        <v>0</v>
      </c>
      <c r="X32" s="78">
        <f t="shared" si="0"/>
        <v>0</v>
      </c>
      <c r="Y32" s="78">
        <f t="shared" si="0"/>
        <v>0</v>
      </c>
      <c r="Z32" s="78">
        <f t="shared" si="0"/>
        <v>0</v>
      </c>
    </row>
    <row r="33" spans="1:31" ht="20.100000000000001" customHeight="1">
      <c r="A33" s="74"/>
      <c r="B33" s="546"/>
      <c r="C33" s="546"/>
      <c r="D33" s="546"/>
      <c r="E33" s="546"/>
      <c r="F33" s="546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78">
        <f t="shared" si="0"/>
        <v>0</v>
      </c>
      <c r="X33" s="78">
        <f t="shared" si="0"/>
        <v>0</v>
      </c>
      <c r="Y33" s="78">
        <f t="shared" si="0"/>
        <v>0</v>
      </c>
      <c r="Z33" s="78">
        <f t="shared" si="0"/>
        <v>0</v>
      </c>
    </row>
    <row r="34" spans="1:31" ht="20.100000000000001" customHeight="1">
      <c r="A34" s="74"/>
      <c r="B34" s="546"/>
      <c r="C34" s="546"/>
      <c r="D34" s="546"/>
      <c r="E34" s="546"/>
      <c r="F34" s="546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78">
        <f t="shared" si="0"/>
        <v>0</v>
      </c>
      <c r="X34" s="78">
        <f t="shared" si="0"/>
        <v>0</v>
      </c>
      <c r="Y34" s="78">
        <f t="shared" si="0"/>
        <v>0</v>
      </c>
      <c r="Z34" s="78">
        <f t="shared" si="0"/>
        <v>0</v>
      </c>
    </row>
    <row r="35" spans="1:31" ht="20.100000000000001" customHeight="1">
      <c r="A35" s="74"/>
      <c r="B35" s="546"/>
      <c r="C35" s="546"/>
      <c r="D35" s="546"/>
      <c r="E35" s="546"/>
      <c r="F35" s="546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78">
        <f t="shared" si="0"/>
        <v>0</v>
      </c>
      <c r="X35" s="78">
        <f t="shared" si="0"/>
        <v>0</v>
      </c>
      <c r="Y35" s="78">
        <f t="shared" si="0"/>
        <v>0</v>
      </c>
      <c r="Z35" s="78">
        <f t="shared" si="0"/>
        <v>0</v>
      </c>
    </row>
    <row r="36" spans="1:31" ht="20.100000000000001" customHeight="1">
      <c r="A36" s="562" t="s">
        <v>50</v>
      </c>
      <c r="B36" s="563"/>
      <c r="C36" s="563"/>
      <c r="D36" s="563"/>
      <c r="E36" s="563"/>
      <c r="F36" s="564"/>
      <c r="G36" s="78">
        <f t="shared" ref="G36:Z36" si="1">SUM(G32:G35)</f>
        <v>0</v>
      </c>
      <c r="H36" s="78">
        <f t="shared" si="1"/>
        <v>0</v>
      </c>
      <c r="I36" s="78">
        <f t="shared" si="1"/>
        <v>0</v>
      </c>
      <c r="J36" s="78">
        <f t="shared" si="1"/>
        <v>0</v>
      </c>
      <c r="K36" s="78">
        <f t="shared" si="1"/>
        <v>0</v>
      </c>
      <c r="L36" s="78">
        <f t="shared" si="1"/>
        <v>0</v>
      </c>
      <c r="M36" s="78">
        <f t="shared" si="1"/>
        <v>0</v>
      </c>
      <c r="N36" s="78">
        <f t="shared" si="1"/>
        <v>0</v>
      </c>
      <c r="O36" s="78">
        <f t="shared" si="1"/>
        <v>0</v>
      </c>
      <c r="P36" s="78">
        <f t="shared" si="1"/>
        <v>0</v>
      </c>
      <c r="Q36" s="78">
        <f t="shared" si="1"/>
        <v>0</v>
      </c>
      <c r="R36" s="78">
        <f t="shared" si="1"/>
        <v>0</v>
      </c>
      <c r="S36" s="78">
        <f t="shared" si="1"/>
        <v>0</v>
      </c>
      <c r="T36" s="78">
        <f t="shared" si="1"/>
        <v>0</v>
      </c>
      <c r="U36" s="78">
        <f t="shared" si="1"/>
        <v>0</v>
      </c>
      <c r="V36" s="78">
        <f t="shared" si="1"/>
        <v>0</v>
      </c>
      <c r="W36" s="78">
        <f t="shared" si="1"/>
        <v>0</v>
      </c>
      <c r="X36" s="78">
        <f t="shared" si="1"/>
        <v>0</v>
      </c>
      <c r="Y36" s="78">
        <f t="shared" si="1"/>
        <v>0</v>
      </c>
      <c r="Z36" s="78">
        <f t="shared" si="1"/>
        <v>0</v>
      </c>
    </row>
    <row r="37" spans="1:31" ht="20.100000000000001" customHeight="1">
      <c r="A37" s="551" t="s">
        <v>51</v>
      </c>
      <c r="B37" s="552"/>
      <c r="C37" s="552"/>
      <c r="D37" s="552"/>
      <c r="E37" s="552"/>
      <c r="F37" s="553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</row>
    <row r="38" spans="1:31" ht="20.100000000000001" customHeight="1">
      <c r="A38" s="45"/>
      <c r="B38" s="45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45"/>
      <c r="T38" s="45"/>
      <c r="U38" s="45"/>
      <c r="V38" s="45"/>
      <c r="W38" s="73"/>
      <c r="X38" s="45"/>
      <c r="Y38" s="45"/>
      <c r="Z38" s="45"/>
      <c r="AA38" s="45"/>
    </row>
    <row r="39" spans="1:31" ht="20.100000000000001" customHeight="1">
      <c r="A39" s="12"/>
      <c r="B39" s="12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</row>
    <row r="40" spans="1:31" s="33" customFormat="1" ht="20.100000000000001" customHeight="1">
      <c r="B40" s="33" t="s">
        <v>236</v>
      </c>
    </row>
    <row r="41" spans="1:31" s="59" customFormat="1" ht="20.100000000000001" customHeight="1">
      <c r="A41" s="1"/>
      <c r="B41" s="1"/>
      <c r="C41" s="1"/>
      <c r="D41" s="1"/>
      <c r="E41" s="1"/>
      <c r="F41" s="1"/>
      <c r="G41" s="1"/>
      <c r="H41" s="1"/>
      <c r="I41" s="1"/>
      <c r="K41" s="1"/>
      <c r="AD41" s="58" t="s">
        <v>231</v>
      </c>
    </row>
    <row r="42" spans="1:31" s="60" customFormat="1" ht="34.5" customHeight="1">
      <c r="A42" s="444" t="s">
        <v>203</v>
      </c>
      <c r="B42" s="448" t="s">
        <v>284</v>
      </c>
      <c r="C42" s="448" t="s">
        <v>315</v>
      </c>
      <c r="D42" s="448"/>
      <c r="E42" s="448" t="s">
        <v>204</v>
      </c>
      <c r="F42" s="448"/>
      <c r="G42" s="448" t="s">
        <v>205</v>
      </c>
      <c r="H42" s="448"/>
      <c r="I42" s="448" t="s">
        <v>276</v>
      </c>
      <c r="J42" s="448"/>
      <c r="K42" s="448" t="s">
        <v>131</v>
      </c>
      <c r="L42" s="448"/>
      <c r="M42" s="448"/>
      <c r="N42" s="448"/>
      <c r="O42" s="448"/>
      <c r="P42" s="448"/>
      <c r="Q42" s="448"/>
      <c r="R42" s="448"/>
      <c r="S42" s="448"/>
      <c r="T42" s="448"/>
      <c r="U42" s="448" t="s">
        <v>316</v>
      </c>
      <c r="V42" s="448"/>
      <c r="W42" s="448"/>
      <c r="X42" s="448"/>
      <c r="Y42" s="448"/>
      <c r="Z42" s="448" t="s">
        <v>280</v>
      </c>
      <c r="AA42" s="448"/>
      <c r="AB42" s="448"/>
      <c r="AC42" s="448"/>
      <c r="AD42" s="448"/>
      <c r="AE42" s="448"/>
    </row>
    <row r="43" spans="1:31" s="60" customFormat="1" ht="52.5" customHeight="1">
      <c r="A43" s="444"/>
      <c r="B43" s="448"/>
      <c r="C43" s="448"/>
      <c r="D43" s="448"/>
      <c r="E43" s="448"/>
      <c r="F43" s="448"/>
      <c r="G43" s="448"/>
      <c r="H43" s="448"/>
      <c r="I43" s="448"/>
      <c r="J43" s="448"/>
      <c r="K43" s="448" t="s">
        <v>328</v>
      </c>
      <c r="L43" s="448"/>
      <c r="M43" s="448" t="s">
        <v>329</v>
      </c>
      <c r="N43" s="448"/>
      <c r="O43" s="448" t="s">
        <v>314</v>
      </c>
      <c r="P43" s="448"/>
      <c r="Q43" s="448"/>
      <c r="R43" s="448"/>
      <c r="S43" s="448"/>
      <c r="T43" s="448"/>
      <c r="U43" s="448"/>
      <c r="V43" s="448"/>
      <c r="W43" s="448"/>
      <c r="X43" s="448"/>
      <c r="Y43" s="448"/>
      <c r="Z43" s="448"/>
      <c r="AA43" s="448"/>
      <c r="AB43" s="448"/>
      <c r="AC43" s="448"/>
      <c r="AD43" s="448"/>
      <c r="AE43" s="448"/>
    </row>
    <row r="44" spans="1:31" s="61" customFormat="1" ht="82.5" customHeight="1">
      <c r="A44" s="444"/>
      <c r="B44" s="448"/>
      <c r="C44" s="448"/>
      <c r="D44" s="448"/>
      <c r="E44" s="448"/>
      <c r="F44" s="448"/>
      <c r="G44" s="448"/>
      <c r="H44" s="448"/>
      <c r="I44" s="448"/>
      <c r="J44" s="448"/>
      <c r="K44" s="448"/>
      <c r="L44" s="448"/>
      <c r="M44" s="448"/>
      <c r="N44" s="448"/>
      <c r="O44" s="448" t="s">
        <v>277</v>
      </c>
      <c r="P44" s="448"/>
      <c r="Q44" s="448" t="s">
        <v>278</v>
      </c>
      <c r="R44" s="448"/>
      <c r="S44" s="448" t="s">
        <v>279</v>
      </c>
      <c r="T44" s="448"/>
      <c r="U44" s="448"/>
      <c r="V44" s="448"/>
      <c r="W44" s="448"/>
      <c r="X44" s="448"/>
      <c r="Y44" s="448"/>
      <c r="Z44" s="448"/>
      <c r="AA44" s="448"/>
      <c r="AB44" s="448"/>
      <c r="AC44" s="448"/>
      <c r="AD44" s="448"/>
      <c r="AE44" s="448"/>
    </row>
    <row r="45" spans="1:31" s="60" customFormat="1" ht="18" customHeight="1">
      <c r="A45" s="5">
        <v>1</v>
      </c>
      <c r="B45" s="6">
        <v>2</v>
      </c>
      <c r="C45" s="448">
        <v>3</v>
      </c>
      <c r="D45" s="448"/>
      <c r="E45" s="448">
        <v>4</v>
      </c>
      <c r="F45" s="448"/>
      <c r="G45" s="448">
        <v>5</v>
      </c>
      <c r="H45" s="448"/>
      <c r="I45" s="448">
        <v>6</v>
      </c>
      <c r="J45" s="448"/>
      <c r="K45" s="484">
        <v>7</v>
      </c>
      <c r="L45" s="486"/>
      <c r="M45" s="484">
        <v>8</v>
      </c>
      <c r="N45" s="486"/>
      <c r="O45" s="448">
        <v>9</v>
      </c>
      <c r="P45" s="448"/>
      <c r="Q45" s="444">
        <v>10</v>
      </c>
      <c r="R45" s="444"/>
      <c r="S45" s="448">
        <v>11</v>
      </c>
      <c r="T45" s="448"/>
      <c r="U45" s="448">
        <v>12</v>
      </c>
      <c r="V45" s="448"/>
      <c r="W45" s="448"/>
      <c r="X45" s="448"/>
      <c r="Y45" s="448"/>
      <c r="Z45" s="448">
        <v>13</v>
      </c>
      <c r="AA45" s="448"/>
      <c r="AB45" s="448"/>
      <c r="AC45" s="448"/>
      <c r="AD45" s="448"/>
      <c r="AE45" s="448"/>
    </row>
    <row r="46" spans="1:31" s="60" customFormat="1" ht="20.100000000000001" customHeight="1">
      <c r="A46" s="181"/>
      <c r="B46" s="182"/>
      <c r="C46" s="565"/>
      <c r="D46" s="565"/>
      <c r="E46" s="473"/>
      <c r="F46" s="473"/>
      <c r="G46" s="473"/>
      <c r="H46" s="473"/>
      <c r="I46" s="473"/>
      <c r="J46" s="473"/>
      <c r="K46" s="474"/>
      <c r="L46" s="475"/>
      <c r="M46" s="540">
        <f t="shared" ref="M46:M52" si="2">SUM(O46,Q46,S46)</f>
        <v>0</v>
      </c>
      <c r="N46" s="542"/>
      <c r="O46" s="473"/>
      <c r="P46" s="473"/>
      <c r="Q46" s="473"/>
      <c r="R46" s="473"/>
      <c r="S46" s="473"/>
      <c r="T46" s="473"/>
      <c r="U46" s="479"/>
      <c r="V46" s="479"/>
      <c r="W46" s="479"/>
      <c r="X46" s="479"/>
      <c r="Y46" s="479"/>
      <c r="Z46" s="546"/>
      <c r="AA46" s="546"/>
      <c r="AB46" s="546"/>
      <c r="AC46" s="546"/>
      <c r="AD46" s="546"/>
      <c r="AE46" s="546"/>
    </row>
    <row r="47" spans="1:31" s="60" customFormat="1" ht="20.100000000000001" customHeight="1">
      <c r="A47" s="181"/>
      <c r="B47" s="182"/>
      <c r="C47" s="565"/>
      <c r="D47" s="565"/>
      <c r="E47" s="473"/>
      <c r="F47" s="473"/>
      <c r="G47" s="473"/>
      <c r="H47" s="473"/>
      <c r="I47" s="473"/>
      <c r="J47" s="473"/>
      <c r="K47" s="474"/>
      <c r="L47" s="475"/>
      <c r="M47" s="540">
        <f t="shared" si="2"/>
        <v>0</v>
      </c>
      <c r="N47" s="542"/>
      <c r="O47" s="473"/>
      <c r="P47" s="473"/>
      <c r="Q47" s="473"/>
      <c r="R47" s="473"/>
      <c r="S47" s="473"/>
      <c r="T47" s="473"/>
      <c r="U47" s="479"/>
      <c r="V47" s="479"/>
      <c r="W47" s="479"/>
      <c r="X47" s="479"/>
      <c r="Y47" s="479"/>
      <c r="Z47" s="546"/>
      <c r="AA47" s="546"/>
      <c r="AB47" s="546"/>
      <c r="AC47" s="546"/>
      <c r="AD47" s="546"/>
      <c r="AE47" s="546"/>
    </row>
    <row r="48" spans="1:31" s="60" customFormat="1" ht="20.100000000000001" customHeight="1">
      <c r="A48" s="181"/>
      <c r="B48" s="182"/>
      <c r="C48" s="565"/>
      <c r="D48" s="565"/>
      <c r="E48" s="473"/>
      <c r="F48" s="473"/>
      <c r="G48" s="473"/>
      <c r="H48" s="473"/>
      <c r="I48" s="473"/>
      <c r="J48" s="473"/>
      <c r="K48" s="474"/>
      <c r="L48" s="475"/>
      <c r="M48" s="540">
        <f t="shared" si="2"/>
        <v>0</v>
      </c>
      <c r="N48" s="542"/>
      <c r="O48" s="473"/>
      <c r="P48" s="473"/>
      <c r="Q48" s="473"/>
      <c r="R48" s="473"/>
      <c r="S48" s="473"/>
      <c r="T48" s="473"/>
      <c r="U48" s="479"/>
      <c r="V48" s="479"/>
      <c r="W48" s="479"/>
      <c r="X48" s="479"/>
      <c r="Y48" s="479"/>
      <c r="Z48" s="546"/>
      <c r="AA48" s="546"/>
      <c r="AB48" s="546"/>
      <c r="AC48" s="546"/>
      <c r="AD48" s="546"/>
      <c r="AE48" s="546"/>
    </row>
    <row r="49" spans="1:31" s="60" customFormat="1" ht="20.100000000000001" customHeight="1">
      <c r="A49" s="181"/>
      <c r="B49" s="182"/>
      <c r="C49" s="565"/>
      <c r="D49" s="565"/>
      <c r="E49" s="473"/>
      <c r="F49" s="473"/>
      <c r="G49" s="473"/>
      <c r="H49" s="473"/>
      <c r="I49" s="473"/>
      <c r="J49" s="473"/>
      <c r="K49" s="474"/>
      <c r="L49" s="475"/>
      <c r="M49" s="540">
        <f>SUM(O49,Q49,S49)</f>
        <v>0</v>
      </c>
      <c r="N49" s="542"/>
      <c r="O49" s="473"/>
      <c r="P49" s="473"/>
      <c r="Q49" s="473"/>
      <c r="R49" s="473"/>
      <c r="S49" s="473"/>
      <c r="T49" s="473"/>
      <c r="U49" s="479"/>
      <c r="V49" s="479"/>
      <c r="W49" s="479"/>
      <c r="X49" s="479"/>
      <c r="Y49" s="479"/>
      <c r="Z49" s="546"/>
      <c r="AA49" s="546"/>
      <c r="AB49" s="546"/>
      <c r="AC49" s="546"/>
      <c r="AD49" s="546"/>
      <c r="AE49" s="546"/>
    </row>
    <row r="50" spans="1:31" s="60" customFormat="1" ht="20.100000000000001" customHeight="1">
      <c r="A50" s="181"/>
      <c r="B50" s="182"/>
      <c r="C50" s="565"/>
      <c r="D50" s="565"/>
      <c r="E50" s="473"/>
      <c r="F50" s="473"/>
      <c r="G50" s="473"/>
      <c r="H50" s="473"/>
      <c r="I50" s="473"/>
      <c r="J50" s="473"/>
      <c r="K50" s="474"/>
      <c r="L50" s="475"/>
      <c r="M50" s="540">
        <f t="shared" si="2"/>
        <v>0</v>
      </c>
      <c r="N50" s="542"/>
      <c r="O50" s="473"/>
      <c r="P50" s="473"/>
      <c r="Q50" s="473"/>
      <c r="R50" s="473"/>
      <c r="S50" s="473"/>
      <c r="T50" s="473"/>
      <c r="U50" s="479"/>
      <c r="V50" s="479"/>
      <c r="W50" s="479"/>
      <c r="X50" s="479"/>
      <c r="Y50" s="479"/>
      <c r="Z50" s="546"/>
      <c r="AA50" s="546"/>
      <c r="AB50" s="546"/>
      <c r="AC50" s="546"/>
      <c r="AD50" s="546"/>
      <c r="AE50" s="546"/>
    </row>
    <row r="51" spans="1:31" s="60" customFormat="1" ht="20.100000000000001" customHeight="1">
      <c r="A51" s="181"/>
      <c r="B51" s="182"/>
      <c r="C51" s="565"/>
      <c r="D51" s="565"/>
      <c r="E51" s="473"/>
      <c r="F51" s="473"/>
      <c r="G51" s="473"/>
      <c r="H51" s="473"/>
      <c r="I51" s="473"/>
      <c r="J51" s="473"/>
      <c r="K51" s="474"/>
      <c r="L51" s="475"/>
      <c r="M51" s="540">
        <f t="shared" si="2"/>
        <v>0</v>
      </c>
      <c r="N51" s="542"/>
      <c r="O51" s="473"/>
      <c r="P51" s="473"/>
      <c r="Q51" s="473"/>
      <c r="R51" s="473"/>
      <c r="S51" s="473"/>
      <c r="T51" s="473"/>
      <c r="U51" s="479"/>
      <c r="V51" s="479"/>
      <c r="W51" s="479"/>
      <c r="X51" s="479"/>
      <c r="Y51" s="479"/>
      <c r="Z51" s="546"/>
      <c r="AA51" s="546"/>
      <c r="AB51" s="546"/>
      <c r="AC51" s="546"/>
      <c r="AD51" s="546"/>
      <c r="AE51" s="546"/>
    </row>
    <row r="52" spans="1:31" s="60" customFormat="1" ht="20.100000000000001" customHeight="1">
      <c r="A52" s="181"/>
      <c r="B52" s="182"/>
      <c r="C52" s="565"/>
      <c r="D52" s="565"/>
      <c r="E52" s="473"/>
      <c r="F52" s="473"/>
      <c r="G52" s="473"/>
      <c r="H52" s="473"/>
      <c r="I52" s="473"/>
      <c r="J52" s="473"/>
      <c r="K52" s="474"/>
      <c r="L52" s="475"/>
      <c r="M52" s="540">
        <f t="shared" si="2"/>
        <v>0</v>
      </c>
      <c r="N52" s="542"/>
      <c r="O52" s="473"/>
      <c r="P52" s="473"/>
      <c r="Q52" s="473"/>
      <c r="R52" s="473"/>
      <c r="S52" s="473"/>
      <c r="T52" s="473"/>
      <c r="U52" s="479"/>
      <c r="V52" s="479"/>
      <c r="W52" s="479"/>
      <c r="X52" s="479"/>
      <c r="Y52" s="479"/>
      <c r="Z52" s="546"/>
      <c r="AA52" s="546"/>
      <c r="AB52" s="546"/>
      <c r="AC52" s="546"/>
      <c r="AD52" s="546"/>
      <c r="AE52" s="546"/>
    </row>
    <row r="53" spans="1:31" s="60" customFormat="1" ht="20.100000000000001" customHeight="1">
      <c r="A53" s="551" t="s">
        <v>50</v>
      </c>
      <c r="B53" s="552"/>
      <c r="C53" s="552"/>
      <c r="D53" s="553"/>
      <c r="E53" s="556">
        <f>SUM(E46:F52)</f>
        <v>0</v>
      </c>
      <c r="F53" s="556"/>
      <c r="G53" s="556">
        <f>SUM(G46:H52)</f>
        <v>0</v>
      </c>
      <c r="H53" s="556"/>
      <c r="I53" s="556">
        <f>SUM(I46:J52)</f>
        <v>0</v>
      </c>
      <c r="J53" s="556"/>
      <c r="K53" s="556">
        <f>SUM(K46:L52)</f>
        <v>0</v>
      </c>
      <c r="L53" s="556"/>
      <c r="M53" s="556">
        <f>SUM(M46:N52)</f>
        <v>0</v>
      </c>
      <c r="N53" s="556"/>
      <c r="O53" s="556">
        <f>SUM(O46:P52)</f>
        <v>0</v>
      </c>
      <c r="P53" s="556"/>
      <c r="Q53" s="556">
        <f>SUM(Q46:R52)</f>
        <v>0</v>
      </c>
      <c r="R53" s="556"/>
      <c r="S53" s="556">
        <f>SUM(S46:T52)</f>
        <v>0</v>
      </c>
      <c r="T53" s="556"/>
      <c r="U53" s="547"/>
      <c r="V53" s="547"/>
      <c r="W53" s="547"/>
      <c r="X53" s="547"/>
      <c r="Y53" s="547"/>
      <c r="Z53" s="550"/>
      <c r="AA53" s="550"/>
      <c r="AB53" s="550"/>
      <c r="AC53" s="550"/>
      <c r="AD53" s="550"/>
      <c r="AE53" s="550"/>
    </row>
    <row r="54" spans="1:31" ht="20.100000000000001" customHeight="1">
      <c r="A54" s="12"/>
      <c r="B54" s="12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</row>
    <row r="55" spans="1:31" ht="20.100000000000001" customHeight="1">
      <c r="A55" s="375"/>
      <c r="B55" s="375"/>
      <c r="C55" s="376"/>
      <c r="D55" s="376"/>
      <c r="E55" s="376"/>
      <c r="F55" s="376"/>
      <c r="G55" s="376"/>
      <c r="H55" s="376"/>
      <c r="I55" s="376"/>
      <c r="J55" s="376"/>
      <c r="K55" s="376"/>
      <c r="L55" s="376"/>
      <c r="M55" s="376"/>
      <c r="N55" s="376"/>
      <c r="O55" s="376"/>
      <c r="P55" s="376"/>
      <c r="Q55" s="376"/>
      <c r="R55" s="376"/>
      <c r="S55" s="376"/>
      <c r="T55" s="376"/>
      <c r="U55" s="376"/>
      <c r="V55" s="131"/>
      <c r="W55" s="131"/>
      <c r="X55" s="131"/>
      <c r="Y55" s="131"/>
      <c r="Z55" s="131"/>
      <c r="AA55" s="131"/>
      <c r="AB55" s="131"/>
    </row>
    <row r="56" spans="1:31" s="3" customFormat="1" ht="20.100000000000001" customHeight="1">
      <c r="A56" s="371"/>
      <c r="B56" s="371"/>
      <c r="C56" s="57"/>
      <c r="D56" s="57"/>
      <c r="E56" s="57"/>
      <c r="F56" s="57"/>
      <c r="G56" s="57"/>
      <c r="H56" s="57"/>
      <c r="I56" s="57"/>
      <c r="J56" s="57"/>
      <c r="K56" s="57"/>
      <c r="L56" s="371"/>
      <c r="M56" s="371"/>
      <c r="N56" s="371"/>
      <c r="O56" s="371"/>
      <c r="P56" s="371"/>
      <c r="Q56" s="371"/>
      <c r="R56" s="371"/>
      <c r="S56" s="371"/>
      <c r="T56" s="371"/>
      <c r="U56" s="371"/>
      <c r="V56" s="371"/>
      <c r="W56" s="371"/>
      <c r="X56" s="371"/>
      <c r="Y56" s="371"/>
      <c r="Z56" s="371"/>
      <c r="AA56" s="371"/>
      <c r="AB56" s="371"/>
    </row>
    <row r="57" spans="1:31" s="28" customFormat="1" ht="20.100000000000001" customHeight="1">
      <c r="A57" s="377"/>
      <c r="B57" s="566" t="s">
        <v>241</v>
      </c>
      <c r="C57" s="567"/>
      <c r="D57" s="567"/>
      <c r="E57" s="567"/>
      <c r="F57" s="567"/>
      <c r="G57" s="378"/>
      <c r="H57" s="378"/>
      <c r="I57" s="378"/>
      <c r="J57" s="378"/>
      <c r="K57" s="378"/>
      <c r="L57" s="568" t="s">
        <v>242</v>
      </c>
      <c r="M57" s="568"/>
      <c r="N57" s="568"/>
      <c r="O57" s="568"/>
      <c r="P57" s="568"/>
      <c r="Q57" s="379"/>
      <c r="R57" s="379"/>
      <c r="S57" s="379"/>
      <c r="T57" s="379"/>
      <c r="U57" s="379"/>
      <c r="V57" s="548" t="s">
        <v>398</v>
      </c>
      <c r="W57" s="549"/>
      <c r="X57" s="549"/>
      <c r="Y57" s="549"/>
      <c r="Z57" s="549"/>
      <c r="AA57" s="377"/>
      <c r="AB57" s="377"/>
    </row>
    <row r="58" spans="1:31" s="3" customFormat="1" ht="19.5" customHeight="1">
      <c r="A58" s="371"/>
      <c r="B58" s="380"/>
      <c r="C58" s="371" t="s">
        <v>69</v>
      </c>
      <c r="D58" s="371"/>
      <c r="E58" s="144"/>
      <c r="F58" s="144"/>
      <c r="G58" s="144"/>
      <c r="H58" s="144"/>
      <c r="I58" s="144"/>
      <c r="J58" s="144"/>
      <c r="K58" s="144"/>
      <c r="L58" s="371"/>
      <c r="M58" s="380"/>
      <c r="N58" s="370" t="s">
        <v>70</v>
      </c>
      <c r="O58" s="380"/>
      <c r="P58" s="371"/>
      <c r="Q58" s="144"/>
      <c r="R58" s="144"/>
      <c r="S58" s="144"/>
      <c r="T58" s="371"/>
      <c r="U58" s="371"/>
      <c r="V58" s="388" t="s">
        <v>123</v>
      </c>
      <c r="W58" s="388"/>
      <c r="X58" s="388"/>
      <c r="Y58" s="388"/>
      <c r="Z58" s="388"/>
      <c r="AA58" s="371"/>
      <c r="AB58" s="371"/>
    </row>
    <row r="59" spans="1:31" ht="20.100000000000001" customHeight="1">
      <c r="A59" s="131"/>
      <c r="B59" s="381"/>
      <c r="C59" s="381"/>
      <c r="D59" s="381"/>
      <c r="E59" s="381"/>
      <c r="F59" s="381"/>
      <c r="G59" s="381"/>
      <c r="H59" s="382"/>
      <c r="I59" s="382"/>
      <c r="J59" s="382"/>
      <c r="K59" s="382"/>
      <c r="L59" s="382"/>
      <c r="M59" s="382"/>
      <c r="N59" s="382"/>
      <c r="O59" s="382"/>
      <c r="P59" s="382"/>
      <c r="Q59" s="382"/>
      <c r="R59" s="382"/>
      <c r="S59" s="382"/>
      <c r="T59" s="381"/>
      <c r="U59" s="381"/>
      <c r="V59" s="131"/>
      <c r="W59" s="131"/>
      <c r="X59" s="131"/>
      <c r="Y59" s="131"/>
      <c r="Z59" s="131"/>
      <c r="AA59" s="131"/>
      <c r="AB59" s="131"/>
    </row>
    <row r="60" spans="1:31" ht="20.100000000000001" customHeight="1">
      <c r="A60" s="131"/>
      <c r="B60" s="381"/>
      <c r="C60" s="381"/>
      <c r="D60" s="381"/>
      <c r="E60" s="381"/>
      <c r="F60" s="381"/>
      <c r="G60" s="381"/>
      <c r="H60" s="381"/>
      <c r="I60" s="381"/>
      <c r="J60" s="381"/>
      <c r="K60" s="381"/>
      <c r="L60" s="381"/>
      <c r="M60" s="381"/>
      <c r="N60" s="381"/>
      <c r="O60" s="381"/>
      <c r="P60" s="381"/>
      <c r="Q60" s="381"/>
      <c r="R60" s="381"/>
      <c r="S60" s="381"/>
      <c r="T60" s="381"/>
      <c r="U60" s="381"/>
      <c r="V60" s="131"/>
      <c r="W60" s="131"/>
      <c r="X60" s="131"/>
      <c r="Y60" s="131"/>
      <c r="Z60" s="131"/>
      <c r="AA60" s="131"/>
      <c r="AB60" s="131"/>
    </row>
    <row r="61" spans="1:31">
      <c r="A61" s="131"/>
      <c r="B61" s="381"/>
      <c r="C61" s="381"/>
      <c r="D61" s="381"/>
      <c r="E61" s="381"/>
      <c r="F61" s="381"/>
      <c r="G61" s="381"/>
      <c r="H61" s="381"/>
      <c r="I61" s="381"/>
      <c r="J61" s="381"/>
      <c r="K61" s="381"/>
      <c r="L61" s="381"/>
      <c r="M61" s="381"/>
      <c r="N61" s="381"/>
      <c r="O61" s="381"/>
      <c r="P61" s="381"/>
      <c r="Q61" s="381"/>
      <c r="R61" s="381"/>
      <c r="S61" s="381"/>
      <c r="T61" s="381"/>
      <c r="U61" s="381"/>
      <c r="V61" s="131"/>
      <c r="W61" s="131"/>
      <c r="X61" s="131"/>
      <c r="Y61" s="131"/>
      <c r="Z61" s="131"/>
      <c r="AA61" s="131"/>
      <c r="AB61" s="131"/>
    </row>
    <row r="62" spans="1:31">
      <c r="B62" s="30"/>
    </row>
    <row r="65" spans="2:2" ht="19.5">
      <c r="B65" s="31"/>
    </row>
    <row r="66" spans="2:2" ht="19.5">
      <c r="B66" s="31"/>
    </row>
    <row r="67" spans="2:2" ht="19.5">
      <c r="B67" s="31"/>
    </row>
    <row r="68" spans="2:2" ht="19.5">
      <c r="B68" s="31"/>
    </row>
    <row r="69" spans="2:2" ht="19.5">
      <c r="B69" s="31"/>
    </row>
    <row r="70" spans="2:2" ht="19.5">
      <c r="B70" s="31"/>
    </row>
    <row r="71" spans="2:2" ht="19.5">
      <c r="B71" s="31"/>
    </row>
  </sheetData>
  <sheetProtection password="C6FB" sheet="1" objects="1" scenarios="1"/>
  <mergeCells count="254">
    <mergeCell ref="G52:H52"/>
    <mergeCell ref="I48:J48"/>
    <mergeCell ref="I47:J47"/>
    <mergeCell ref="B57:F57"/>
    <mergeCell ref="M52:N52"/>
    <mergeCell ref="E53:F53"/>
    <mergeCell ref="I53:J53"/>
    <mergeCell ref="L57:P57"/>
    <mergeCell ref="K52:L52"/>
    <mergeCell ref="I52:J52"/>
    <mergeCell ref="O53:P53"/>
    <mergeCell ref="M53:N53"/>
    <mergeCell ref="A53:D53"/>
    <mergeCell ref="C52:D52"/>
    <mergeCell ref="G53:H53"/>
    <mergeCell ref="E52:F52"/>
    <mergeCell ref="K53:L53"/>
    <mergeCell ref="C48:D48"/>
    <mergeCell ref="E48:F48"/>
    <mergeCell ref="C50:D50"/>
    <mergeCell ref="G48:H48"/>
    <mergeCell ref="G47:H47"/>
    <mergeCell ref="G49:H49"/>
    <mergeCell ref="C47:D47"/>
    <mergeCell ref="I51:J51"/>
    <mergeCell ref="C46:D46"/>
    <mergeCell ref="E46:F46"/>
    <mergeCell ref="C51:D51"/>
    <mergeCell ref="C49:D49"/>
    <mergeCell ref="E49:F49"/>
    <mergeCell ref="Q19:U19"/>
    <mergeCell ref="A28:A30"/>
    <mergeCell ref="C21:F21"/>
    <mergeCell ref="Q50:R50"/>
    <mergeCell ref="S51:T51"/>
    <mergeCell ref="G51:H51"/>
    <mergeCell ref="S50:T50"/>
    <mergeCell ref="S46:T46"/>
    <mergeCell ref="Q47:R47"/>
    <mergeCell ref="Q46:R46"/>
    <mergeCell ref="M49:N49"/>
    <mergeCell ref="M47:N47"/>
    <mergeCell ref="M48:N48"/>
    <mergeCell ref="I45:J45"/>
    <mergeCell ref="K48:L48"/>
    <mergeCell ref="K47:L47"/>
    <mergeCell ref="K49:L49"/>
    <mergeCell ref="S28:V28"/>
    <mergeCell ref="B15:B17"/>
    <mergeCell ref="M46:N46"/>
    <mergeCell ref="E45:F45"/>
    <mergeCell ref="I46:J46"/>
    <mergeCell ref="K46:L46"/>
    <mergeCell ref="G22:P22"/>
    <mergeCell ref="G46:H46"/>
    <mergeCell ref="G20:P20"/>
    <mergeCell ref="K29:N29"/>
    <mergeCell ref="C45:D45"/>
    <mergeCell ref="G45:H45"/>
    <mergeCell ref="B28:F30"/>
    <mergeCell ref="B32:F32"/>
    <mergeCell ref="B33:F33"/>
    <mergeCell ref="B34:F34"/>
    <mergeCell ref="A36:F36"/>
    <mergeCell ref="B42:B44"/>
    <mergeCell ref="C22:F22"/>
    <mergeCell ref="A42:A44"/>
    <mergeCell ref="M43:N44"/>
    <mergeCell ref="K28:N28"/>
    <mergeCell ref="O28:R28"/>
    <mergeCell ref="K45:L45"/>
    <mergeCell ref="G42:H44"/>
    <mergeCell ref="S53:T53"/>
    <mergeCell ref="Q53:R53"/>
    <mergeCell ref="O52:P52"/>
    <mergeCell ref="AD23:AE23"/>
    <mergeCell ref="V23:W23"/>
    <mergeCell ref="G21:P21"/>
    <mergeCell ref="Z51:AE51"/>
    <mergeCell ref="G50:H50"/>
    <mergeCell ref="Q44:R44"/>
    <mergeCell ref="O47:P47"/>
    <mergeCell ref="S52:T52"/>
    <mergeCell ref="Q52:R52"/>
    <mergeCell ref="U50:Y50"/>
    <mergeCell ref="U51:Y51"/>
    <mergeCell ref="Q51:R51"/>
    <mergeCell ref="S48:T48"/>
    <mergeCell ref="U48:Y48"/>
    <mergeCell ref="S49:T49"/>
    <mergeCell ref="Q49:R49"/>
    <mergeCell ref="Q48:R48"/>
    <mergeCell ref="U46:Y46"/>
    <mergeCell ref="Z47:AE47"/>
    <mergeCell ref="S47:T47"/>
    <mergeCell ref="U47:Y47"/>
    <mergeCell ref="AB1:AE1"/>
    <mergeCell ref="Z11:AB11"/>
    <mergeCell ref="V15:AE15"/>
    <mergeCell ref="Z22:AA22"/>
    <mergeCell ref="AB21:AC21"/>
    <mergeCell ref="M45:N45"/>
    <mergeCell ref="K42:T42"/>
    <mergeCell ref="S44:T44"/>
    <mergeCell ref="K43:L44"/>
    <mergeCell ref="O43:T43"/>
    <mergeCell ref="M11:P11"/>
    <mergeCell ref="M10:P10"/>
    <mergeCell ref="A11:L11"/>
    <mergeCell ref="G10:L10"/>
    <mergeCell ref="Q15:U17"/>
    <mergeCell ref="AB23:AC23"/>
    <mergeCell ref="W29:Z29"/>
    <mergeCell ref="Z42:AE44"/>
    <mergeCell ref="U42:Y44"/>
    <mergeCell ref="AB18:AC18"/>
    <mergeCell ref="AB19:AC19"/>
    <mergeCell ref="AD19:AE19"/>
    <mergeCell ref="Z19:AA19"/>
    <mergeCell ref="AD20:AE20"/>
    <mergeCell ref="U45:Y45"/>
    <mergeCell ref="W28:Z28"/>
    <mergeCell ref="Z23:AA23"/>
    <mergeCell ref="Q45:R45"/>
    <mergeCell ref="Z21:AA21"/>
    <mergeCell ref="X21:Y21"/>
    <mergeCell ref="Q21:U21"/>
    <mergeCell ref="V21:W21"/>
    <mergeCell ref="O29:R29"/>
    <mergeCell ref="O44:P44"/>
    <mergeCell ref="X23:Y23"/>
    <mergeCell ref="X22:Y22"/>
    <mergeCell ref="V22:W22"/>
    <mergeCell ref="A23:U23"/>
    <mergeCell ref="A15:A17"/>
    <mergeCell ref="O51:P51"/>
    <mergeCell ref="M50:N50"/>
    <mergeCell ref="O50:P50"/>
    <mergeCell ref="G28:J28"/>
    <mergeCell ref="C18:F18"/>
    <mergeCell ref="C19:F19"/>
    <mergeCell ref="C15:F17"/>
    <mergeCell ref="C20:F20"/>
    <mergeCell ref="O46:P46"/>
    <mergeCell ref="K51:L51"/>
    <mergeCell ref="I50:J50"/>
    <mergeCell ref="I49:J49"/>
    <mergeCell ref="K50:L50"/>
    <mergeCell ref="O49:P49"/>
    <mergeCell ref="G19:P19"/>
    <mergeCell ref="O45:P45"/>
    <mergeCell ref="M51:N51"/>
    <mergeCell ref="G29:J29"/>
    <mergeCell ref="G15:P17"/>
    <mergeCell ref="G18:P18"/>
    <mergeCell ref="E51:F51"/>
    <mergeCell ref="E50:F50"/>
    <mergeCell ref="E47:F47"/>
    <mergeCell ref="X18:Y18"/>
    <mergeCell ref="O48:P48"/>
    <mergeCell ref="C42:D44"/>
    <mergeCell ref="E42:F44"/>
    <mergeCell ref="B31:F31"/>
    <mergeCell ref="B35:F35"/>
    <mergeCell ref="V58:Z58"/>
    <mergeCell ref="U53:Y53"/>
    <mergeCell ref="V57:Z57"/>
    <mergeCell ref="U52:Y52"/>
    <mergeCell ref="Z53:AE53"/>
    <mergeCell ref="Z46:AE46"/>
    <mergeCell ref="Z52:AE52"/>
    <mergeCell ref="Z50:AE50"/>
    <mergeCell ref="U49:Y49"/>
    <mergeCell ref="Z49:AE49"/>
    <mergeCell ref="Z48:AE48"/>
    <mergeCell ref="X20:Y20"/>
    <mergeCell ref="Z45:AE45"/>
    <mergeCell ref="S45:T45"/>
    <mergeCell ref="Q20:U20"/>
    <mergeCell ref="I42:J44"/>
    <mergeCell ref="S29:V29"/>
    <mergeCell ref="A37:F37"/>
    <mergeCell ref="C10:F10"/>
    <mergeCell ref="AB22:AC22"/>
    <mergeCell ref="AC6:AE6"/>
    <mergeCell ref="W7:Y7"/>
    <mergeCell ref="AC7:AE7"/>
    <mergeCell ref="Z7:AB7"/>
    <mergeCell ref="AD21:AE21"/>
    <mergeCell ref="AD18:AE18"/>
    <mergeCell ref="Z18:AA18"/>
    <mergeCell ref="V19:W19"/>
    <mergeCell ref="Z9:AB9"/>
    <mergeCell ref="AC10:AE10"/>
    <mergeCell ref="T9:V9"/>
    <mergeCell ref="Q22:U22"/>
    <mergeCell ref="Q10:S10"/>
    <mergeCell ref="W10:Y10"/>
    <mergeCell ref="Q11:S11"/>
    <mergeCell ref="X19:Y19"/>
    <mergeCell ref="Q18:U18"/>
    <mergeCell ref="AD17:AE17"/>
    <mergeCell ref="AB17:AC17"/>
    <mergeCell ref="V20:W20"/>
    <mergeCell ref="AD22:AE22"/>
    <mergeCell ref="V16:W17"/>
    <mergeCell ref="T5:V5"/>
    <mergeCell ref="V18:W18"/>
    <mergeCell ref="X16:AE16"/>
    <mergeCell ref="Z17:AA17"/>
    <mergeCell ref="AB20:AC20"/>
    <mergeCell ref="Z20:AA20"/>
    <mergeCell ref="C7:F7"/>
    <mergeCell ref="G7:L7"/>
    <mergeCell ref="M7:P7"/>
    <mergeCell ref="T10:V10"/>
    <mergeCell ref="X17:Y17"/>
    <mergeCell ref="W11:Y11"/>
    <mergeCell ref="AC11:AE11"/>
    <mergeCell ref="Z10:AB10"/>
    <mergeCell ref="T11:V11"/>
    <mergeCell ref="AC9:AE9"/>
    <mergeCell ref="W9:Y9"/>
    <mergeCell ref="W8:Y8"/>
    <mergeCell ref="G9:L9"/>
    <mergeCell ref="M8:P8"/>
    <mergeCell ref="C8:F8"/>
    <mergeCell ref="M9:P9"/>
    <mergeCell ref="Q9:S9"/>
    <mergeCell ref="C9:F9"/>
    <mergeCell ref="T8:V8"/>
    <mergeCell ref="Q8:S8"/>
    <mergeCell ref="A4:A5"/>
    <mergeCell ref="B4:B5"/>
    <mergeCell ref="C4:F5"/>
    <mergeCell ref="G4:L5"/>
    <mergeCell ref="W5:Y5"/>
    <mergeCell ref="AC8:AE8"/>
    <mergeCell ref="Z8:AB8"/>
    <mergeCell ref="C6:F6"/>
    <mergeCell ref="G6:L6"/>
    <mergeCell ref="Q6:S6"/>
    <mergeCell ref="M4:P5"/>
    <mergeCell ref="Q5:S5"/>
    <mergeCell ref="Q4:AE4"/>
    <mergeCell ref="Z6:AB6"/>
    <mergeCell ref="W6:Y6"/>
    <mergeCell ref="AC5:AE5"/>
    <mergeCell ref="Z5:AB5"/>
    <mergeCell ref="G8:L8"/>
    <mergeCell ref="T7:V7"/>
    <mergeCell ref="Q7:S7"/>
    <mergeCell ref="T6:V6"/>
    <mergeCell ref="M6:P6"/>
  </mergeCells>
  <phoneticPr fontId="3" type="noConversion"/>
  <pageMargins left="1.1811023622047245" right="0.39370078740157483" top="0.78740157480314965" bottom="0.78740157480314965" header="0.27559055118110237" footer="0.31496062992125984"/>
  <pageSetup paperSize="9" scale="35" orientation="landscape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J256"/>
  <sheetViews>
    <sheetView tabSelected="1" view="pageBreakPreview" topLeftCell="A22" zoomScale="75" zoomScaleNormal="75" zoomScaleSheetLayoutView="75" workbookViewId="0">
      <selection activeCell="D83" sqref="D83"/>
    </sheetView>
  </sheetViews>
  <sheetFormatPr defaultRowHeight="18.75"/>
  <cols>
    <col min="1" max="1" width="45.42578125" style="2" customWidth="1"/>
    <col min="2" max="2" width="16.85546875" style="21" customWidth="1"/>
    <col min="3" max="3" width="14.5703125" style="21" customWidth="1"/>
    <col min="4" max="5" width="15.5703125" style="21" customWidth="1"/>
    <col min="6" max="6" width="14.5703125" style="21" customWidth="1"/>
    <col min="7" max="7" width="13.7109375" style="2" customWidth="1"/>
    <col min="8" max="9" width="14.5703125" style="2" customWidth="1"/>
    <col min="10" max="10" width="15.140625" style="2" customWidth="1"/>
    <col min="11" max="11" width="10" style="2" customWidth="1"/>
    <col min="12" max="12" width="9.5703125" style="2" customWidth="1"/>
    <col min="13" max="14" width="9.140625" style="2"/>
    <col min="15" max="15" width="10.5703125" style="2" customWidth="1"/>
    <col min="16" max="16384" width="9.140625" style="2"/>
  </cols>
  <sheetData>
    <row r="1" spans="1:10">
      <c r="A1" s="95"/>
      <c r="B1" s="96"/>
      <c r="C1" s="96"/>
      <c r="D1" s="96"/>
      <c r="E1" s="96"/>
      <c r="F1" s="96" t="s">
        <v>19</v>
      </c>
      <c r="G1" s="95"/>
      <c r="H1" s="95"/>
      <c r="I1" s="95"/>
      <c r="J1" s="95"/>
    </row>
    <row r="2" spans="1:10" ht="18.75" customHeight="1">
      <c r="A2" s="421" t="s">
        <v>359</v>
      </c>
      <c r="B2" s="421"/>
      <c r="C2" s="98"/>
      <c r="D2" s="99"/>
      <c r="E2" s="99"/>
      <c r="F2" s="422" t="s">
        <v>488</v>
      </c>
      <c r="G2" s="422"/>
      <c r="H2" s="422"/>
      <c r="I2" s="422"/>
      <c r="J2" s="422"/>
    </row>
    <row r="3" spans="1:10" ht="18.75" customHeight="1">
      <c r="A3" s="423" t="s">
        <v>360</v>
      </c>
      <c r="B3" s="423"/>
      <c r="C3" s="98"/>
      <c r="D3" s="101"/>
      <c r="E3" s="101"/>
      <c r="F3" s="422"/>
      <c r="G3" s="422"/>
      <c r="H3" s="422"/>
      <c r="I3" s="422"/>
      <c r="J3" s="422"/>
    </row>
    <row r="4" spans="1:10" ht="75.75" customHeight="1">
      <c r="A4" s="423" t="s">
        <v>421</v>
      </c>
      <c r="B4" s="423"/>
      <c r="C4" s="423"/>
      <c r="D4" s="423"/>
      <c r="E4" s="101"/>
      <c r="F4" s="422"/>
      <c r="G4" s="422"/>
      <c r="H4" s="422"/>
      <c r="I4" s="422"/>
      <c r="J4" s="422"/>
    </row>
    <row r="5" spans="1:10" ht="31.5" customHeight="1">
      <c r="A5" s="423" t="s">
        <v>489</v>
      </c>
      <c r="B5" s="423"/>
      <c r="C5" s="98"/>
      <c r="D5" s="101"/>
      <c r="E5" s="101"/>
      <c r="F5" s="101"/>
      <c r="G5" s="424"/>
      <c r="H5" s="424"/>
      <c r="I5" s="102"/>
      <c r="J5" s="102"/>
    </row>
    <row r="6" spans="1:10" ht="18.75" customHeight="1">
      <c r="A6" s="419" t="s">
        <v>361</v>
      </c>
      <c r="B6" s="419"/>
      <c r="C6" s="98"/>
      <c r="D6" s="103"/>
      <c r="E6" s="103"/>
      <c r="F6" s="420" t="s">
        <v>362</v>
      </c>
      <c r="G6" s="420"/>
      <c r="H6" s="420"/>
      <c r="I6" s="420"/>
      <c r="J6" s="420"/>
    </row>
    <row r="7" spans="1:10" ht="48" customHeight="1">
      <c r="A7" s="419"/>
      <c r="B7" s="419"/>
      <c r="C7" s="98"/>
      <c r="D7" s="103"/>
      <c r="E7" s="103"/>
      <c r="F7" s="420" t="s">
        <v>242</v>
      </c>
      <c r="G7" s="420"/>
      <c r="H7" s="420"/>
      <c r="I7" s="420"/>
      <c r="J7" s="420"/>
    </row>
    <row r="8" spans="1:10" ht="18.75" customHeight="1">
      <c r="A8" s="104" t="s">
        <v>330</v>
      </c>
      <c r="B8" s="97"/>
      <c r="C8" s="98"/>
      <c r="D8" s="103"/>
      <c r="E8" s="103"/>
      <c r="F8" s="420" t="s">
        <v>363</v>
      </c>
      <c r="G8" s="420"/>
      <c r="H8" s="420"/>
      <c r="I8" s="420"/>
      <c r="J8" s="420"/>
    </row>
    <row r="9" spans="1:10" ht="18.75" customHeight="1">
      <c r="A9" s="97"/>
      <c r="B9" s="97"/>
      <c r="C9" s="98"/>
      <c r="D9" s="103"/>
      <c r="E9" s="103"/>
      <c r="F9" s="420" t="s">
        <v>364</v>
      </c>
      <c r="G9" s="420"/>
      <c r="H9" s="420"/>
      <c r="I9" s="420"/>
      <c r="J9" s="420"/>
    </row>
    <row r="10" spans="1:10" ht="20.25">
      <c r="A10" s="97"/>
      <c r="B10" s="97"/>
      <c r="C10" s="98"/>
      <c r="D10" s="103"/>
      <c r="E10" s="103"/>
      <c r="F10" s="99"/>
      <c r="G10" s="99"/>
      <c r="H10" s="99"/>
      <c r="I10" s="99"/>
      <c r="J10" s="99"/>
    </row>
    <row r="11" spans="1:10" ht="72.75" customHeight="1">
      <c r="A11" s="97"/>
      <c r="B11" s="97"/>
      <c r="C11" s="98"/>
      <c r="D11" s="103"/>
      <c r="E11" s="103"/>
      <c r="F11" s="420" t="s">
        <v>420</v>
      </c>
      <c r="G11" s="420"/>
      <c r="H11" s="420"/>
      <c r="I11" s="420"/>
      <c r="J11" s="420"/>
    </row>
    <row r="12" spans="1:10" ht="20.25" customHeight="1">
      <c r="A12" s="97"/>
      <c r="B12" s="97"/>
      <c r="C12" s="98"/>
      <c r="D12" s="103"/>
      <c r="E12" s="103"/>
      <c r="F12" s="104" t="s">
        <v>330</v>
      </c>
      <c r="G12" s="99"/>
      <c r="H12" s="99"/>
      <c r="I12" s="99"/>
      <c r="J12" s="99"/>
    </row>
    <row r="13" spans="1:10" ht="19.5" customHeight="1">
      <c r="A13" s="97"/>
      <c r="B13" s="97"/>
      <c r="C13" s="98"/>
      <c r="D13" s="103"/>
      <c r="E13" s="103"/>
      <c r="F13" s="99"/>
      <c r="G13" s="102"/>
      <c r="H13" s="104"/>
      <c r="I13" s="104"/>
      <c r="J13" s="104"/>
    </row>
    <row r="14" spans="1:10" ht="19.5" customHeight="1">
      <c r="A14" s="99"/>
      <c r="B14" s="105"/>
      <c r="C14" s="105"/>
      <c r="D14" s="105"/>
      <c r="E14" s="105"/>
      <c r="F14" s="105"/>
      <c r="G14" s="106"/>
      <c r="H14" s="106"/>
      <c r="I14" s="106"/>
      <c r="J14" s="106"/>
    </row>
    <row r="15" spans="1:10" ht="19.5" customHeight="1">
      <c r="A15" s="107"/>
      <c r="B15" s="413"/>
      <c r="C15" s="413"/>
      <c r="D15" s="413"/>
      <c r="E15" s="413"/>
      <c r="F15" s="413"/>
      <c r="G15" s="108"/>
      <c r="H15" s="109"/>
      <c r="I15" s="303" t="s">
        <v>518</v>
      </c>
      <c r="J15" s="110" t="s">
        <v>243</v>
      </c>
    </row>
    <row r="16" spans="1:10" ht="16.5" customHeight="1">
      <c r="A16" s="111" t="s">
        <v>14</v>
      </c>
      <c r="B16" s="413" t="s">
        <v>487</v>
      </c>
      <c r="C16" s="413"/>
      <c r="D16" s="413"/>
      <c r="E16" s="413"/>
      <c r="F16" s="413"/>
      <c r="G16" s="112"/>
      <c r="H16" s="113"/>
      <c r="I16" s="114" t="s">
        <v>126</v>
      </c>
      <c r="J16" s="110">
        <v>30619729</v>
      </c>
    </row>
    <row r="17" spans="1:10" ht="16.5" customHeight="1">
      <c r="A17" s="111" t="s">
        <v>15</v>
      </c>
      <c r="B17" s="413" t="s">
        <v>388</v>
      </c>
      <c r="C17" s="413"/>
      <c r="D17" s="413"/>
      <c r="E17" s="413"/>
      <c r="F17" s="413"/>
      <c r="G17" s="108"/>
      <c r="H17" s="109"/>
      <c r="I17" s="114" t="s">
        <v>125</v>
      </c>
      <c r="J17" s="110">
        <v>150</v>
      </c>
    </row>
    <row r="18" spans="1:10" ht="18.75" customHeight="1">
      <c r="A18" s="111" t="s">
        <v>20</v>
      </c>
      <c r="B18" s="413" t="s">
        <v>389</v>
      </c>
      <c r="C18" s="413"/>
      <c r="D18" s="413"/>
      <c r="E18" s="413"/>
      <c r="F18" s="413"/>
      <c r="G18" s="108"/>
      <c r="H18" s="109"/>
      <c r="I18" s="114" t="s">
        <v>124</v>
      </c>
      <c r="J18" s="110"/>
    </row>
    <row r="19" spans="1:10" ht="15.75" customHeight="1">
      <c r="A19" s="111" t="s">
        <v>365</v>
      </c>
      <c r="B19" s="413" t="s">
        <v>390</v>
      </c>
      <c r="C19" s="413"/>
      <c r="D19" s="413"/>
      <c r="E19" s="413"/>
      <c r="F19" s="413"/>
      <c r="G19" s="112"/>
      <c r="H19" s="113"/>
      <c r="I19" s="114" t="s">
        <v>9</v>
      </c>
      <c r="J19" s="110"/>
    </row>
    <row r="20" spans="1:10" ht="15.75" customHeight="1">
      <c r="A20" s="111" t="s">
        <v>17</v>
      </c>
      <c r="B20" s="413" t="s">
        <v>391</v>
      </c>
      <c r="C20" s="413"/>
      <c r="D20" s="413"/>
      <c r="E20" s="413"/>
      <c r="F20" s="413"/>
      <c r="G20" s="112"/>
      <c r="H20" s="113"/>
      <c r="I20" s="114" t="s">
        <v>8</v>
      </c>
      <c r="J20" s="110"/>
    </row>
    <row r="21" spans="1:10" ht="21" customHeight="1">
      <c r="A21" s="111" t="s">
        <v>16</v>
      </c>
      <c r="B21" s="413" t="s">
        <v>392</v>
      </c>
      <c r="C21" s="413"/>
      <c r="D21" s="413"/>
      <c r="E21" s="413"/>
      <c r="F21" s="413"/>
      <c r="G21" s="112"/>
      <c r="H21" s="115"/>
      <c r="I21" s="117" t="s">
        <v>10</v>
      </c>
      <c r="J21" s="110"/>
    </row>
    <row r="22" spans="1:10" ht="20.25" customHeight="1">
      <c r="A22" s="418" t="s">
        <v>366</v>
      </c>
      <c r="B22" s="413"/>
      <c r="C22" s="413"/>
      <c r="D22" s="413"/>
      <c r="E22" s="413"/>
      <c r="F22" s="413"/>
      <c r="G22" s="413" t="s">
        <v>186</v>
      </c>
      <c r="H22" s="416"/>
      <c r="I22" s="417"/>
      <c r="J22" s="118"/>
    </row>
    <row r="23" spans="1:10" ht="15.75" customHeight="1">
      <c r="A23" s="111" t="s">
        <v>21</v>
      </c>
      <c r="B23" s="413" t="s">
        <v>393</v>
      </c>
      <c r="C23" s="413"/>
      <c r="D23" s="413"/>
      <c r="E23" s="413"/>
      <c r="F23" s="413"/>
      <c r="G23" s="413" t="s">
        <v>187</v>
      </c>
      <c r="H23" s="416"/>
      <c r="I23" s="417"/>
      <c r="J23" s="118"/>
    </row>
    <row r="24" spans="1:10" ht="15.75" customHeight="1">
      <c r="A24" s="418" t="s">
        <v>499</v>
      </c>
      <c r="B24" s="413"/>
      <c r="C24" s="413"/>
      <c r="D24" s="413"/>
      <c r="E24" s="413"/>
      <c r="F24" s="413"/>
      <c r="G24" s="112"/>
      <c r="H24" s="112"/>
      <c r="I24" s="112"/>
      <c r="J24" s="113"/>
    </row>
    <row r="25" spans="1:10" ht="18.75" customHeight="1">
      <c r="A25" s="111" t="s">
        <v>11</v>
      </c>
      <c r="B25" s="413" t="s">
        <v>394</v>
      </c>
      <c r="C25" s="413"/>
      <c r="D25" s="413"/>
      <c r="E25" s="413"/>
      <c r="F25" s="413"/>
      <c r="G25" s="108"/>
      <c r="H25" s="108"/>
      <c r="I25" s="108"/>
      <c r="J25" s="109"/>
    </row>
    <row r="26" spans="1:10" ht="18" customHeight="1">
      <c r="A26" s="111" t="s">
        <v>12</v>
      </c>
      <c r="B26" s="413" t="s">
        <v>395</v>
      </c>
      <c r="C26" s="413"/>
      <c r="D26" s="413"/>
      <c r="E26" s="413"/>
      <c r="F26" s="413"/>
      <c r="G26" s="112"/>
      <c r="H26" s="112"/>
      <c r="I26" s="112"/>
      <c r="J26" s="113"/>
    </row>
    <row r="27" spans="1:10" ht="21" customHeight="1">
      <c r="A27" s="111" t="s">
        <v>13</v>
      </c>
      <c r="B27" s="413" t="s">
        <v>396</v>
      </c>
      <c r="C27" s="413"/>
      <c r="D27" s="413"/>
      <c r="E27" s="413"/>
      <c r="F27" s="413"/>
      <c r="G27" s="108"/>
      <c r="H27" s="108"/>
      <c r="I27" s="108"/>
      <c r="J27" s="109"/>
    </row>
    <row r="28" spans="1:10" ht="20.100000000000001" customHeight="1">
      <c r="A28" s="95"/>
      <c r="B28" s="95"/>
      <c r="C28" s="95"/>
      <c r="D28" s="95"/>
      <c r="E28" s="95"/>
      <c r="F28" s="95"/>
      <c r="G28" s="95"/>
      <c r="H28" s="95"/>
      <c r="I28" s="95"/>
      <c r="J28" s="95"/>
    </row>
    <row r="29" spans="1:10" ht="19.5" customHeight="1">
      <c r="A29" s="82"/>
      <c r="B29" s="95"/>
      <c r="C29" s="96"/>
      <c r="D29" s="95"/>
      <c r="E29" s="95"/>
      <c r="F29" s="95"/>
      <c r="G29" s="95"/>
      <c r="H29" s="95"/>
      <c r="I29" s="95"/>
      <c r="J29" s="95"/>
    </row>
    <row r="30" spans="1:10">
      <c r="A30" s="414" t="s">
        <v>498</v>
      </c>
      <c r="B30" s="414"/>
      <c r="C30" s="414"/>
      <c r="D30" s="414"/>
      <c r="E30" s="414"/>
      <c r="F30" s="414"/>
      <c r="G30" s="414"/>
      <c r="H30" s="414"/>
      <c r="I30" s="414"/>
      <c r="J30" s="414"/>
    </row>
    <row r="31" spans="1:10" ht="9" customHeight="1">
      <c r="A31" s="9"/>
      <c r="B31" s="9"/>
      <c r="C31" s="9"/>
      <c r="D31" s="9"/>
      <c r="E31" s="9"/>
      <c r="F31" s="9"/>
      <c r="G31" s="9"/>
      <c r="H31" s="9"/>
      <c r="I31" s="9"/>
      <c r="J31" s="9"/>
    </row>
    <row r="32" spans="1:10">
      <c r="A32" s="415" t="s">
        <v>200</v>
      </c>
      <c r="B32" s="415"/>
      <c r="C32" s="415"/>
      <c r="D32" s="415"/>
      <c r="E32" s="415"/>
      <c r="F32" s="415"/>
      <c r="G32" s="415"/>
      <c r="H32" s="415"/>
      <c r="I32" s="415"/>
      <c r="J32" s="415"/>
    </row>
    <row r="33" spans="1:10" ht="12" customHeight="1">
      <c r="B33" s="23"/>
      <c r="C33" s="3"/>
      <c r="D33" s="23"/>
      <c r="E33" s="23"/>
      <c r="F33" s="23"/>
      <c r="G33" s="23"/>
      <c r="H33" s="23"/>
      <c r="I33" s="23"/>
      <c r="J33" s="23"/>
    </row>
    <row r="34" spans="1:10" ht="38.25" customHeight="1">
      <c r="A34" s="407" t="s">
        <v>254</v>
      </c>
      <c r="B34" s="408" t="s">
        <v>18</v>
      </c>
      <c r="C34" s="409" t="s">
        <v>31</v>
      </c>
      <c r="D34" s="409" t="s">
        <v>39</v>
      </c>
      <c r="E34" s="408" t="s">
        <v>131</v>
      </c>
      <c r="F34" s="411" t="s">
        <v>163</v>
      </c>
      <c r="G34" s="404" t="s">
        <v>255</v>
      </c>
      <c r="H34" s="405"/>
      <c r="I34" s="405"/>
      <c r="J34" s="406"/>
    </row>
    <row r="35" spans="1:10" ht="54.75" customHeight="1">
      <c r="A35" s="407"/>
      <c r="B35" s="408"/>
      <c r="C35" s="410"/>
      <c r="D35" s="410"/>
      <c r="E35" s="408"/>
      <c r="F35" s="412"/>
      <c r="G35" s="84" t="s">
        <v>246</v>
      </c>
      <c r="H35" s="84" t="s">
        <v>247</v>
      </c>
      <c r="I35" s="84" t="s">
        <v>248</v>
      </c>
      <c r="J35" s="84" t="s">
        <v>337</v>
      </c>
    </row>
    <row r="36" spans="1:10" ht="20.100000000000001" customHeight="1">
      <c r="A36" s="83">
        <v>1</v>
      </c>
      <c r="B36" s="84">
        <v>2</v>
      </c>
      <c r="C36" s="84">
        <v>3</v>
      </c>
      <c r="D36" s="84">
        <v>4</v>
      </c>
      <c r="E36" s="84">
        <v>5</v>
      </c>
      <c r="F36" s="84">
        <v>6</v>
      </c>
      <c r="G36" s="84">
        <v>7</v>
      </c>
      <c r="H36" s="84">
        <v>8</v>
      </c>
      <c r="I36" s="84">
        <v>9</v>
      </c>
      <c r="J36" s="84">
        <v>10</v>
      </c>
    </row>
    <row r="37" spans="1:10" ht="24.95" customHeight="1">
      <c r="A37" s="401" t="s">
        <v>93</v>
      </c>
      <c r="B37" s="402"/>
      <c r="C37" s="402"/>
      <c r="D37" s="402"/>
      <c r="E37" s="402"/>
      <c r="F37" s="402"/>
      <c r="G37" s="402"/>
      <c r="H37" s="402"/>
      <c r="I37" s="402"/>
      <c r="J37" s="403"/>
    </row>
    <row r="38" spans="1:10" ht="37.5">
      <c r="A38" s="85" t="s">
        <v>201</v>
      </c>
      <c r="B38" s="83">
        <f>'I. Фін результат'!B7</f>
        <v>1000</v>
      </c>
      <c r="C38" s="250">
        <f>'I. Фін результат'!C7</f>
        <v>2383</v>
      </c>
      <c r="D38" s="250">
        <f>'I. Фін результат'!D7</f>
        <v>2915</v>
      </c>
      <c r="E38" s="250">
        <f>'I. Фін результат'!I7</f>
        <v>2860</v>
      </c>
      <c r="F38" s="250">
        <f>'I. Фін результат'!E7</f>
        <v>756</v>
      </c>
      <c r="G38" s="172">
        <f>ROUND(E38*106.2%,0)</f>
        <v>3037</v>
      </c>
      <c r="H38" s="172">
        <f>ROUND(G38*105.3%,0)</f>
        <v>3198</v>
      </c>
      <c r="I38" s="172">
        <f t="shared" ref="I38:I39" si="0">ROUND(H38*105.3%,0)</f>
        <v>3367</v>
      </c>
      <c r="J38" s="172">
        <f>ROUND(I38*105.3%,0)</f>
        <v>3545</v>
      </c>
    </row>
    <row r="39" spans="1:10" ht="37.5">
      <c r="A39" s="85" t="s">
        <v>171</v>
      </c>
      <c r="B39" s="83">
        <f>'I. Фін результат'!B9</f>
        <v>1010</v>
      </c>
      <c r="C39" s="250">
        <f>'I. Фін результат'!C9</f>
        <v>1737</v>
      </c>
      <c r="D39" s="250">
        <f>'I. Фін результат'!D9</f>
        <v>2264</v>
      </c>
      <c r="E39" s="250">
        <f>'I. Фін результат'!I9</f>
        <v>1866</v>
      </c>
      <c r="F39" s="250">
        <f>'I. Фін результат'!E9</f>
        <v>692</v>
      </c>
      <c r="G39" s="172">
        <f>ROUND(E39*106.2%,0)</f>
        <v>1982</v>
      </c>
      <c r="H39" s="172">
        <f>ROUND(G39*105.3%,0)</f>
        <v>2087</v>
      </c>
      <c r="I39" s="172">
        <f t="shared" si="0"/>
        <v>2198</v>
      </c>
      <c r="J39" s="172">
        <f>ROUND(I39*105.3%,0)</f>
        <v>2314</v>
      </c>
    </row>
    <row r="40" spans="1:10" ht="20.100000000000001" customHeight="1">
      <c r="A40" s="87" t="s">
        <v>286</v>
      </c>
      <c r="B40" s="83">
        <f>'I. Фін результат'!B19</f>
        <v>1020</v>
      </c>
      <c r="C40" s="250">
        <f>'I. Фін результат'!C19</f>
        <v>646</v>
      </c>
      <c r="D40" s="250">
        <f>'I. Фін результат'!D19</f>
        <v>651</v>
      </c>
      <c r="E40" s="250">
        <f>'I. Фін результат'!I19</f>
        <v>994</v>
      </c>
      <c r="F40" s="250">
        <f>'I. Фін результат'!E19</f>
        <v>64</v>
      </c>
      <c r="G40" s="250">
        <f>G38-G39</f>
        <v>1055</v>
      </c>
      <c r="H40" s="250">
        <f>H38-H39</f>
        <v>1111</v>
      </c>
      <c r="I40" s="250">
        <f>I38-I39</f>
        <v>1169</v>
      </c>
      <c r="J40" s="250">
        <f>J38-J39</f>
        <v>1231</v>
      </c>
    </row>
    <row r="41" spans="1:10" ht="20.100000000000001" customHeight="1">
      <c r="A41" s="85" t="s">
        <v>136</v>
      </c>
      <c r="B41" s="83">
        <f>'I. Фін результат'!B23</f>
        <v>1040</v>
      </c>
      <c r="C41" s="250">
        <f>'I. Фін результат'!C23</f>
        <v>320</v>
      </c>
      <c r="D41" s="250">
        <f>'I. Фін результат'!D23</f>
        <v>450</v>
      </c>
      <c r="E41" s="250">
        <f>'I. Фін результат'!I23</f>
        <v>551</v>
      </c>
      <c r="F41" s="250">
        <f>'I. Фін результат'!E23</f>
        <v>254</v>
      </c>
      <c r="G41" s="172">
        <f>ROUND(E41*106.2%,0)</f>
        <v>585</v>
      </c>
      <c r="H41" s="172">
        <f>ROUND(G41*105.3%,0)</f>
        <v>616</v>
      </c>
      <c r="I41" s="172">
        <f t="shared" ref="I41:I48" si="1">ROUND(H41*105.3%,0)</f>
        <v>649</v>
      </c>
      <c r="J41" s="172">
        <f>ROUND(I41*105.3%,0)</f>
        <v>683</v>
      </c>
    </row>
    <row r="42" spans="1:10" ht="20.100000000000001" customHeight="1">
      <c r="A42" s="85" t="s">
        <v>133</v>
      </c>
      <c r="B42" s="83">
        <f>'I. Фін результат'!B41</f>
        <v>1070</v>
      </c>
      <c r="C42" s="250">
        <f>'I. Фін результат'!C41</f>
        <v>660</v>
      </c>
      <c r="D42" s="250">
        <f>'I. Фін результат'!D41</f>
        <v>816</v>
      </c>
      <c r="E42" s="250">
        <f>'I. Фін результат'!I41</f>
        <v>660</v>
      </c>
      <c r="F42" s="250">
        <f>'I. Фін результат'!E41</f>
        <v>338</v>
      </c>
      <c r="G42" s="172">
        <f>ROUND(E42*106.2%,0)</f>
        <v>701</v>
      </c>
      <c r="H42" s="172">
        <f>ROUND(G42*105.3%,0)</f>
        <v>738</v>
      </c>
      <c r="I42" s="172">
        <f t="shared" ref="I42" si="2">ROUND(H42*105.3%,0)</f>
        <v>777</v>
      </c>
      <c r="J42" s="172">
        <f>ROUND(I42*105.3%,0)</f>
        <v>818</v>
      </c>
    </row>
    <row r="43" spans="1:10" ht="20.100000000000001" customHeight="1">
      <c r="A43" s="85" t="s">
        <v>137</v>
      </c>
      <c r="B43" s="83">
        <f>'I. Фін результат'!B79</f>
        <v>1300</v>
      </c>
      <c r="C43" s="250">
        <f>'I. Фін результат'!C79</f>
        <v>184</v>
      </c>
      <c r="D43" s="250">
        <f>'I. Фін результат'!D79</f>
        <v>366</v>
      </c>
      <c r="E43" s="250">
        <f>'I. Фін результат'!I79</f>
        <v>207</v>
      </c>
      <c r="F43" s="250">
        <f>'I. Фін результат'!E79</f>
        <v>23.399999999999977</v>
      </c>
      <c r="G43" s="172">
        <f>ROUND(E43*106.2%,0)</f>
        <v>220</v>
      </c>
      <c r="H43" s="172">
        <f>ROUND(G43*105.3%,0)</f>
        <v>232</v>
      </c>
      <c r="I43" s="172">
        <f t="shared" si="1"/>
        <v>244</v>
      </c>
      <c r="J43" s="172">
        <f>ROUND(I43*105.3%,0)</f>
        <v>257</v>
      </c>
    </row>
    <row r="44" spans="1:10" ht="37.5">
      <c r="A44" s="88" t="s">
        <v>4</v>
      </c>
      <c r="B44" s="83">
        <f>'I. Фін результат'!B65</f>
        <v>1100</v>
      </c>
      <c r="C44" s="250">
        <f>'I. Фін результат'!C65</f>
        <v>-150</v>
      </c>
      <c r="D44" s="250">
        <f>'I. Фін результат'!D65</f>
        <v>-249</v>
      </c>
      <c r="E44" s="250">
        <f>'I. Фін результат'!I65</f>
        <v>-10</v>
      </c>
      <c r="F44" s="250">
        <f>'I. Фін результат'!E65</f>
        <v>-504.6</v>
      </c>
      <c r="G44" s="250">
        <f>G40-G41-G42+G43</f>
        <v>-11</v>
      </c>
      <c r="H44" s="250">
        <f>H40-H41-H42+H43</f>
        <v>-11</v>
      </c>
      <c r="I44" s="250">
        <f>I40-I41-I42+I43</f>
        <v>-13</v>
      </c>
      <c r="J44" s="250">
        <f>J40-J41-J42+J43</f>
        <v>-13</v>
      </c>
    </row>
    <row r="45" spans="1:10" ht="20.100000000000001" customHeight="1">
      <c r="A45" s="88" t="s">
        <v>138</v>
      </c>
      <c r="B45" s="83">
        <f>'I. Фін результат'!B90</f>
        <v>1410</v>
      </c>
      <c r="C45" s="250">
        <f>'I. Фін результат'!C90</f>
        <v>178</v>
      </c>
      <c r="D45" s="250">
        <f>'I. Фін результат'!D90</f>
        <v>155</v>
      </c>
      <c r="E45" s="250">
        <f>'I. Фін результат'!I90</f>
        <v>391</v>
      </c>
      <c r="F45" s="250">
        <f>'I. Фін результат'!E90</f>
        <v>-237.60000000000002</v>
      </c>
      <c r="G45" s="172">
        <f>ROUND(E45*106.2%,0)</f>
        <v>415</v>
      </c>
      <c r="H45" s="172">
        <f>ROUND(G45*105.3%,0)</f>
        <v>437</v>
      </c>
      <c r="I45" s="172">
        <f t="shared" si="1"/>
        <v>460</v>
      </c>
      <c r="J45" s="172">
        <f>ROUND(I45*105.3%,0)</f>
        <v>484</v>
      </c>
    </row>
    <row r="46" spans="1:10" ht="20.100000000000001" customHeight="1">
      <c r="A46" s="89" t="s">
        <v>222</v>
      </c>
      <c r="B46" s="83">
        <f>' V. Коефіцієнти'!B8</f>
        <v>5010</v>
      </c>
      <c r="C46" s="252">
        <f>' V. Коефіцієнти'!D8</f>
        <v>7.4695761644985312</v>
      </c>
      <c r="D46" s="252">
        <f>D45*100/D38</f>
        <v>5.3173241852487134</v>
      </c>
      <c r="E46" s="252">
        <f>' V. Коефіцієнти'!G8</f>
        <v>13.671328671328672</v>
      </c>
      <c r="F46" s="252">
        <f>' V. Коефіцієнти'!F8</f>
        <v>-31.428571428571434</v>
      </c>
      <c r="G46" s="251">
        <f>G45*100/G38</f>
        <v>13.66480079025354</v>
      </c>
      <c r="H46" s="251">
        <f>H45*100/H38</f>
        <v>13.664790494058787</v>
      </c>
      <c r="I46" s="251">
        <f>I45*100/I38</f>
        <v>13.662013662013662</v>
      </c>
      <c r="J46" s="251">
        <f>J45*100/J38</f>
        <v>13.653032440056418</v>
      </c>
    </row>
    <row r="47" spans="1:10" ht="37.5">
      <c r="A47" s="89" t="s">
        <v>139</v>
      </c>
      <c r="B47" s="83">
        <f>'I. Фін результат'!B80</f>
        <v>1310</v>
      </c>
      <c r="C47" s="250">
        <f>'I. Фін результат'!C80</f>
        <v>0</v>
      </c>
      <c r="D47" s="250">
        <f>'I. Фін результат'!D80</f>
        <v>0</v>
      </c>
      <c r="E47" s="250">
        <f>'I. Фін результат'!I80</f>
        <v>0</v>
      </c>
      <c r="F47" s="250">
        <f>'I. Фін результат'!E80</f>
        <v>0</v>
      </c>
      <c r="G47" s="172">
        <f>ROUND(E47*106.2%,0)</f>
        <v>0</v>
      </c>
      <c r="H47" s="172">
        <f>ROUND(G47*105.3%,0)</f>
        <v>0</v>
      </c>
      <c r="I47" s="172">
        <f t="shared" si="1"/>
        <v>0</v>
      </c>
      <c r="J47" s="172">
        <f>ROUND(I47*105.3%,0)</f>
        <v>0</v>
      </c>
    </row>
    <row r="48" spans="1:10" ht="20.100000000000001" customHeight="1">
      <c r="A48" s="85" t="s">
        <v>227</v>
      </c>
      <c r="B48" s="83">
        <f>'I. Фін результат'!B81</f>
        <v>1320</v>
      </c>
      <c r="C48" s="250">
        <f>'I. Фін результат'!C81</f>
        <v>281</v>
      </c>
      <c r="D48" s="250">
        <f>'I. Фін результат'!D81</f>
        <v>359</v>
      </c>
      <c r="E48" s="250">
        <f>'I. Фін результат'!I81</f>
        <v>359</v>
      </c>
      <c r="F48" s="250">
        <f>'I. Фін результат'!E81</f>
        <v>249</v>
      </c>
      <c r="G48" s="172">
        <f>ROUND(E48*106.2%,0)</f>
        <v>381</v>
      </c>
      <c r="H48" s="172">
        <f>ROUND(G48*105.3%,0)</f>
        <v>401</v>
      </c>
      <c r="I48" s="172">
        <f t="shared" si="1"/>
        <v>422</v>
      </c>
      <c r="J48" s="172">
        <f>ROUND(I48*105.3%,0)</f>
        <v>444</v>
      </c>
    </row>
    <row r="49" spans="1:10" ht="37.5">
      <c r="A49" s="88" t="s">
        <v>91</v>
      </c>
      <c r="B49" s="83">
        <f>'I. Фін результат'!B71</f>
        <v>1170</v>
      </c>
      <c r="C49" s="250">
        <f>'I. Фін результат'!C71</f>
        <v>131</v>
      </c>
      <c r="D49" s="250">
        <f>'I. Фін результат'!D71</f>
        <v>110</v>
      </c>
      <c r="E49" s="250">
        <f>'I. Фін результат'!I71</f>
        <v>349</v>
      </c>
      <c r="F49" s="250">
        <f>'I. Фін результат'!E71</f>
        <v>-255.60000000000002</v>
      </c>
      <c r="G49" s="250">
        <f>G44+G47+G48</f>
        <v>370</v>
      </c>
      <c r="H49" s="250">
        <f>H44+H47+H48</f>
        <v>390</v>
      </c>
      <c r="I49" s="250">
        <f>I44+I47+I48</f>
        <v>409</v>
      </c>
      <c r="J49" s="250">
        <f>J44+J47+J48</f>
        <v>431</v>
      </c>
    </row>
    <row r="50" spans="1:10" ht="20.100000000000001" customHeight="1">
      <c r="A50" s="89" t="s">
        <v>134</v>
      </c>
      <c r="B50" s="83">
        <f>'I. Фін результат'!B72</f>
        <v>1180</v>
      </c>
      <c r="C50" s="250">
        <f>'I. Фін результат'!C72</f>
        <v>24</v>
      </c>
      <c r="D50" s="250">
        <f>'I. Фін результат'!D72</f>
        <v>20</v>
      </c>
      <c r="E50" s="250">
        <f>'I. Фін результат'!I72</f>
        <v>63</v>
      </c>
      <c r="F50" s="250">
        <f>'I. Фін результат'!E72</f>
        <v>0</v>
      </c>
      <c r="G50" s="250">
        <f>IF(G49&gt;0,G49*18%,0)</f>
        <v>66.599999999999994</v>
      </c>
      <c r="H50" s="250">
        <f>IF(H49&gt;0,H49*18%,0)</f>
        <v>70.2</v>
      </c>
      <c r="I50" s="250">
        <f>IF(I49&gt;0,I49*18%,0)</f>
        <v>73.61999999999999</v>
      </c>
      <c r="J50" s="250">
        <f>IF(J49&gt;0,J49*18%,0)</f>
        <v>77.58</v>
      </c>
    </row>
    <row r="51" spans="1:10" ht="20.100000000000001" customHeight="1">
      <c r="A51" s="88" t="s">
        <v>223</v>
      </c>
      <c r="B51" s="83">
        <f>'I. Фін результат'!B74</f>
        <v>1200</v>
      </c>
      <c r="C51" s="250">
        <f>'I. Фін результат'!C74</f>
        <v>107</v>
      </c>
      <c r="D51" s="250">
        <f>'I. Фін результат'!D74</f>
        <v>90</v>
      </c>
      <c r="E51" s="250">
        <f>'I. Фін результат'!I74</f>
        <v>286</v>
      </c>
      <c r="F51" s="250">
        <f>'I. Фін результат'!E74</f>
        <v>-255.60000000000002</v>
      </c>
      <c r="G51" s="250">
        <f>G49-G50</f>
        <v>303.39999999999998</v>
      </c>
      <c r="H51" s="250">
        <f>H49-H50</f>
        <v>319.8</v>
      </c>
      <c r="I51" s="250">
        <f>I49-I50</f>
        <v>335.38</v>
      </c>
      <c r="J51" s="250">
        <f>J49-J50</f>
        <v>353.42</v>
      </c>
    </row>
    <row r="52" spans="1:10" ht="20.100000000000001" customHeight="1">
      <c r="A52" s="89" t="s">
        <v>224</v>
      </c>
      <c r="B52" s="83">
        <f>' V. Коефіцієнти'!B11</f>
        <v>5040</v>
      </c>
      <c r="C52" s="252">
        <f>' V. Коефіцієнти'!D11</f>
        <v>4.4901384809064207E-2</v>
      </c>
      <c r="D52" s="252">
        <f>D51/D38</f>
        <v>3.0874785591766724E-2</v>
      </c>
      <c r="E52" s="252">
        <f>' V. Коефіцієнти'!G11</f>
        <v>0.1</v>
      </c>
      <c r="F52" s="252">
        <f>' V. Коефіцієнти'!F11</f>
        <v>-0.33809523809523812</v>
      </c>
      <c r="G52" s="252">
        <f>G51/G38</f>
        <v>9.9901218307540327E-2</v>
      </c>
      <c r="H52" s="252">
        <f>H51/H38</f>
        <v>0.1</v>
      </c>
      <c r="I52" s="252">
        <f>I51/I38</f>
        <v>9.9607959607959609E-2</v>
      </c>
      <c r="J52" s="252">
        <f>J51/J38</f>
        <v>9.9695345557122714E-2</v>
      </c>
    </row>
    <row r="53" spans="1:10" ht="24.95" customHeight="1">
      <c r="A53" s="392" t="s">
        <v>151</v>
      </c>
      <c r="B53" s="393"/>
      <c r="C53" s="393"/>
      <c r="D53" s="393"/>
      <c r="E53" s="393"/>
      <c r="F53" s="393"/>
      <c r="G53" s="393"/>
      <c r="H53" s="393"/>
      <c r="I53" s="393"/>
      <c r="J53" s="394"/>
    </row>
    <row r="54" spans="1:10" ht="20.100000000000001" customHeight="1">
      <c r="A54" s="90" t="s">
        <v>342</v>
      </c>
      <c r="B54" s="83">
        <f>'ІІ. Розр. з бюджетом'!B19</f>
        <v>2100</v>
      </c>
      <c r="C54" s="250">
        <f>'ІІ. Розр. з бюджетом'!C19</f>
        <v>74</v>
      </c>
      <c r="D54" s="250">
        <f>'ІІ. Розр. з бюджетом'!D19</f>
        <v>92</v>
      </c>
      <c r="E54" s="250">
        <f>'ІІ. Розр. з бюджетом'!I19</f>
        <v>189</v>
      </c>
      <c r="F54" s="250">
        <f>'ІІ. Розр. з бюджетом'!E19</f>
        <v>0</v>
      </c>
      <c r="G54" s="172">
        <f>ROUND(G51*66%,0)</f>
        <v>200</v>
      </c>
      <c r="H54" s="172">
        <f>ROUND(H51*66%,0)</f>
        <v>211</v>
      </c>
      <c r="I54" s="172">
        <f>ROUND(I51*66%,0)</f>
        <v>221</v>
      </c>
      <c r="J54" s="172">
        <f>ROUND(J51*66%,0)</f>
        <v>233</v>
      </c>
    </row>
    <row r="55" spans="1:10" ht="20.100000000000001" customHeight="1">
      <c r="A55" s="91" t="s">
        <v>150</v>
      </c>
      <c r="B55" s="83">
        <f>'ІІ. Розр. з бюджетом'!B22</f>
        <v>2110</v>
      </c>
      <c r="C55" s="250">
        <f>'ІІ. Розр. з бюджетом'!C22</f>
        <v>24</v>
      </c>
      <c r="D55" s="250">
        <f>'ІІ. Розр. з бюджетом'!D22</f>
        <v>20</v>
      </c>
      <c r="E55" s="250">
        <f>'ІІ. Розр. з бюджетом'!I22</f>
        <v>63</v>
      </c>
      <c r="F55" s="250">
        <f>'ІІ. Розр. з бюджетом'!E22</f>
        <v>0</v>
      </c>
      <c r="G55" s="250">
        <f>G50</f>
        <v>66.599999999999994</v>
      </c>
      <c r="H55" s="250">
        <f>H50</f>
        <v>70.2</v>
      </c>
      <c r="I55" s="250">
        <f>I50</f>
        <v>73.61999999999999</v>
      </c>
      <c r="J55" s="250">
        <f>J50</f>
        <v>77.58</v>
      </c>
    </row>
    <row r="56" spans="1:10" ht="56.25">
      <c r="A56" s="91" t="s">
        <v>338</v>
      </c>
      <c r="B56" s="83" t="s">
        <v>225</v>
      </c>
      <c r="C56" s="250">
        <f>SUM('ІІ. Розр. з бюджетом'!C23,'ІІ. Розр. з бюджетом'!C24)</f>
        <v>561</v>
      </c>
      <c r="D56" s="250">
        <f>SUM('ІІ. Розр. з бюджетом'!D23,'ІІ. Розр. з бюджетом'!D24)</f>
        <v>348</v>
      </c>
      <c r="E56" s="250">
        <f>'ІІ. Розр. з бюджетом'!I23+'ІІ. Розр. з бюджетом'!I24</f>
        <v>348</v>
      </c>
      <c r="F56" s="250">
        <f>SUM('ІІ. Розр. з бюджетом'!E23,'ІІ. Розр. з бюджетом'!E24)</f>
        <v>0</v>
      </c>
      <c r="G56" s="172">
        <f>ROUND(E56*106.2%,0)</f>
        <v>370</v>
      </c>
      <c r="H56" s="172">
        <f>ROUND(G56*105.3%,0)</f>
        <v>390</v>
      </c>
      <c r="I56" s="172">
        <f t="shared" ref="I56" si="3">ROUND(H56*105.3%,0)</f>
        <v>411</v>
      </c>
      <c r="J56" s="172">
        <f>ROUND(I56*105.3%,0)</f>
        <v>433</v>
      </c>
    </row>
    <row r="57" spans="1:10" ht="56.25">
      <c r="A57" s="90" t="s">
        <v>343</v>
      </c>
      <c r="B57" s="83">
        <f>'ІІ. Розр. з бюджетом'!B25</f>
        <v>2140</v>
      </c>
      <c r="C57" s="250">
        <f>'ІІ. Розр. з бюджетом'!C25</f>
        <v>162</v>
      </c>
      <c r="D57" s="250">
        <f>'ІІ. Розр. з бюджетом'!D25</f>
        <v>240</v>
      </c>
      <c r="E57" s="250">
        <f>'ІІ. Розр. з бюджетом'!I25</f>
        <v>183</v>
      </c>
      <c r="F57" s="250">
        <f>'ІІ. Розр. з бюджетом'!E25</f>
        <v>83</v>
      </c>
      <c r="G57" s="172">
        <f t="shared" ref="G57:G58" si="4">ROUND(E57*106.2%,0)</f>
        <v>194</v>
      </c>
      <c r="H57" s="172">
        <f t="shared" ref="H57:J57" si="5">ROUND(G57*105.3%,0)</f>
        <v>204</v>
      </c>
      <c r="I57" s="172">
        <f t="shared" si="5"/>
        <v>215</v>
      </c>
      <c r="J57" s="172">
        <f t="shared" si="5"/>
        <v>226</v>
      </c>
    </row>
    <row r="58" spans="1:10" ht="39" customHeight="1">
      <c r="A58" s="90" t="s">
        <v>75</v>
      </c>
      <c r="B58" s="83">
        <f>'ІІ. Розр. з бюджетом'!B37</f>
        <v>2150</v>
      </c>
      <c r="C58" s="250">
        <f>'ІІ. Розр. з бюджетом'!C37</f>
        <v>175</v>
      </c>
      <c r="D58" s="250">
        <f>'ІІ. Розр. з бюджетом'!D37</f>
        <v>263</v>
      </c>
      <c r="E58" s="250">
        <f>'ІІ. Розр. з бюджетом'!I37</f>
        <v>197</v>
      </c>
      <c r="F58" s="250">
        <f>'ІІ. Розр. з бюджетом'!E37</f>
        <v>95</v>
      </c>
      <c r="G58" s="172">
        <f t="shared" si="4"/>
        <v>209</v>
      </c>
      <c r="H58" s="172">
        <f t="shared" ref="H58:J58" si="6">ROUND(G58*105.3%,0)</f>
        <v>220</v>
      </c>
      <c r="I58" s="172">
        <f t="shared" si="6"/>
        <v>232</v>
      </c>
      <c r="J58" s="172">
        <f t="shared" si="6"/>
        <v>244</v>
      </c>
    </row>
    <row r="59" spans="1:10" ht="20.100000000000001" customHeight="1">
      <c r="A59" s="92" t="s">
        <v>344</v>
      </c>
      <c r="B59" s="83">
        <f>'ІІ. Розр. з бюджетом'!B38</f>
        <v>2200</v>
      </c>
      <c r="C59" s="250">
        <f>'ІІ. Розр. з бюджетом'!C38</f>
        <v>996</v>
      </c>
      <c r="D59" s="250">
        <f>'ІІ. Розр. з бюджетом'!D38</f>
        <v>963</v>
      </c>
      <c r="E59" s="250">
        <f>'ІІ. Розр. з бюджетом'!I38</f>
        <v>980</v>
      </c>
      <c r="F59" s="250">
        <f>'ІІ. Розр. з бюджетом'!E38</f>
        <v>178</v>
      </c>
      <c r="G59" s="250">
        <f>SUM(G54:G58)</f>
        <v>1039.5999999999999</v>
      </c>
      <c r="H59" s="250">
        <f>SUM(H54:H58)</f>
        <v>1095.2</v>
      </c>
      <c r="I59" s="250">
        <f>SUM(I54:I58)</f>
        <v>1152.6199999999999</v>
      </c>
      <c r="J59" s="250">
        <f>SUM(J54:J58)</f>
        <v>1213.58</v>
      </c>
    </row>
    <row r="60" spans="1:10" ht="24.95" customHeight="1">
      <c r="A60" s="392" t="s">
        <v>149</v>
      </c>
      <c r="B60" s="393"/>
      <c r="C60" s="393"/>
      <c r="D60" s="393"/>
      <c r="E60" s="393"/>
      <c r="F60" s="393"/>
      <c r="G60" s="393"/>
      <c r="H60" s="393"/>
      <c r="I60" s="393"/>
      <c r="J60" s="394"/>
    </row>
    <row r="61" spans="1:10" ht="20.100000000000001" customHeight="1">
      <c r="A61" s="92" t="s">
        <v>140</v>
      </c>
      <c r="B61" s="83">
        <f>'ІІІ. Рух грош. коштів'!B72</f>
        <v>3600</v>
      </c>
      <c r="C61" s="250">
        <f>'ІІІ. Рух грош. коштів'!C72</f>
        <v>91</v>
      </c>
      <c r="D61" s="250">
        <f>'ІІІ. Рух грош. коштів'!D72</f>
        <v>302</v>
      </c>
      <c r="E61" s="250">
        <f>'ІІІ. Рух грош. коштів'!I72</f>
        <v>2.3999999999999773</v>
      </c>
      <c r="F61" s="250">
        <f>'ІІІ. Рух грош. коштів'!E72</f>
        <v>233</v>
      </c>
      <c r="G61" s="250">
        <f>E66</f>
        <v>500.4</v>
      </c>
      <c r="H61" s="250">
        <f>G66</f>
        <v>1029.4000000000001</v>
      </c>
      <c r="I61" s="250">
        <f>H66</f>
        <v>1586.4</v>
      </c>
      <c r="J61" s="250">
        <f>I66</f>
        <v>2173.4</v>
      </c>
    </row>
    <row r="62" spans="1:10" ht="37.5">
      <c r="A62" s="90" t="s">
        <v>141</v>
      </c>
      <c r="B62" s="83">
        <f>'ІІІ. Рух грош. коштів'!B20</f>
        <v>3090</v>
      </c>
      <c r="C62" s="250">
        <f>'ІІІ. Рух грош. коштів'!C20</f>
        <v>216</v>
      </c>
      <c r="D62" s="250">
        <f>'ІІІ. Рух грош. коштів'!D20</f>
        <v>494</v>
      </c>
      <c r="E62" s="250">
        <f>'ІІІ. Рух грош. коштів'!I20</f>
        <v>687</v>
      </c>
      <c r="F62" s="250">
        <f>'ІІІ. Рух грош. коштів'!E20</f>
        <v>-230.60000000000002</v>
      </c>
      <c r="G62" s="172">
        <f>ROUND(E62*106.2%,0)</f>
        <v>730</v>
      </c>
      <c r="H62" s="172">
        <f>ROUND(G62*105.3%,0)</f>
        <v>769</v>
      </c>
      <c r="I62" s="172">
        <f t="shared" ref="I62" si="7">ROUND(H62*105.3%,0)</f>
        <v>810</v>
      </c>
      <c r="J62" s="172">
        <f>ROUND(I62*105.3%,0)</f>
        <v>853</v>
      </c>
    </row>
    <row r="63" spans="1:10" ht="37.5">
      <c r="A63" s="90" t="s">
        <v>228</v>
      </c>
      <c r="B63" s="83">
        <f>'ІІІ. Рух грош. коштів'!B40</f>
        <v>3320</v>
      </c>
      <c r="C63" s="250">
        <f>'ІІІ. Рух грош. коштів'!C40</f>
        <v>0</v>
      </c>
      <c r="D63" s="250">
        <f>'ІІІ. Рух грош. коштів'!D40</f>
        <v>0</v>
      </c>
      <c r="E63" s="250">
        <f>'ІІІ. Рух грош. коштів'!I40</f>
        <v>0</v>
      </c>
      <c r="F63" s="250">
        <f>'ІІІ. Рух грош. коштів'!E40</f>
        <v>0</v>
      </c>
      <c r="G63" s="172">
        <f t="shared" ref="G63:G64" si="8">ROUND(E63*106.2%,0)</f>
        <v>0</v>
      </c>
      <c r="H63" s="172">
        <f t="shared" ref="H63:J63" si="9">ROUND(G63*105.3%,0)</f>
        <v>0</v>
      </c>
      <c r="I63" s="172">
        <f t="shared" si="9"/>
        <v>0</v>
      </c>
      <c r="J63" s="172">
        <f t="shared" si="9"/>
        <v>0</v>
      </c>
    </row>
    <row r="64" spans="1:10" ht="37.5">
      <c r="A64" s="90" t="s">
        <v>142</v>
      </c>
      <c r="B64" s="83">
        <f>'ІІІ. Рух грош. коштів'!B70</f>
        <v>3580</v>
      </c>
      <c r="C64" s="250">
        <f>'ІІІ. Рух грош. коштів'!C70</f>
        <v>-74</v>
      </c>
      <c r="D64" s="250">
        <f>'ІІІ. Рух грош. коштів'!D70</f>
        <v>-92</v>
      </c>
      <c r="E64" s="250">
        <f>'ІІІ. Рух грош. коштів'!I70</f>
        <v>-189</v>
      </c>
      <c r="F64" s="250">
        <f>'ІІІ. Рух грош. коштів'!E70</f>
        <v>0</v>
      </c>
      <c r="G64" s="172">
        <f t="shared" si="8"/>
        <v>-201</v>
      </c>
      <c r="H64" s="172">
        <f t="shared" ref="H64:J65" si="10">ROUND(G64*105.3%,0)</f>
        <v>-212</v>
      </c>
      <c r="I64" s="172">
        <f t="shared" si="10"/>
        <v>-223</v>
      </c>
      <c r="J64" s="172">
        <f t="shared" si="10"/>
        <v>-235</v>
      </c>
    </row>
    <row r="65" spans="1:10" ht="37.5">
      <c r="A65" s="90" t="s">
        <v>166</v>
      </c>
      <c r="B65" s="83">
        <f>'ІІІ. Рух грош. коштів'!B73</f>
        <v>3610</v>
      </c>
      <c r="C65" s="250">
        <f>'ІІІ. Рух грош. коштів'!C73</f>
        <v>0</v>
      </c>
      <c r="D65" s="250">
        <f>'ІІІ. Рух грош. коштів'!D73</f>
        <v>0</v>
      </c>
      <c r="E65" s="250">
        <f>'ІІІ. Рух грош. коштів'!I73</f>
        <v>0</v>
      </c>
      <c r="F65" s="250">
        <f>'ІІІ. Рух грош. коштів'!E73</f>
        <v>0</v>
      </c>
      <c r="G65" s="172">
        <f>ROUND(E65*106.2%,0)</f>
        <v>0</v>
      </c>
      <c r="H65" s="172">
        <f>ROUND(G65*105.3%,0)</f>
        <v>0</v>
      </c>
      <c r="I65" s="172">
        <f t="shared" si="10"/>
        <v>0</v>
      </c>
      <c r="J65" s="172">
        <f>ROUND(I65*105.3%,0)</f>
        <v>0</v>
      </c>
    </row>
    <row r="66" spans="1:10" ht="20.100000000000001" customHeight="1">
      <c r="A66" s="92" t="s">
        <v>143</v>
      </c>
      <c r="B66" s="83">
        <f>'ІІІ. Рух грош. коштів'!B74</f>
        <v>3620</v>
      </c>
      <c r="C66" s="250">
        <f>'ІІІ. Рух грош. коштів'!C74</f>
        <v>233</v>
      </c>
      <c r="D66" s="250">
        <f>'ІІІ. Рух грош. коштів'!D74</f>
        <v>704</v>
      </c>
      <c r="E66" s="250">
        <f>'ІІІ. Рух грош. коштів'!I74</f>
        <v>500.4</v>
      </c>
      <c r="F66" s="250">
        <f>'ІІІ. Рух грош. коштів'!E74</f>
        <v>2.3999999999999773</v>
      </c>
      <c r="G66" s="250">
        <f>SUM(G61:G65)</f>
        <v>1029.4000000000001</v>
      </c>
      <c r="H66" s="250">
        <f>SUM(H61:H65)</f>
        <v>1586.4</v>
      </c>
      <c r="I66" s="250">
        <f>SUM(I61:I65)</f>
        <v>2173.4</v>
      </c>
      <c r="J66" s="250">
        <f>SUM(J61:J65)</f>
        <v>2791.4</v>
      </c>
    </row>
    <row r="67" spans="1:10" ht="24.95" customHeight="1">
      <c r="A67" s="389" t="s">
        <v>207</v>
      </c>
      <c r="B67" s="390"/>
      <c r="C67" s="390"/>
      <c r="D67" s="390"/>
      <c r="E67" s="390"/>
      <c r="F67" s="390"/>
      <c r="G67" s="390"/>
      <c r="H67" s="390"/>
      <c r="I67" s="390"/>
      <c r="J67" s="391"/>
    </row>
    <row r="68" spans="1:10" ht="20.100000000000001" customHeight="1">
      <c r="A68" s="90" t="s">
        <v>206</v>
      </c>
      <c r="B68" s="83">
        <f>'IV. Кап. інвестиції'!B6</f>
        <v>4000</v>
      </c>
      <c r="C68" s="250">
        <f>'IV. Кап. інвестиції'!C6</f>
        <v>0</v>
      </c>
      <c r="D68" s="250">
        <f>'IV. Кап. інвестиції'!D6</f>
        <v>0</v>
      </c>
      <c r="E68" s="250">
        <f>'IV. Кап. інвестиції'!I6</f>
        <v>0</v>
      </c>
      <c r="F68" s="250">
        <f>'IV. Кап. інвестиції'!E6</f>
        <v>0</v>
      </c>
      <c r="G68" s="172">
        <f t="shared" ref="G68" si="11">ROUND(E68*106.2%,0)</f>
        <v>0</v>
      </c>
      <c r="H68" s="172">
        <f t="shared" ref="H68:J68" si="12">ROUND(G68*105.3%,0)</f>
        <v>0</v>
      </c>
      <c r="I68" s="172">
        <f t="shared" si="12"/>
        <v>0</v>
      </c>
      <c r="J68" s="172">
        <f t="shared" si="12"/>
        <v>0</v>
      </c>
    </row>
    <row r="69" spans="1:10" ht="24.95" customHeight="1">
      <c r="A69" s="395" t="s">
        <v>210</v>
      </c>
      <c r="B69" s="396"/>
      <c r="C69" s="396"/>
      <c r="D69" s="396"/>
      <c r="E69" s="396"/>
      <c r="F69" s="396"/>
      <c r="G69" s="396"/>
      <c r="H69" s="396"/>
      <c r="I69" s="396"/>
      <c r="J69" s="397"/>
    </row>
    <row r="70" spans="1:10" ht="20.100000000000001" customHeight="1">
      <c r="A70" s="90" t="s">
        <v>169</v>
      </c>
      <c r="B70" s="83">
        <f>' V. Коефіцієнти'!B9</f>
        <v>5020</v>
      </c>
      <c r="C70" s="252">
        <f>' V. Коефіцієнти'!D9</f>
        <v>7.9613095238095233E-2</v>
      </c>
      <c r="D70" s="252">
        <f>D51/D77</f>
        <v>6.637168141592921E-2</v>
      </c>
      <c r="E70" s="252">
        <f>' V. Коефіцієнти'!G9</f>
        <v>0.23636363636363636</v>
      </c>
      <c r="F70" s="252">
        <f>' V. Коефіцієнти'!F9</f>
        <v>-0.31094890510948908</v>
      </c>
      <c r="G70" s="86" t="s">
        <v>219</v>
      </c>
      <c r="H70" s="86" t="s">
        <v>219</v>
      </c>
      <c r="I70" s="86" t="s">
        <v>219</v>
      </c>
      <c r="J70" s="86" t="s">
        <v>219</v>
      </c>
    </row>
    <row r="71" spans="1:10" ht="37.5">
      <c r="A71" s="90" t="s">
        <v>165</v>
      </c>
      <c r="B71" s="83">
        <f>' V. Коефіцієнти'!B10</f>
        <v>5030</v>
      </c>
      <c r="C71" s="252">
        <f>' V. Коефіцієнти'!D10</f>
        <v>0.20656370656370657</v>
      </c>
      <c r="D71" s="252">
        <f>D51/D83</f>
        <v>0.17821782178217821</v>
      </c>
      <c r="E71" s="252">
        <f>' V. Коефіцієнти'!G10</f>
        <v>0.79665738161559885</v>
      </c>
      <c r="F71" s="252">
        <f>' V. Коефіцієнти'!F10</f>
        <v>-0.97557251908396958</v>
      </c>
      <c r="G71" s="86" t="s">
        <v>219</v>
      </c>
      <c r="H71" s="86" t="s">
        <v>219</v>
      </c>
      <c r="I71" s="86" t="s">
        <v>219</v>
      </c>
      <c r="J71" s="86" t="s">
        <v>219</v>
      </c>
    </row>
    <row r="72" spans="1:10" ht="20.100000000000001" customHeight="1">
      <c r="A72" s="90" t="s">
        <v>226</v>
      </c>
      <c r="B72" s="83">
        <f>' V. Коефіцієнти'!B14</f>
        <v>5110</v>
      </c>
      <c r="C72" s="252">
        <f>' V. Коефіцієнти'!D14</f>
        <v>0.6271186440677966</v>
      </c>
      <c r="D72" s="252">
        <f>D83/(D78+D79)</f>
        <v>0.59341950646298469</v>
      </c>
      <c r="E72" s="252">
        <f>' V. Коефіцієнти'!G14</f>
        <v>0.42185663924794359</v>
      </c>
      <c r="F72" s="252">
        <f>' V. Коефіцієнти'!F14</f>
        <v>0.46785714285714286</v>
      </c>
      <c r="G72" s="86" t="s">
        <v>219</v>
      </c>
      <c r="H72" s="86" t="s">
        <v>219</v>
      </c>
      <c r="I72" s="86" t="s">
        <v>219</v>
      </c>
      <c r="J72" s="86" t="s">
        <v>219</v>
      </c>
    </row>
    <row r="73" spans="1:10" ht="24.95" customHeight="1">
      <c r="A73" s="392" t="s">
        <v>209</v>
      </c>
      <c r="B73" s="393"/>
      <c r="C73" s="393"/>
      <c r="D73" s="393"/>
      <c r="E73" s="393"/>
      <c r="F73" s="393"/>
      <c r="G73" s="393"/>
      <c r="H73" s="393"/>
      <c r="I73" s="393"/>
      <c r="J73" s="394"/>
    </row>
    <row r="74" spans="1:10" ht="20.100000000000001" customHeight="1">
      <c r="A74" s="90" t="s">
        <v>144</v>
      </c>
      <c r="B74" s="83">
        <v>6000</v>
      </c>
      <c r="C74" s="172">
        <v>1047</v>
      </c>
      <c r="D74" s="285">
        <v>628</v>
      </c>
      <c r="E74" s="269">
        <f>F74+E68-'I. Фін результат'!I97</f>
        <v>377</v>
      </c>
      <c r="F74" s="167">
        <v>778</v>
      </c>
      <c r="G74" s="93" t="s">
        <v>219</v>
      </c>
      <c r="H74" s="93" t="s">
        <v>219</v>
      </c>
      <c r="I74" s="93" t="s">
        <v>219</v>
      </c>
      <c r="J74" s="93" t="s">
        <v>219</v>
      </c>
    </row>
    <row r="75" spans="1:10" ht="20.100000000000001" customHeight="1">
      <c r="A75" s="90" t="s">
        <v>145</v>
      </c>
      <c r="B75" s="83">
        <v>6010</v>
      </c>
      <c r="C75" s="172">
        <v>297</v>
      </c>
      <c r="D75" s="285">
        <v>728</v>
      </c>
      <c r="E75" s="167">
        <f>E83+E80-E74</f>
        <v>833</v>
      </c>
      <c r="F75" s="285">
        <v>44</v>
      </c>
      <c r="G75" s="93" t="s">
        <v>219</v>
      </c>
      <c r="H75" s="93" t="s">
        <v>219</v>
      </c>
      <c r="I75" s="93" t="s">
        <v>219</v>
      </c>
      <c r="J75" s="93" t="s">
        <v>219</v>
      </c>
    </row>
    <row r="76" spans="1:10" ht="37.5">
      <c r="A76" s="90" t="s">
        <v>256</v>
      </c>
      <c r="B76" s="83">
        <v>6020</v>
      </c>
      <c r="C76" s="172">
        <f>'ІІІ. Рух грош. коштів'!C74</f>
        <v>233</v>
      </c>
      <c r="D76" s="285">
        <v>704</v>
      </c>
      <c r="E76" s="167">
        <f>'ІІІ. Рух грош. коштів'!I74</f>
        <v>500.4</v>
      </c>
      <c r="F76" s="285">
        <f>'ІІІ. Рух грош. коштів'!E74</f>
        <v>2.3999999999999773</v>
      </c>
      <c r="G76" s="93" t="s">
        <v>219</v>
      </c>
      <c r="H76" s="93" t="s">
        <v>219</v>
      </c>
      <c r="I76" s="93" t="s">
        <v>219</v>
      </c>
      <c r="J76" s="93" t="s">
        <v>219</v>
      </c>
    </row>
    <row r="77" spans="1:10" s="4" customFormat="1" ht="20.100000000000001" customHeight="1">
      <c r="A77" s="92" t="s">
        <v>260</v>
      </c>
      <c r="B77" s="83">
        <v>6030</v>
      </c>
      <c r="C77" s="172">
        <f>C74+C75</f>
        <v>1344</v>
      </c>
      <c r="D77" s="285">
        <f>D74+D75</f>
        <v>1356</v>
      </c>
      <c r="E77" s="172">
        <f>E74+E75</f>
        <v>1210</v>
      </c>
      <c r="F77" s="285">
        <f>F74+F75</f>
        <v>822</v>
      </c>
      <c r="G77" s="93" t="s">
        <v>219</v>
      </c>
      <c r="H77" s="93" t="s">
        <v>219</v>
      </c>
      <c r="I77" s="93" t="s">
        <v>219</v>
      </c>
      <c r="J77" s="93" t="s">
        <v>219</v>
      </c>
    </row>
    <row r="78" spans="1:10" ht="38.25" customHeight="1">
      <c r="A78" s="90" t="s">
        <v>167</v>
      </c>
      <c r="B78" s="83">
        <v>6040</v>
      </c>
      <c r="C78" s="172"/>
      <c r="D78" s="285"/>
      <c r="E78" s="172"/>
      <c r="F78" s="285"/>
      <c r="G78" s="93" t="s">
        <v>219</v>
      </c>
      <c r="H78" s="93" t="s">
        <v>219</v>
      </c>
      <c r="I78" s="93" t="s">
        <v>219</v>
      </c>
      <c r="J78" s="93" t="s">
        <v>219</v>
      </c>
    </row>
    <row r="79" spans="1:10" ht="20.100000000000001" customHeight="1">
      <c r="A79" s="90" t="s">
        <v>168</v>
      </c>
      <c r="B79" s="83">
        <v>6050</v>
      </c>
      <c r="C79" s="172">
        <v>826</v>
      </c>
      <c r="D79" s="285">
        <v>851</v>
      </c>
      <c r="E79" s="167">
        <v>851</v>
      </c>
      <c r="F79" s="285">
        <v>560</v>
      </c>
      <c r="G79" s="93" t="s">
        <v>219</v>
      </c>
      <c r="H79" s="93" t="s">
        <v>219</v>
      </c>
      <c r="I79" s="93" t="s">
        <v>219</v>
      </c>
      <c r="J79" s="93" t="s">
        <v>219</v>
      </c>
    </row>
    <row r="80" spans="1:10" s="4" customFormat="1" ht="20.100000000000001" customHeight="1">
      <c r="A80" s="92" t="s">
        <v>259</v>
      </c>
      <c r="B80" s="83">
        <v>6060</v>
      </c>
      <c r="C80" s="250">
        <f>SUM(C78:C79)</f>
        <v>826</v>
      </c>
      <c r="D80" s="289">
        <f>SUM(D78:D79)</f>
        <v>851</v>
      </c>
      <c r="E80" s="250">
        <f>SUM(E78:E79)</f>
        <v>851</v>
      </c>
      <c r="F80" s="289">
        <f>SUM(F78:F79)</f>
        <v>560</v>
      </c>
      <c r="G80" s="93" t="s">
        <v>219</v>
      </c>
      <c r="H80" s="93" t="s">
        <v>219</v>
      </c>
      <c r="I80" s="93" t="s">
        <v>219</v>
      </c>
      <c r="J80" s="93" t="s">
        <v>219</v>
      </c>
    </row>
    <row r="81" spans="1:10" ht="20.100000000000001" customHeight="1">
      <c r="A81" s="90" t="s">
        <v>257</v>
      </c>
      <c r="B81" s="83">
        <v>6070</v>
      </c>
      <c r="C81" s="172"/>
      <c r="D81" s="285"/>
      <c r="E81" s="172"/>
      <c r="F81" s="285"/>
      <c r="G81" s="93" t="s">
        <v>219</v>
      </c>
      <c r="H81" s="93" t="s">
        <v>219</v>
      </c>
      <c r="I81" s="93" t="s">
        <v>219</v>
      </c>
      <c r="J81" s="93" t="s">
        <v>219</v>
      </c>
    </row>
    <row r="82" spans="1:10" ht="20.100000000000001" customHeight="1">
      <c r="A82" s="90" t="s">
        <v>258</v>
      </c>
      <c r="B82" s="83">
        <v>6080</v>
      </c>
      <c r="C82" s="172"/>
      <c r="D82" s="285"/>
      <c r="E82" s="172"/>
      <c r="F82" s="285"/>
      <c r="G82" s="93" t="s">
        <v>219</v>
      </c>
      <c r="H82" s="93" t="s">
        <v>219</v>
      </c>
      <c r="I82" s="93" t="s">
        <v>219</v>
      </c>
      <c r="J82" s="93" t="s">
        <v>219</v>
      </c>
    </row>
    <row r="83" spans="1:10" s="4" customFormat="1" ht="20.100000000000001" customHeight="1">
      <c r="A83" s="92" t="s">
        <v>146</v>
      </c>
      <c r="B83" s="83">
        <v>6090</v>
      </c>
      <c r="C83" s="172">
        <v>518</v>
      </c>
      <c r="D83" s="285">
        <v>505</v>
      </c>
      <c r="E83" s="269">
        <f>F83+E51-E54</f>
        <v>359</v>
      </c>
      <c r="F83" s="285">
        <v>262</v>
      </c>
      <c r="G83" s="93" t="s">
        <v>219</v>
      </c>
      <c r="H83" s="93" t="s">
        <v>219</v>
      </c>
      <c r="I83" s="93" t="s">
        <v>219</v>
      </c>
      <c r="J83" s="93" t="s">
        <v>219</v>
      </c>
    </row>
    <row r="84" spans="1:10" s="4" customFormat="1" ht="24.95" customHeight="1">
      <c r="A84" s="57"/>
      <c r="B84" s="96"/>
      <c r="C84" s="119"/>
      <c r="D84" s="120"/>
      <c r="E84" s="120"/>
      <c r="F84" s="120"/>
      <c r="G84" s="121"/>
      <c r="H84" s="121"/>
      <c r="I84" s="121"/>
      <c r="J84" s="121"/>
    </row>
    <row r="85" spans="1:10" ht="24.95" customHeight="1">
      <c r="A85" s="100"/>
      <c r="B85" s="96"/>
      <c r="C85" s="121"/>
      <c r="D85" s="122"/>
      <c r="E85" s="122"/>
      <c r="F85" s="122"/>
      <c r="G85" s="122"/>
      <c r="H85" s="122"/>
      <c r="I85" s="122"/>
      <c r="J85" s="122"/>
    </row>
    <row r="86" spans="1:10">
      <c r="A86" s="123" t="s">
        <v>397</v>
      </c>
      <c r="B86" s="124"/>
      <c r="C86" s="398" t="s">
        <v>104</v>
      </c>
      <c r="D86" s="399"/>
      <c r="E86" s="399"/>
      <c r="F86" s="399"/>
      <c r="G86" s="125"/>
      <c r="H86" s="400" t="s">
        <v>398</v>
      </c>
      <c r="I86" s="400"/>
      <c r="J86" s="400"/>
    </row>
    <row r="87" spans="1:10" s="1" customFormat="1" ht="21" customHeight="1">
      <c r="A87" s="96" t="s">
        <v>69</v>
      </c>
      <c r="B87" s="95"/>
      <c r="C87" s="387" t="s">
        <v>70</v>
      </c>
      <c r="D87" s="387"/>
      <c r="E87" s="387"/>
      <c r="F87" s="387"/>
      <c r="G87" s="126"/>
      <c r="H87" s="388" t="s">
        <v>100</v>
      </c>
      <c r="I87" s="388"/>
      <c r="J87" s="388"/>
    </row>
    <row r="89" spans="1:10">
      <c r="A89" s="42"/>
    </row>
    <row r="90" spans="1:10">
      <c r="A90" s="42"/>
    </row>
    <row r="91" spans="1:10">
      <c r="A91" s="42"/>
    </row>
    <row r="92" spans="1:10" s="21" customFormat="1">
      <c r="A92" s="42"/>
      <c r="G92" s="2"/>
      <c r="H92" s="2"/>
      <c r="I92" s="2"/>
      <c r="J92" s="2"/>
    </row>
    <row r="93" spans="1:10" s="21" customFormat="1">
      <c r="A93" s="42"/>
      <c r="G93" s="2"/>
      <c r="H93" s="2"/>
      <c r="I93" s="2"/>
      <c r="J93" s="2"/>
    </row>
    <row r="94" spans="1:10" s="21" customFormat="1">
      <c r="A94" s="42"/>
      <c r="G94" s="2"/>
      <c r="H94" s="2"/>
      <c r="I94" s="2"/>
      <c r="J94" s="2"/>
    </row>
    <row r="95" spans="1:10" s="21" customFormat="1">
      <c r="A95" s="42"/>
      <c r="G95" s="2"/>
      <c r="H95" s="2"/>
      <c r="I95" s="2"/>
      <c r="J95" s="2"/>
    </row>
    <row r="96" spans="1:10" s="21" customFormat="1">
      <c r="A96" s="42"/>
      <c r="G96" s="2"/>
      <c r="H96" s="2"/>
      <c r="I96" s="2"/>
      <c r="J96" s="2"/>
    </row>
    <row r="97" spans="1:10" s="21" customFormat="1">
      <c r="A97" s="42"/>
      <c r="G97" s="2"/>
      <c r="H97" s="2"/>
      <c r="I97" s="2"/>
      <c r="J97" s="2"/>
    </row>
    <row r="98" spans="1:10" s="21" customFormat="1">
      <c r="A98" s="42"/>
      <c r="G98" s="2"/>
      <c r="H98" s="2"/>
      <c r="I98" s="2"/>
      <c r="J98" s="2"/>
    </row>
    <row r="99" spans="1:10" s="21" customFormat="1">
      <c r="A99" s="42"/>
      <c r="G99" s="2"/>
      <c r="H99" s="2"/>
      <c r="I99" s="2"/>
      <c r="J99" s="2"/>
    </row>
    <row r="100" spans="1:10" s="21" customFormat="1">
      <c r="A100" s="42"/>
      <c r="G100" s="2"/>
      <c r="H100" s="2"/>
      <c r="I100" s="2"/>
      <c r="J100" s="2"/>
    </row>
    <row r="101" spans="1:10" s="21" customFormat="1">
      <c r="A101" s="42"/>
      <c r="G101" s="2"/>
      <c r="H101" s="2"/>
      <c r="I101" s="2"/>
      <c r="J101" s="2"/>
    </row>
    <row r="102" spans="1:10" s="21" customFormat="1">
      <c r="A102" s="42"/>
      <c r="G102" s="2"/>
      <c r="H102" s="2"/>
      <c r="I102" s="2"/>
      <c r="J102" s="2"/>
    </row>
    <row r="103" spans="1:10" s="21" customFormat="1">
      <c r="A103" s="42"/>
      <c r="G103" s="2"/>
      <c r="H103" s="2"/>
      <c r="I103" s="2"/>
      <c r="J103" s="2"/>
    </row>
    <row r="104" spans="1:10" s="21" customFormat="1">
      <c r="A104" s="42"/>
      <c r="G104" s="2"/>
      <c r="H104" s="2"/>
      <c r="I104" s="2"/>
      <c r="J104" s="2"/>
    </row>
    <row r="105" spans="1:10" s="21" customFormat="1">
      <c r="A105" s="42"/>
      <c r="G105" s="2"/>
      <c r="H105" s="2"/>
      <c r="I105" s="2"/>
      <c r="J105" s="2"/>
    </row>
    <row r="106" spans="1:10" s="21" customFormat="1">
      <c r="A106" s="42"/>
      <c r="G106" s="2"/>
      <c r="H106" s="2"/>
      <c r="I106" s="2"/>
      <c r="J106" s="2"/>
    </row>
    <row r="107" spans="1:10" s="21" customFormat="1">
      <c r="A107" s="42"/>
      <c r="G107" s="2"/>
      <c r="H107" s="2"/>
      <c r="I107" s="2"/>
      <c r="J107" s="2"/>
    </row>
    <row r="108" spans="1:10" s="21" customFormat="1">
      <c r="A108" s="42"/>
      <c r="G108" s="2"/>
      <c r="H108" s="2"/>
      <c r="I108" s="2"/>
      <c r="J108" s="2"/>
    </row>
    <row r="109" spans="1:10" s="21" customFormat="1">
      <c r="A109" s="42"/>
      <c r="G109" s="2"/>
      <c r="H109" s="2"/>
      <c r="I109" s="2"/>
      <c r="J109" s="2"/>
    </row>
    <row r="110" spans="1:10" s="21" customFormat="1">
      <c r="A110" s="42"/>
      <c r="G110" s="2"/>
      <c r="H110" s="2"/>
      <c r="I110" s="2"/>
      <c r="J110" s="2"/>
    </row>
    <row r="111" spans="1:10" s="21" customFormat="1">
      <c r="A111" s="42"/>
      <c r="G111" s="2"/>
      <c r="H111" s="2"/>
      <c r="I111" s="2"/>
      <c r="J111" s="2"/>
    </row>
    <row r="112" spans="1:10" s="21" customFormat="1">
      <c r="A112" s="42"/>
      <c r="G112" s="2"/>
      <c r="H112" s="2"/>
      <c r="I112" s="2"/>
      <c r="J112" s="2"/>
    </row>
    <row r="113" spans="1:10" s="21" customFormat="1">
      <c r="A113" s="42"/>
      <c r="G113" s="2"/>
      <c r="H113" s="2"/>
      <c r="I113" s="2"/>
      <c r="J113" s="2"/>
    </row>
    <row r="114" spans="1:10" s="21" customFormat="1">
      <c r="A114" s="42"/>
      <c r="G114" s="2"/>
      <c r="H114" s="2"/>
      <c r="I114" s="2"/>
      <c r="J114" s="2"/>
    </row>
    <row r="115" spans="1:10" s="21" customFormat="1">
      <c r="A115" s="42"/>
      <c r="G115" s="2"/>
      <c r="H115" s="2"/>
      <c r="I115" s="2"/>
      <c r="J115" s="2"/>
    </row>
    <row r="116" spans="1:10" s="21" customFormat="1">
      <c r="A116" s="42"/>
      <c r="G116" s="2"/>
      <c r="H116" s="2"/>
      <c r="I116" s="2"/>
      <c r="J116" s="2"/>
    </row>
    <row r="117" spans="1:10" s="21" customFormat="1">
      <c r="A117" s="42"/>
      <c r="G117" s="2"/>
      <c r="H117" s="2"/>
      <c r="I117" s="2"/>
      <c r="J117" s="2"/>
    </row>
    <row r="118" spans="1:10" s="21" customFormat="1">
      <c r="A118" s="42"/>
      <c r="G118" s="2"/>
      <c r="H118" s="2"/>
      <c r="I118" s="2"/>
      <c r="J118" s="2"/>
    </row>
    <row r="119" spans="1:10" s="21" customFormat="1">
      <c r="A119" s="42"/>
      <c r="G119" s="2"/>
      <c r="H119" s="2"/>
      <c r="I119" s="2"/>
      <c r="J119" s="2"/>
    </row>
    <row r="120" spans="1:10" s="21" customFormat="1">
      <c r="A120" s="42"/>
      <c r="G120" s="2"/>
      <c r="H120" s="2"/>
      <c r="I120" s="2"/>
      <c r="J120" s="2"/>
    </row>
    <row r="121" spans="1:10" s="21" customFormat="1">
      <c r="A121" s="42"/>
      <c r="G121" s="2"/>
      <c r="H121" s="2"/>
      <c r="I121" s="2"/>
      <c r="J121" s="2"/>
    </row>
    <row r="122" spans="1:10" s="21" customFormat="1">
      <c r="A122" s="42"/>
      <c r="G122" s="2"/>
      <c r="H122" s="2"/>
      <c r="I122" s="2"/>
      <c r="J122" s="2"/>
    </row>
    <row r="123" spans="1:10" s="21" customFormat="1">
      <c r="A123" s="42"/>
      <c r="G123" s="2"/>
      <c r="H123" s="2"/>
      <c r="I123" s="2"/>
      <c r="J123" s="2"/>
    </row>
    <row r="124" spans="1:10" s="21" customFormat="1">
      <c r="A124" s="42"/>
      <c r="G124" s="2"/>
      <c r="H124" s="2"/>
      <c r="I124" s="2"/>
      <c r="J124" s="2"/>
    </row>
    <row r="125" spans="1:10" s="21" customFormat="1">
      <c r="A125" s="42"/>
      <c r="G125" s="2"/>
      <c r="H125" s="2"/>
      <c r="I125" s="2"/>
      <c r="J125" s="2"/>
    </row>
    <row r="126" spans="1:10" s="21" customFormat="1">
      <c r="A126" s="42"/>
      <c r="G126" s="2"/>
      <c r="H126" s="2"/>
      <c r="I126" s="2"/>
      <c r="J126" s="2"/>
    </row>
    <row r="127" spans="1:10" s="21" customFormat="1">
      <c r="A127" s="42"/>
      <c r="G127" s="2"/>
      <c r="H127" s="2"/>
      <c r="I127" s="2"/>
      <c r="J127" s="2"/>
    </row>
    <row r="128" spans="1:10" s="21" customFormat="1">
      <c r="A128" s="42"/>
      <c r="G128" s="2"/>
      <c r="H128" s="2"/>
      <c r="I128" s="2"/>
      <c r="J128" s="2"/>
    </row>
    <row r="129" spans="1:10" s="21" customFormat="1">
      <c r="A129" s="42"/>
      <c r="G129" s="2"/>
      <c r="H129" s="2"/>
      <c r="I129" s="2"/>
      <c r="J129" s="2"/>
    </row>
    <row r="130" spans="1:10" s="21" customFormat="1">
      <c r="A130" s="42"/>
      <c r="G130" s="2"/>
      <c r="H130" s="2"/>
      <c r="I130" s="2"/>
      <c r="J130" s="2"/>
    </row>
    <row r="131" spans="1:10" s="21" customFormat="1">
      <c r="A131" s="42"/>
      <c r="G131" s="2"/>
      <c r="H131" s="2"/>
      <c r="I131" s="2"/>
      <c r="J131" s="2"/>
    </row>
    <row r="132" spans="1:10" s="21" customFormat="1">
      <c r="A132" s="42"/>
      <c r="G132" s="2"/>
      <c r="H132" s="2"/>
      <c r="I132" s="2"/>
      <c r="J132" s="2"/>
    </row>
    <row r="133" spans="1:10" s="21" customFormat="1">
      <c r="A133" s="42"/>
      <c r="G133" s="2"/>
      <c r="H133" s="2"/>
      <c r="I133" s="2"/>
      <c r="J133" s="2"/>
    </row>
    <row r="134" spans="1:10" s="21" customFormat="1">
      <c r="A134" s="42"/>
      <c r="G134" s="2"/>
      <c r="H134" s="2"/>
      <c r="I134" s="2"/>
      <c r="J134" s="2"/>
    </row>
    <row r="135" spans="1:10" s="21" customFormat="1">
      <c r="A135" s="42"/>
      <c r="G135" s="2"/>
      <c r="H135" s="2"/>
      <c r="I135" s="2"/>
      <c r="J135" s="2"/>
    </row>
    <row r="136" spans="1:10" s="21" customFormat="1">
      <c r="A136" s="42"/>
      <c r="G136" s="2"/>
      <c r="H136" s="2"/>
      <c r="I136" s="2"/>
      <c r="J136" s="2"/>
    </row>
    <row r="137" spans="1:10" s="21" customFormat="1">
      <c r="A137" s="42"/>
      <c r="G137" s="2"/>
      <c r="H137" s="2"/>
      <c r="I137" s="2"/>
      <c r="J137" s="2"/>
    </row>
    <row r="138" spans="1:10" s="21" customFormat="1">
      <c r="A138" s="42"/>
      <c r="G138" s="2"/>
      <c r="H138" s="2"/>
      <c r="I138" s="2"/>
      <c r="J138" s="2"/>
    </row>
    <row r="139" spans="1:10" s="21" customFormat="1">
      <c r="A139" s="42"/>
      <c r="G139" s="2"/>
      <c r="H139" s="2"/>
      <c r="I139" s="2"/>
      <c r="J139" s="2"/>
    </row>
    <row r="140" spans="1:10" s="21" customFormat="1">
      <c r="A140" s="42"/>
      <c r="G140" s="2"/>
      <c r="H140" s="2"/>
      <c r="I140" s="2"/>
      <c r="J140" s="2"/>
    </row>
    <row r="141" spans="1:10" s="21" customFormat="1">
      <c r="A141" s="42"/>
      <c r="G141" s="2"/>
      <c r="H141" s="2"/>
      <c r="I141" s="2"/>
      <c r="J141" s="2"/>
    </row>
    <row r="142" spans="1:10" s="21" customFormat="1">
      <c r="A142" s="42"/>
      <c r="G142" s="2"/>
      <c r="H142" s="2"/>
      <c r="I142" s="2"/>
      <c r="J142" s="2"/>
    </row>
    <row r="143" spans="1:10" s="21" customFormat="1">
      <c r="A143" s="42"/>
      <c r="G143" s="2"/>
      <c r="H143" s="2"/>
      <c r="I143" s="2"/>
      <c r="J143" s="2"/>
    </row>
    <row r="144" spans="1:10" s="21" customFormat="1">
      <c r="A144" s="42"/>
      <c r="G144" s="2"/>
      <c r="H144" s="2"/>
      <c r="I144" s="2"/>
      <c r="J144" s="2"/>
    </row>
    <row r="145" spans="1:10" s="21" customFormat="1">
      <c r="A145" s="42"/>
      <c r="G145" s="2"/>
      <c r="H145" s="2"/>
      <c r="I145" s="2"/>
      <c r="J145" s="2"/>
    </row>
    <row r="146" spans="1:10" s="21" customFormat="1">
      <c r="A146" s="42"/>
      <c r="G146" s="2"/>
      <c r="H146" s="2"/>
      <c r="I146" s="2"/>
      <c r="J146" s="2"/>
    </row>
    <row r="147" spans="1:10" s="21" customFormat="1">
      <c r="A147" s="42"/>
      <c r="G147" s="2"/>
      <c r="H147" s="2"/>
      <c r="I147" s="2"/>
      <c r="J147" s="2"/>
    </row>
    <row r="148" spans="1:10" s="21" customFormat="1">
      <c r="A148" s="42"/>
      <c r="G148" s="2"/>
      <c r="H148" s="2"/>
      <c r="I148" s="2"/>
      <c r="J148" s="2"/>
    </row>
    <row r="149" spans="1:10" s="21" customFormat="1">
      <c r="A149" s="42"/>
      <c r="G149" s="2"/>
      <c r="H149" s="2"/>
      <c r="I149" s="2"/>
      <c r="J149" s="2"/>
    </row>
    <row r="150" spans="1:10" s="21" customFormat="1">
      <c r="A150" s="42"/>
      <c r="G150" s="2"/>
      <c r="H150" s="2"/>
      <c r="I150" s="2"/>
      <c r="J150" s="2"/>
    </row>
    <row r="151" spans="1:10" s="21" customFormat="1">
      <c r="A151" s="42"/>
      <c r="G151" s="2"/>
      <c r="H151" s="2"/>
      <c r="I151" s="2"/>
      <c r="J151" s="2"/>
    </row>
    <row r="152" spans="1:10" s="21" customFormat="1">
      <c r="A152" s="42"/>
      <c r="G152" s="2"/>
      <c r="H152" s="2"/>
      <c r="I152" s="2"/>
      <c r="J152" s="2"/>
    </row>
    <row r="153" spans="1:10" s="21" customFormat="1">
      <c r="A153" s="42"/>
      <c r="G153" s="2"/>
      <c r="H153" s="2"/>
      <c r="I153" s="2"/>
      <c r="J153" s="2"/>
    </row>
    <row r="154" spans="1:10" s="21" customFormat="1">
      <c r="A154" s="42"/>
      <c r="G154" s="2"/>
      <c r="H154" s="2"/>
      <c r="I154" s="2"/>
      <c r="J154" s="2"/>
    </row>
    <row r="155" spans="1:10" s="21" customFormat="1">
      <c r="A155" s="42"/>
      <c r="G155" s="2"/>
      <c r="H155" s="2"/>
      <c r="I155" s="2"/>
      <c r="J155" s="2"/>
    </row>
    <row r="156" spans="1:10" s="21" customFormat="1">
      <c r="A156" s="42"/>
      <c r="G156" s="2"/>
      <c r="H156" s="2"/>
      <c r="I156" s="2"/>
      <c r="J156" s="2"/>
    </row>
    <row r="157" spans="1:10" s="21" customFormat="1">
      <c r="A157" s="42"/>
      <c r="G157" s="2"/>
      <c r="H157" s="2"/>
      <c r="I157" s="2"/>
      <c r="J157" s="2"/>
    </row>
    <row r="158" spans="1:10" s="21" customFormat="1">
      <c r="A158" s="42"/>
      <c r="G158" s="2"/>
      <c r="H158" s="2"/>
      <c r="I158" s="2"/>
      <c r="J158" s="2"/>
    </row>
    <row r="159" spans="1:10" s="21" customFormat="1">
      <c r="A159" s="42"/>
      <c r="G159" s="2"/>
      <c r="H159" s="2"/>
      <c r="I159" s="2"/>
      <c r="J159" s="2"/>
    </row>
    <row r="160" spans="1:10" s="21" customFormat="1">
      <c r="A160" s="42"/>
      <c r="G160" s="2"/>
      <c r="H160" s="2"/>
      <c r="I160" s="2"/>
      <c r="J160" s="2"/>
    </row>
    <row r="161" spans="1:10" s="21" customFormat="1">
      <c r="A161" s="42"/>
      <c r="G161" s="2"/>
      <c r="H161" s="2"/>
      <c r="I161" s="2"/>
      <c r="J161" s="2"/>
    </row>
    <row r="162" spans="1:10" s="21" customFormat="1">
      <c r="A162" s="42"/>
      <c r="G162" s="2"/>
      <c r="H162" s="2"/>
      <c r="I162" s="2"/>
      <c r="J162" s="2"/>
    </row>
    <row r="163" spans="1:10" s="21" customFormat="1">
      <c r="A163" s="42"/>
      <c r="G163" s="2"/>
      <c r="H163" s="2"/>
      <c r="I163" s="2"/>
      <c r="J163" s="2"/>
    </row>
    <row r="164" spans="1:10" s="21" customFormat="1">
      <c r="A164" s="42"/>
      <c r="G164" s="2"/>
      <c r="H164" s="2"/>
      <c r="I164" s="2"/>
      <c r="J164" s="2"/>
    </row>
    <row r="165" spans="1:10" s="21" customFormat="1">
      <c r="A165" s="42"/>
      <c r="G165" s="2"/>
      <c r="H165" s="2"/>
      <c r="I165" s="2"/>
      <c r="J165" s="2"/>
    </row>
    <row r="166" spans="1:10" s="21" customFormat="1">
      <c r="A166" s="42"/>
      <c r="G166" s="2"/>
      <c r="H166" s="2"/>
      <c r="I166" s="2"/>
      <c r="J166" s="2"/>
    </row>
    <row r="167" spans="1:10" s="21" customFormat="1">
      <c r="A167" s="42"/>
      <c r="G167" s="2"/>
      <c r="H167" s="2"/>
      <c r="I167" s="2"/>
      <c r="J167" s="2"/>
    </row>
    <row r="168" spans="1:10" s="21" customFormat="1">
      <c r="A168" s="42"/>
      <c r="G168" s="2"/>
      <c r="H168" s="2"/>
      <c r="I168" s="2"/>
      <c r="J168" s="2"/>
    </row>
    <row r="169" spans="1:10" s="21" customFormat="1">
      <c r="A169" s="42"/>
      <c r="G169" s="2"/>
      <c r="H169" s="2"/>
      <c r="I169" s="2"/>
      <c r="J169" s="2"/>
    </row>
    <row r="170" spans="1:10" s="21" customFormat="1">
      <c r="A170" s="42"/>
      <c r="G170" s="2"/>
      <c r="H170" s="2"/>
      <c r="I170" s="2"/>
      <c r="J170" s="2"/>
    </row>
    <row r="171" spans="1:10" s="21" customFormat="1">
      <c r="A171" s="42"/>
      <c r="G171" s="2"/>
      <c r="H171" s="2"/>
      <c r="I171" s="2"/>
      <c r="J171" s="2"/>
    </row>
    <row r="172" spans="1:10" s="21" customFormat="1">
      <c r="A172" s="42"/>
      <c r="G172" s="2"/>
      <c r="H172" s="2"/>
      <c r="I172" s="2"/>
      <c r="J172" s="2"/>
    </row>
    <row r="173" spans="1:10" s="21" customFormat="1">
      <c r="A173" s="42"/>
      <c r="G173" s="2"/>
      <c r="H173" s="2"/>
      <c r="I173" s="2"/>
      <c r="J173" s="2"/>
    </row>
    <row r="174" spans="1:10" s="21" customFormat="1">
      <c r="A174" s="42"/>
      <c r="G174" s="2"/>
      <c r="H174" s="2"/>
      <c r="I174" s="2"/>
      <c r="J174" s="2"/>
    </row>
    <row r="175" spans="1:10" s="21" customFormat="1">
      <c r="A175" s="42"/>
      <c r="G175" s="2"/>
      <c r="H175" s="2"/>
      <c r="I175" s="2"/>
      <c r="J175" s="2"/>
    </row>
    <row r="176" spans="1:10" s="21" customFormat="1">
      <c r="A176" s="42"/>
      <c r="G176" s="2"/>
      <c r="H176" s="2"/>
      <c r="I176" s="2"/>
      <c r="J176" s="2"/>
    </row>
    <row r="177" spans="1:10" s="21" customFormat="1">
      <c r="A177" s="42"/>
      <c r="G177" s="2"/>
      <c r="H177" s="2"/>
      <c r="I177" s="2"/>
      <c r="J177" s="2"/>
    </row>
    <row r="178" spans="1:10" s="21" customFormat="1">
      <c r="A178" s="42"/>
      <c r="G178" s="2"/>
      <c r="H178" s="2"/>
      <c r="I178" s="2"/>
      <c r="J178" s="2"/>
    </row>
    <row r="179" spans="1:10" s="21" customFormat="1">
      <c r="A179" s="42"/>
      <c r="G179" s="2"/>
      <c r="H179" s="2"/>
      <c r="I179" s="2"/>
      <c r="J179" s="2"/>
    </row>
    <row r="180" spans="1:10" s="21" customFormat="1">
      <c r="A180" s="42"/>
      <c r="G180" s="2"/>
      <c r="H180" s="2"/>
      <c r="I180" s="2"/>
      <c r="J180" s="2"/>
    </row>
    <row r="181" spans="1:10" s="21" customFormat="1">
      <c r="A181" s="42"/>
      <c r="G181" s="2"/>
      <c r="H181" s="2"/>
      <c r="I181" s="2"/>
      <c r="J181" s="2"/>
    </row>
    <row r="182" spans="1:10" s="21" customFormat="1">
      <c r="A182" s="42"/>
      <c r="G182" s="2"/>
      <c r="H182" s="2"/>
      <c r="I182" s="2"/>
      <c r="J182" s="2"/>
    </row>
    <row r="183" spans="1:10" s="21" customFormat="1">
      <c r="A183" s="42"/>
      <c r="G183" s="2"/>
      <c r="H183" s="2"/>
      <c r="I183" s="2"/>
      <c r="J183" s="2"/>
    </row>
    <row r="184" spans="1:10" s="21" customFormat="1">
      <c r="A184" s="42"/>
      <c r="G184" s="2"/>
      <c r="H184" s="2"/>
      <c r="I184" s="2"/>
      <c r="J184" s="2"/>
    </row>
    <row r="185" spans="1:10" s="21" customFormat="1">
      <c r="A185" s="42"/>
      <c r="G185" s="2"/>
      <c r="H185" s="2"/>
      <c r="I185" s="2"/>
      <c r="J185" s="2"/>
    </row>
    <row r="186" spans="1:10" s="21" customFormat="1">
      <c r="A186" s="42"/>
      <c r="G186" s="2"/>
      <c r="H186" s="2"/>
      <c r="I186" s="2"/>
      <c r="J186" s="2"/>
    </row>
    <row r="187" spans="1:10" s="21" customFormat="1">
      <c r="A187" s="42"/>
      <c r="G187" s="2"/>
      <c r="H187" s="2"/>
      <c r="I187" s="2"/>
      <c r="J187" s="2"/>
    </row>
    <row r="188" spans="1:10" s="21" customFormat="1">
      <c r="A188" s="42"/>
      <c r="G188" s="2"/>
      <c r="H188" s="2"/>
      <c r="I188" s="2"/>
      <c r="J188" s="2"/>
    </row>
    <row r="189" spans="1:10" s="21" customFormat="1">
      <c r="A189" s="42"/>
      <c r="G189" s="2"/>
      <c r="H189" s="2"/>
      <c r="I189" s="2"/>
      <c r="J189" s="2"/>
    </row>
    <row r="190" spans="1:10" s="21" customFormat="1">
      <c r="A190" s="42"/>
      <c r="G190" s="2"/>
      <c r="H190" s="2"/>
      <c r="I190" s="2"/>
      <c r="J190" s="2"/>
    </row>
    <row r="191" spans="1:10" s="21" customFormat="1">
      <c r="A191" s="42"/>
      <c r="G191" s="2"/>
      <c r="H191" s="2"/>
      <c r="I191" s="2"/>
      <c r="J191" s="2"/>
    </row>
    <row r="192" spans="1:10" s="21" customFormat="1">
      <c r="A192" s="42"/>
      <c r="G192" s="2"/>
      <c r="H192" s="2"/>
      <c r="I192" s="2"/>
      <c r="J192" s="2"/>
    </row>
    <row r="193" spans="1:10" s="21" customFormat="1">
      <c r="A193" s="42"/>
      <c r="G193" s="2"/>
      <c r="H193" s="2"/>
      <c r="I193" s="2"/>
      <c r="J193" s="2"/>
    </row>
    <row r="194" spans="1:10" s="21" customFormat="1">
      <c r="A194" s="42"/>
      <c r="G194" s="2"/>
      <c r="H194" s="2"/>
      <c r="I194" s="2"/>
      <c r="J194" s="2"/>
    </row>
    <row r="195" spans="1:10" s="21" customFormat="1">
      <c r="A195" s="42"/>
      <c r="G195" s="2"/>
      <c r="H195" s="2"/>
      <c r="I195" s="2"/>
      <c r="J195" s="2"/>
    </row>
    <row r="196" spans="1:10" s="21" customFormat="1">
      <c r="A196" s="42"/>
      <c r="G196" s="2"/>
      <c r="H196" s="2"/>
      <c r="I196" s="2"/>
      <c r="J196" s="2"/>
    </row>
    <row r="197" spans="1:10" s="21" customFormat="1">
      <c r="A197" s="42"/>
      <c r="G197" s="2"/>
      <c r="H197" s="2"/>
      <c r="I197" s="2"/>
      <c r="J197" s="2"/>
    </row>
    <row r="198" spans="1:10" s="21" customFormat="1">
      <c r="A198" s="42"/>
      <c r="G198" s="2"/>
      <c r="H198" s="2"/>
      <c r="I198" s="2"/>
      <c r="J198" s="2"/>
    </row>
    <row r="199" spans="1:10" s="21" customFormat="1">
      <c r="A199" s="42"/>
      <c r="G199" s="2"/>
      <c r="H199" s="2"/>
      <c r="I199" s="2"/>
      <c r="J199" s="2"/>
    </row>
    <row r="200" spans="1:10" s="21" customFormat="1">
      <c r="A200" s="42"/>
      <c r="G200" s="2"/>
      <c r="H200" s="2"/>
      <c r="I200" s="2"/>
      <c r="J200" s="2"/>
    </row>
    <row r="201" spans="1:10" s="21" customFormat="1">
      <c r="A201" s="42"/>
      <c r="G201" s="2"/>
      <c r="H201" s="2"/>
      <c r="I201" s="2"/>
      <c r="J201" s="2"/>
    </row>
    <row r="202" spans="1:10" s="21" customFormat="1">
      <c r="A202" s="42"/>
      <c r="G202" s="2"/>
      <c r="H202" s="2"/>
      <c r="I202" s="2"/>
      <c r="J202" s="2"/>
    </row>
    <row r="203" spans="1:10" s="21" customFormat="1">
      <c r="A203" s="42"/>
      <c r="G203" s="2"/>
      <c r="H203" s="2"/>
      <c r="I203" s="2"/>
      <c r="J203" s="2"/>
    </row>
    <row r="204" spans="1:10" s="21" customFormat="1">
      <c r="A204" s="42"/>
      <c r="G204" s="2"/>
      <c r="H204" s="2"/>
      <c r="I204" s="2"/>
      <c r="J204" s="2"/>
    </row>
    <row r="205" spans="1:10" s="21" customFormat="1">
      <c r="A205" s="42"/>
      <c r="G205" s="2"/>
      <c r="H205" s="2"/>
      <c r="I205" s="2"/>
      <c r="J205" s="2"/>
    </row>
    <row r="206" spans="1:10" s="21" customFormat="1">
      <c r="A206" s="42"/>
      <c r="G206" s="2"/>
      <c r="H206" s="2"/>
      <c r="I206" s="2"/>
      <c r="J206" s="2"/>
    </row>
    <row r="207" spans="1:10" s="21" customFormat="1">
      <c r="A207" s="42"/>
      <c r="G207" s="2"/>
      <c r="H207" s="2"/>
      <c r="I207" s="2"/>
      <c r="J207" s="2"/>
    </row>
    <row r="208" spans="1:10" s="21" customFormat="1">
      <c r="A208" s="42"/>
      <c r="G208" s="2"/>
      <c r="H208" s="2"/>
      <c r="I208" s="2"/>
      <c r="J208" s="2"/>
    </row>
    <row r="209" spans="1:10" s="21" customFormat="1">
      <c r="A209" s="42"/>
      <c r="G209" s="2"/>
      <c r="H209" s="2"/>
      <c r="I209" s="2"/>
      <c r="J209" s="2"/>
    </row>
    <row r="210" spans="1:10" s="21" customFormat="1">
      <c r="A210" s="42"/>
      <c r="G210" s="2"/>
      <c r="H210" s="2"/>
      <c r="I210" s="2"/>
      <c r="J210" s="2"/>
    </row>
    <row r="211" spans="1:10" s="21" customFormat="1">
      <c r="A211" s="42"/>
      <c r="G211" s="2"/>
      <c r="H211" s="2"/>
      <c r="I211" s="2"/>
      <c r="J211" s="2"/>
    </row>
    <row r="212" spans="1:10" s="21" customFormat="1">
      <c r="A212" s="42"/>
      <c r="G212" s="2"/>
      <c r="H212" s="2"/>
      <c r="I212" s="2"/>
      <c r="J212" s="2"/>
    </row>
    <row r="213" spans="1:10" s="21" customFormat="1">
      <c r="A213" s="42"/>
      <c r="G213" s="2"/>
      <c r="H213" s="2"/>
      <c r="I213" s="2"/>
      <c r="J213" s="2"/>
    </row>
    <row r="214" spans="1:10" s="21" customFormat="1">
      <c r="A214" s="42"/>
      <c r="G214" s="2"/>
      <c r="H214" s="2"/>
      <c r="I214" s="2"/>
      <c r="J214" s="2"/>
    </row>
    <row r="215" spans="1:10" s="21" customFormat="1">
      <c r="A215" s="42"/>
      <c r="G215" s="2"/>
      <c r="H215" s="2"/>
      <c r="I215" s="2"/>
      <c r="J215" s="2"/>
    </row>
    <row r="216" spans="1:10" s="21" customFormat="1">
      <c r="A216" s="42"/>
      <c r="G216" s="2"/>
      <c r="H216" s="2"/>
      <c r="I216" s="2"/>
      <c r="J216" s="2"/>
    </row>
    <row r="217" spans="1:10" s="21" customFormat="1">
      <c r="A217" s="42"/>
      <c r="G217" s="2"/>
      <c r="H217" s="2"/>
      <c r="I217" s="2"/>
      <c r="J217" s="2"/>
    </row>
    <row r="218" spans="1:10" s="21" customFormat="1">
      <c r="A218" s="42"/>
      <c r="G218" s="2"/>
      <c r="H218" s="2"/>
      <c r="I218" s="2"/>
      <c r="J218" s="2"/>
    </row>
    <row r="219" spans="1:10" s="21" customFormat="1">
      <c r="A219" s="42"/>
      <c r="G219" s="2"/>
      <c r="H219" s="2"/>
      <c r="I219" s="2"/>
      <c r="J219" s="2"/>
    </row>
    <row r="220" spans="1:10" s="21" customFormat="1">
      <c r="A220" s="42"/>
      <c r="G220" s="2"/>
      <c r="H220" s="2"/>
      <c r="I220" s="2"/>
      <c r="J220" s="2"/>
    </row>
    <row r="221" spans="1:10" s="21" customFormat="1">
      <c r="A221" s="42"/>
      <c r="G221" s="2"/>
      <c r="H221" s="2"/>
      <c r="I221" s="2"/>
      <c r="J221" s="2"/>
    </row>
    <row r="222" spans="1:10" s="21" customFormat="1">
      <c r="A222" s="42"/>
      <c r="G222" s="2"/>
      <c r="H222" s="2"/>
      <c r="I222" s="2"/>
      <c r="J222" s="2"/>
    </row>
    <row r="223" spans="1:10" s="21" customFormat="1">
      <c r="A223" s="42"/>
      <c r="G223" s="2"/>
      <c r="H223" s="2"/>
      <c r="I223" s="2"/>
      <c r="J223" s="2"/>
    </row>
    <row r="224" spans="1:10" s="21" customFormat="1">
      <c r="A224" s="42"/>
      <c r="G224" s="2"/>
      <c r="H224" s="2"/>
      <c r="I224" s="2"/>
      <c r="J224" s="2"/>
    </row>
    <row r="225" spans="1:10" s="21" customFormat="1">
      <c r="A225" s="42"/>
      <c r="G225" s="2"/>
      <c r="H225" s="2"/>
      <c r="I225" s="2"/>
      <c r="J225" s="2"/>
    </row>
    <row r="226" spans="1:10" s="21" customFormat="1">
      <c r="A226" s="42"/>
      <c r="G226" s="2"/>
      <c r="H226" s="2"/>
      <c r="I226" s="2"/>
      <c r="J226" s="2"/>
    </row>
    <row r="227" spans="1:10" s="21" customFormat="1">
      <c r="A227" s="42"/>
      <c r="G227" s="2"/>
      <c r="H227" s="2"/>
      <c r="I227" s="2"/>
      <c r="J227" s="2"/>
    </row>
    <row r="228" spans="1:10" s="21" customFormat="1">
      <c r="A228" s="42"/>
      <c r="G228" s="2"/>
      <c r="H228" s="2"/>
      <c r="I228" s="2"/>
      <c r="J228" s="2"/>
    </row>
    <row r="229" spans="1:10" s="21" customFormat="1">
      <c r="A229" s="42"/>
      <c r="G229" s="2"/>
      <c r="H229" s="2"/>
      <c r="I229" s="2"/>
      <c r="J229" s="2"/>
    </row>
    <row r="230" spans="1:10" s="21" customFormat="1">
      <c r="A230" s="42"/>
      <c r="G230" s="2"/>
      <c r="H230" s="2"/>
      <c r="I230" s="2"/>
      <c r="J230" s="2"/>
    </row>
    <row r="231" spans="1:10" s="21" customFormat="1">
      <c r="A231" s="42"/>
      <c r="G231" s="2"/>
      <c r="H231" s="2"/>
      <c r="I231" s="2"/>
      <c r="J231" s="2"/>
    </row>
    <row r="232" spans="1:10" s="21" customFormat="1">
      <c r="A232" s="42"/>
      <c r="G232" s="2"/>
      <c r="H232" s="2"/>
      <c r="I232" s="2"/>
      <c r="J232" s="2"/>
    </row>
    <row r="233" spans="1:10" s="21" customFormat="1">
      <c r="A233" s="42"/>
      <c r="G233" s="2"/>
      <c r="H233" s="2"/>
      <c r="I233" s="2"/>
      <c r="J233" s="2"/>
    </row>
    <row r="234" spans="1:10" s="21" customFormat="1">
      <c r="A234" s="42"/>
      <c r="G234" s="2"/>
      <c r="H234" s="2"/>
      <c r="I234" s="2"/>
      <c r="J234" s="2"/>
    </row>
    <row r="235" spans="1:10" s="21" customFormat="1">
      <c r="A235" s="42"/>
      <c r="G235" s="2"/>
      <c r="H235" s="2"/>
      <c r="I235" s="2"/>
      <c r="J235" s="2"/>
    </row>
    <row r="236" spans="1:10" s="21" customFormat="1">
      <c r="A236" s="42"/>
      <c r="G236" s="2"/>
      <c r="H236" s="2"/>
      <c r="I236" s="2"/>
      <c r="J236" s="2"/>
    </row>
    <row r="237" spans="1:10" s="21" customFormat="1">
      <c r="A237" s="42"/>
      <c r="G237" s="2"/>
      <c r="H237" s="2"/>
      <c r="I237" s="2"/>
      <c r="J237" s="2"/>
    </row>
    <row r="238" spans="1:10" s="21" customFormat="1">
      <c r="A238" s="42"/>
      <c r="G238" s="2"/>
      <c r="H238" s="2"/>
      <c r="I238" s="2"/>
      <c r="J238" s="2"/>
    </row>
    <row r="239" spans="1:10" s="21" customFormat="1">
      <c r="A239" s="42"/>
      <c r="G239" s="2"/>
      <c r="H239" s="2"/>
      <c r="I239" s="2"/>
      <c r="J239" s="2"/>
    </row>
    <row r="240" spans="1:10" s="21" customFormat="1">
      <c r="A240" s="42"/>
      <c r="G240" s="2"/>
      <c r="H240" s="2"/>
      <c r="I240" s="2"/>
      <c r="J240" s="2"/>
    </row>
    <row r="241" spans="1:10" s="21" customFormat="1">
      <c r="A241" s="42"/>
      <c r="G241" s="2"/>
      <c r="H241" s="2"/>
      <c r="I241" s="2"/>
      <c r="J241" s="2"/>
    </row>
    <row r="242" spans="1:10" s="21" customFormat="1">
      <c r="A242" s="42"/>
      <c r="G242" s="2"/>
      <c r="H242" s="2"/>
      <c r="I242" s="2"/>
      <c r="J242" s="2"/>
    </row>
    <row r="243" spans="1:10" s="21" customFormat="1">
      <c r="A243" s="42"/>
      <c r="G243" s="2"/>
      <c r="H243" s="2"/>
      <c r="I243" s="2"/>
      <c r="J243" s="2"/>
    </row>
    <row r="244" spans="1:10" s="21" customFormat="1">
      <c r="A244" s="42"/>
      <c r="G244" s="2"/>
      <c r="H244" s="2"/>
      <c r="I244" s="2"/>
      <c r="J244" s="2"/>
    </row>
    <row r="245" spans="1:10" s="21" customFormat="1">
      <c r="A245" s="42"/>
      <c r="G245" s="2"/>
      <c r="H245" s="2"/>
      <c r="I245" s="2"/>
      <c r="J245" s="2"/>
    </row>
    <row r="246" spans="1:10" s="21" customFormat="1">
      <c r="A246" s="42"/>
      <c r="G246" s="2"/>
      <c r="H246" s="2"/>
      <c r="I246" s="2"/>
      <c r="J246" s="2"/>
    </row>
    <row r="247" spans="1:10" s="21" customFormat="1">
      <c r="A247" s="42"/>
      <c r="G247" s="2"/>
      <c r="H247" s="2"/>
      <c r="I247" s="2"/>
      <c r="J247" s="2"/>
    </row>
    <row r="248" spans="1:10" s="21" customFormat="1">
      <c r="A248" s="42"/>
      <c r="G248" s="2"/>
      <c r="H248" s="2"/>
      <c r="I248" s="2"/>
      <c r="J248" s="2"/>
    </row>
    <row r="249" spans="1:10" s="21" customFormat="1">
      <c r="A249" s="42"/>
      <c r="G249" s="2"/>
      <c r="H249" s="2"/>
      <c r="I249" s="2"/>
      <c r="J249" s="2"/>
    </row>
    <row r="250" spans="1:10" s="21" customFormat="1">
      <c r="A250" s="42"/>
      <c r="G250" s="2"/>
      <c r="H250" s="2"/>
      <c r="I250" s="2"/>
      <c r="J250" s="2"/>
    </row>
    <row r="251" spans="1:10" s="21" customFormat="1">
      <c r="A251" s="42"/>
      <c r="G251" s="2"/>
      <c r="H251" s="2"/>
      <c r="I251" s="2"/>
      <c r="J251" s="2"/>
    </row>
    <row r="252" spans="1:10" s="21" customFormat="1">
      <c r="A252" s="42"/>
      <c r="G252" s="2"/>
      <c r="H252" s="2"/>
      <c r="I252" s="2"/>
      <c r="J252" s="2"/>
    </row>
    <row r="253" spans="1:10" s="21" customFormat="1">
      <c r="A253" s="42"/>
      <c r="G253" s="2"/>
      <c r="H253" s="2"/>
      <c r="I253" s="2"/>
      <c r="J253" s="2"/>
    </row>
    <row r="254" spans="1:10" s="21" customFormat="1">
      <c r="A254" s="42"/>
      <c r="G254" s="2"/>
      <c r="H254" s="2"/>
      <c r="I254" s="2"/>
      <c r="J254" s="2"/>
    </row>
    <row r="255" spans="1:10" s="21" customFormat="1">
      <c r="A255" s="42"/>
      <c r="G255" s="2"/>
      <c r="H255" s="2"/>
      <c r="I255" s="2"/>
      <c r="J255" s="2"/>
    </row>
    <row r="256" spans="1:10" s="21" customFormat="1">
      <c r="A256" s="42"/>
      <c r="G256" s="2"/>
      <c r="H256" s="2"/>
      <c r="I256" s="2"/>
      <c r="J256" s="2"/>
    </row>
  </sheetData>
  <sheetProtection password="C6FB" sheet="1" formatCells="0" formatColumns="0" formatRows="0"/>
  <mergeCells count="47">
    <mergeCell ref="A2:B2"/>
    <mergeCell ref="F2:J4"/>
    <mergeCell ref="A3:B3"/>
    <mergeCell ref="A5:B5"/>
    <mergeCell ref="G5:H5"/>
    <mergeCell ref="A4:B4"/>
    <mergeCell ref="C4:D4"/>
    <mergeCell ref="B15:F15"/>
    <mergeCell ref="A6:B7"/>
    <mergeCell ref="F8:J8"/>
    <mergeCell ref="F7:J7"/>
    <mergeCell ref="F9:J9"/>
    <mergeCell ref="F6:J6"/>
    <mergeCell ref="F11:J11"/>
    <mergeCell ref="B16:F16"/>
    <mergeCell ref="B17:F17"/>
    <mergeCell ref="A30:J30"/>
    <mergeCell ref="A32:J32"/>
    <mergeCell ref="G22:I22"/>
    <mergeCell ref="G23:I23"/>
    <mergeCell ref="B20:F20"/>
    <mergeCell ref="B19:F19"/>
    <mergeCell ref="B18:F18"/>
    <mergeCell ref="B21:F21"/>
    <mergeCell ref="B27:F27"/>
    <mergeCell ref="B26:F26"/>
    <mergeCell ref="B23:F23"/>
    <mergeCell ref="A22:F22"/>
    <mergeCell ref="B25:F25"/>
    <mergeCell ref="A24:F24"/>
    <mergeCell ref="A37:J37"/>
    <mergeCell ref="G34:J34"/>
    <mergeCell ref="A34:A35"/>
    <mergeCell ref="B34:B35"/>
    <mergeCell ref="E34:E35"/>
    <mergeCell ref="C34:C35"/>
    <mergeCell ref="F34:F35"/>
    <mergeCell ref="D34:D35"/>
    <mergeCell ref="C87:F87"/>
    <mergeCell ref="H87:J87"/>
    <mergeCell ref="A67:J67"/>
    <mergeCell ref="A53:J53"/>
    <mergeCell ref="A69:J69"/>
    <mergeCell ref="A60:J60"/>
    <mergeCell ref="C86:F86"/>
    <mergeCell ref="H86:J86"/>
    <mergeCell ref="A73:J73"/>
  </mergeCells>
  <phoneticPr fontId="3" type="noConversion"/>
  <pageMargins left="0.78740157480314965" right="0.39370078740157483" top="0.59055118110236227" bottom="0.59055118110236227" header="0.39370078740157483" footer="0.19685039370078741"/>
  <pageSetup paperSize="9" scale="50" orientation="portrait" r:id="rId1"/>
  <headerFooter alignWithMargins="0">
    <oddHeader xml:space="preserve">&amp;C&amp;"Times New Roman,обычный"&amp;14&amp;R&amp;"Times New Roman,обычный"&amp;14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R328"/>
  <sheetViews>
    <sheetView view="pageBreakPreview" topLeftCell="A13" zoomScale="80" zoomScaleNormal="65" zoomScaleSheetLayoutView="80" workbookViewId="0">
      <selection activeCell="C90" sqref="C90"/>
    </sheetView>
  </sheetViews>
  <sheetFormatPr defaultRowHeight="18.75"/>
  <cols>
    <col min="1" max="1" width="48.42578125" style="296" customWidth="1"/>
    <col min="2" max="2" width="14.85546875" style="294" customWidth="1"/>
    <col min="3" max="3" width="13.42578125" style="294" customWidth="1"/>
    <col min="4" max="4" width="13.7109375" style="361" customWidth="1"/>
    <col min="5" max="5" width="13.42578125" style="294" customWidth="1"/>
    <col min="6" max="6" width="13" style="296" customWidth="1"/>
    <col min="7" max="7" width="13.85546875" style="296" customWidth="1"/>
    <col min="8" max="9" width="13.140625" style="296" customWidth="1"/>
    <col min="10" max="10" width="21" style="319" customWidth="1"/>
    <col min="11" max="16384" width="9.140625" style="2"/>
  </cols>
  <sheetData>
    <row r="1" spans="1:17">
      <c r="A1" s="425" t="s">
        <v>352</v>
      </c>
      <c r="B1" s="425"/>
      <c r="C1" s="425"/>
      <c r="D1" s="425"/>
      <c r="E1" s="425"/>
      <c r="F1" s="425"/>
      <c r="G1" s="425"/>
      <c r="H1" s="425"/>
      <c r="I1" s="425"/>
      <c r="J1" s="425"/>
    </row>
    <row r="2" spans="1:17">
      <c r="A2" s="354"/>
      <c r="B2" s="355"/>
      <c r="C2" s="354"/>
      <c r="D2" s="356"/>
      <c r="E2" s="355"/>
      <c r="F2" s="354"/>
      <c r="G2" s="354"/>
      <c r="H2" s="354"/>
      <c r="I2" s="354"/>
    </row>
    <row r="3" spans="1:17" ht="36" customHeight="1">
      <c r="A3" s="432" t="s">
        <v>254</v>
      </c>
      <c r="B3" s="431" t="s">
        <v>18</v>
      </c>
      <c r="C3" s="431" t="s">
        <v>31</v>
      </c>
      <c r="D3" s="438" t="s">
        <v>39</v>
      </c>
      <c r="E3" s="437" t="s">
        <v>163</v>
      </c>
      <c r="F3" s="431" t="s">
        <v>347</v>
      </c>
      <c r="G3" s="431"/>
      <c r="H3" s="431"/>
      <c r="I3" s="431"/>
      <c r="J3" s="427" t="s">
        <v>229</v>
      </c>
    </row>
    <row r="4" spans="1:17" ht="37.5">
      <c r="A4" s="432"/>
      <c r="B4" s="431"/>
      <c r="C4" s="431"/>
      <c r="D4" s="438"/>
      <c r="E4" s="437"/>
      <c r="F4" s="357" t="s">
        <v>348</v>
      </c>
      <c r="G4" s="357" t="s">
        <v>349</v>
      </c>
      <c r="H4" s="357" t="s">
        <v>350</v>
      </c>
      <c r="I4" s="357" t="s">
        <v>71</v>
      </c>
      <c r="J4" s="427"/>
    </row>
    <row r="5" spans="1:17" ht="18" customHeight="1">
      <c r="A5" s="255">
        <v>1</v>
      </c>
      <c r="B5" s="256">
        <v>2</v>
      </c>
      <c r="C5" s="301">
        <v>3</v>
      </c>
      <c r="D5" s="358">
        <v>4</v>
      </c>
      <c r="E5" s="301">
        <v>5</v>
      </c>
      <c r="F5" s="256">
        <v>6</v>
      </c>
      <c r="G5" s="256">
        <v>7</v>
      </c>
      <c r="H5" s="256">
        <v>8</v>
      </c>
      <c r="I5" s="256">
        <v>9</v>
      </c>
      <c r="J5" s="358">
        <v>10</v>
      </c>
    </row>
    <row r="6" spans="1:17" s="4" customFormat="1" ht="20.100000000000001" customHeight="1">
      <c r="A6" s="428" t="s">
        <v>261</v>
      </c>
      <c r="B6" s="429"/>
      <c r="C6" s="429"/>
      <c r="D6" s="429"/>
      <c r="E6" s="429"/>
      <c r="F6" s="429"/>
      <c r="G6" s="429"/>
      <c r="H6" s="429"/>
      <c r="I6" s="429"/>
      <c r="J6" s="430"/>
    </row>
    <row r="7" spans="1:17" s="4" customFormat="1" ht="36" customHeight="1">
      <c r="A7" s="362" t="s">
        <v>105</v>
      </c>
      <c r="B7" s="363">
        <v>1000</v>
      </c>
      <c r="C7" s="320">
        <f>C8</f>
        <v>2383</v>
      </c>
      <c r="D7" s="320">
        <f t="shared" ref="D7:I7" si="0">D8</f>
        <v>2915</v>
      </c>
      <c r="E7" s="320">
        <f>E8</f>
        <v>756</v>
      </c>
      <c r="F7" s="320">
        <f t="shared" si="0"/>
        <v>715</v>
      </c>
      <c r="G7" s="320">
        <f t="shared" si="0"/>
        <v>1433</v>
      </c>
      <c r="H7" s="320">
        <f t="shared" si="0"/>
        <v>2145</v>
      </c>
      <c r="I7" s="320">
        <f t="shared" si="0"/>
        <v>2860</v>
      </c>
      <c r="J7" s="315"/>
      <c r="K7" s="130"/>
      <c r="L7" s="130"/>
      <c r="M7" s="130"/>
      <c r="N7" s="130"/>
      <c r="O7" s="130"/>
      <c r="P7" s="130"/>
      <c r="Q7" s="130"/>
    </row>
    <row r="8" spans="1:17" s="4" customFormat="1" ht="30.75" customHeight="1">
      <c r="A8" s="254" t="s">
        <v>381</v>
      </c>
      <c r="B8" s="255" t="s">
        <v>379</v>
      </c>
      <c r="C8" s="285">
        <v>2383</v>
      </c>
      <c r="D8" s="285">
        <v>2915</v>
      </c>
      <c r="E8" s="285">
        <v>756</v>
      </c>
      <c r="F8" s="285">
        <v>715</v>
      </c>
      <c r="G8" s="285">
        <v>1433</v>
      </c>
      <c r="H8" s="285">
        <v>2145</v>
      </c>
      <c r="I8" s="285">
        <v>2860</v>
      </c>
      <c r="J8" s="315"/>
      <c r="K8" s="130"/>
      <c r="L8" s="130"/>
      <c r="M8" s="130"/>
      <c r="N8" s="130"/>
      <c r="O8" s="130"/>
      <c r="P8" s="130"/>
      <c r="Q8" s="130"/>
    </row>
    <row r="9" spans="1:17" ht="35.25" customHeight="1">
      <c r="A9" s="362" t="s">
        <v>120</v>
      </c>
      <c r="B9" s="363">
        <v>1010</v>
      </c>
      <c r="C9" s="320">
        <f t="shared" ref="C9:I9" si="1">SUM(C10:C16)</f>
        <v>1737</v>
      </c>
      <c r="D9" s="320">
        <f t="shared" si="1"/>
        <v>2264</v>
      </c>
      <c r="E9" s="320">
        <f t="shared" si="1"/>
        <v>692</v>
      </c>
      <c r="F9" s="320">
        <f t="shared" si="1"/>
        <v>464</v>
      </c>
      <c r="G9" s="320">
        <f t="shared" si="1"/>
        <v>926</v>
      </c>
      <c r="H9" s="320">
        <f t="shared" si="1"/>
        <v>1401</v>
      </c>
      <c r="I9" s="320">
        <f t="shared" si="1"/>
        <v>1866</v>
      </c>
      <c r="J9" s="316"/>
      <c r="K9" s="95"/>
      <c r="L9" s="95"/>
      <c r="M9" s="95"/>
      <c r="N9" s="95"/>
      <c r="O9" s="95"/>
      <c r="P9" s="95"/>
      <c r="Q9" s="95"/>
    </row>
    <row r="10" spans="1:17" s="1" customFormat="1" ht="20.100000000000001" customHeight="1">
      <c r="A10" s="186" t="s">
        <v>287</v>
      </c>
      <c r="B10" s="256">
        <v>1011</v>
      </c>
      <c r="C10" s="285">
        <v>1089</v>
      </c>
      <c r="D10" s="285">
        <v>1130</v>
      </c>
      <c r="E10" s="285">
        <v>332</v>
      </c>
      <c r="F10" s="285">
        <v>280</v>
      </c>
      <c r="G10" s="285">
        <v>564</v>
      </c>
      <c r="H10" s="285">
        <v>849</v>
      </c>
      <c r="I10" s="285">
        <v>1138</v>
      </c>
      <c r="J10" s="316"/>
      <c r="K10" s="247">
        <v>0.37</v>
      </c>
      <c r="L10" s="131" t="s">
        <v>480</v>
      </c>
      <c r="M10" s="131"/>
      <c r="N10" s="131"/>
      <c r="O10" s="131"/>
      <c r="P10" s="131"/>
      <c r="Q10" s="131"/>
    </row>
    <row r="11" spans="1:17" s="1" customFormat="1">
      <c r="A11" s="131" t="s">
        <v>533</v>
      </c>
      <c r="B11" s="256">
        <v>1012</v>
      </c>
      <c r="C11" s="285"/>
      <c r="D11" s="285"/>
      <c r="E11" s="285"/>
      <c r="F11" s="308"/>
      <c r="G11" s="308"/>
      <c r="H11" s="308"/>
      <c r="I11" s="308"/>
      <c r="J11" s="316"/>
      <c r="K11" s="131"/>
      <c r="L11" s="131"/>
      <c r="M11" s="131"/>
      <c r="N11" s="131"/>
      <c r="O11" s="131"/>
      <c r="P11" s="131"/>
      <c r="Q11" s="131"/>
    </row>
    <row r="12" spans="1:17" s="1" customFormat="1" ht="20.100000000000001" customHeight="1">
      <c r="A12" s="186" t="s">
        <v>55</v>
      </c>
      <c r="B12" s="256">
        <v>1013</v>
      </c>
      <c r="C12" s="285">
        <v>296</v>
      </c>
      <c r="D12" s="285">
        <v>346</v>
      </c>
      <c r="E12" s="285">
        <v>163</v>
      </c>
      <c r="F12" s="285">
        <v>88</v>
      </c>
      <c r="G12" s="285">
        <v>172</v>
      </c>
      <c r="H12" s="285">
        <v>266</v>
      </c>
      <c r="I12" s="285">
        <v>346</v>
      </c>
      <c r="J12" s="316"/>
      <c r="K12" s="131"/>
      <c r="L12" s="131"/>
      <c r="M12" s="131"/>
      <c r="N12" s="131"/>
      <c r="O12" s="131"/>
      <c r="P12" s="131"/>
      <c r="Q12" s="131"/>
    </row>
    <row r="13" spans="1:17" s="1" customFormat="1" ht="20.100000000000001" customHeight="1">
      <c r="A13" s="186" t="s">
        <v>41</v>
      </c>
      <c r="B13" s="256">
        <v>1014</v>
      </c>
      <c r="C13" s="285">
        <v>281</v>
      </c>
      <c r="D13" s="285">
        <v>435</v>
      </c>
      <c r="E13" s="285">
        <v>112</v>
      </c>
      <c r="F13" s="285">
        <f t="shared" ref="F13:I14" si="2">ROUND(K13,0)</f>
        <v>58</v>
      </c>
      <c r="G13" s="285">
        <f t="shared" si="2"/>
        <v>116</v>
      </c>
      <c r="H13" s="285">
        <f t="shared" si="2"/>
        <v>174</v>
      </c>
      <c r="I13" s="285">
        <f t="shared" si="2"/>
        <v>231</v>
      </c>
      <c r="J13" s="316"/>
      <c r="K13" s="235">
        <f>штатка!J35/1000</f>
        <v>57.87</v>
      </c>
      <c r="L13" s="235">
        <f>штатка!K35/1000</f>
        <v>115.74</v>
      </c>
      <c r="M13" s="235">
        <f>штатка!L35/1000</f>
        <v>173.61</v>
      </c>
      <c r="N13" s="235">
        <f>штатка!M35/1000</f>
        <v>231.48</v>
      </c>
      <c r="O13" s="131"/>
      <c r="P13" s="131"/>
      <c r="Q13" s="131"/>
    </row>
    <row r="14" spans="1:17" s="1" customFormat="1" ht="20.100000000000001" customHeight="1">
      <c r="A14" s="186" t="s">
        <v>42</v>
      </c>
      <c r="B14" s="256">
        <v>1015</v>
      </c>
      <c r="C14" s="285">
        <v>58</v>
      </c>
      <c r="D14" s="285">
        <v>96</v>
      </c>
      <c r="E14" s="285">
        <v>23</v>
      </c>
      <c r="F14" s="285">
        <f t="shared" si="2"/>
        <v>13</v>
      </c>
      <c r="G14" s="285">
        <f t="shared" si="2"/>
        <v>25</v>
      </c>
      <c r="H14" s="285">
        <f t="shared" si="2"/>
        <v>38</v>
      </c>
      <c r="I14" s="285">
        <f t="shared" si="2"/>
        <v>51</v>
      </c>
      <c r="J14" s="316"/>
      <c r="K14" s="353">
        <f>штатка!J36/1000</f>
        <v>12.731399999999999</v>
      </c>
      <c r="L14" s="353">
        <f>штатка!K36/1000</f>
        <v>25.462799999999998</v>
      </c>
      <c r="M14" s="353">
        <f>штатка!L36/1000</f>
        <v>38.194199999999995</v>
      </c>
      <c r="N14" s="353">
        <f>штатка!M36/1000</f>
        <v>50.925599999999996</v>
      </c>
      <c r="O14" s="131"/>
      <c r="P14" s="131"/>
      <c r="Q14" s="131"/>
    </row>
    <row r="15" spans="1:17" s="1" customFormat="1" ht="31.5">
      <c r="A15" s="254" t="s">
        <v>54</v>
      </c>
      <c r="B15" s="256">
        <v>1017</v>
      </c>
      <c r="C15" s="285"/>
      <c r="D15" s="285">
        <v>237</v>
      </c>
      <c r="E15" s="285">
        <v>46</v>
      </c>
      <c r="F15" s="285">
        <v>18</v>
      </c>
      <c r="G15" s="285">
        <v>36</v>
      </c>
      <c r="H15" s="285">
        <v>55</v>
      </c>
      <c r="I15" s="285">
        <v>73</v>
      </c>
      <c r="J15" s="316"/>
      <c r="K15" s="131"/>
      <c r="L15" s="131"/>
      <c r="M15" s="131"/>
      <c r="N15" s="131"/>
      <c r="O15" s="131"/>
      <c r="P15" s="131"/>
      <c r="Q15" s="131"/>
    </row>
    <row r="16" spans="1:17" s="1" customFormat="1" ht="20.100000000000001" customHeight="1">
      <c r="A16" s="186" t="s">
        <v>118</v>
      </c>
      <c r="B16" s="256">
        <v>1018</v>
      </c>
      <c r="C16" s="285">
        <f>C17+C18</f>
        <v>13</v>
      </c>
      <c r="D16" s="285">
        <f t="shared" ref="D16:I16" si="3">D17+D18</f>
        <v>20</v>
      </c>
      <c r="E16" s="285">
        <f t="shared" si="3"/>
        <v>16</v>
      </c>
      <c r="F16" s="285">
        <f t="shared" si="3"/>
        <v>7</v>
      </c>
      <c r="G16" s="285">
        <f t="shared" si="3"/>
        <v>13</v>
      </c>
      <c r="H16" s="285">
        <f t="shared" si="3"/>
        <v>19</v>
      </c>
      <c r="I16" s="285">
        <f t="shared" si="3"/>
        <v>27</v>
      </c>
      <c r="J16" s="316"/>
      <c r="K16" s="131"/>
      <c r="L16" s="131"/>
      <c r="M16" s="131"/>
      <c r="N16" s="131"/>
      <c r="O16" s="131"/>
      <c r="P16" s="131"/>
      <c r="Q16" s="131"/>
    </row>
    <row r="17" spans="1:18" s="1" customFormat="1" ht="20.100000000000001" customHeight="1">
      <c r="A17" s="383" t="s">
        <v>385</v>
      </c>
      <c r="B17" s="256" t="s">
        <v>402</v>
      </c>
      <c r="C17" s="167">
        <v>12</v>
      </c>
      <c r="D17" s="285">
        <v>20</v>
      </c>
      <c r="E17" s="167">
        <v>16</v>
      </c>
      <c r="F17" s="167">
        <v>5</v>
      </c>
      <c r="G17" s="167">
        <v>9</v>
      </c>
      <c r="H17" s="167">
        <v>13</v>
      </c>
      <c r="I17" s="167">
        <v>19</v>
      </c>
      <c r="J17" s="316"/>
      <c r="K17" s="131"/>
      <c r="L17" s="131"/>
      <c r="M17" s="131"/>
      <c r="N17" s="131"/>
      <c r="O17" s="131"/>
      <c r="P17" s="131"/>
      <c r="Q17" s="131"/>
    </row>
    <row r="18" spans="1:18" s="1" customFormat="1" ht="20.100000000000001" customHeight="1">
      <c r="A18" s="186" t="s">
        <v>516</v>
      </c>
      <c r="B18" s="256" t="s">
        <v>517</v>
      </c>
      <c r="C18" s="172">
        <v>1</v>
      </c>
      <c r="D18" s="285"/>
      <c r="E18" s="172"/>
      <c r="F18" s="172">
        <v>2</v>
      </c>
      <c r="G18" s="172">
        <v>4</v>
      </c>
      <c r="H18" s="172">
        <v>6</v>
      </c>
      <c r="I18" s="172">
        <v>8</v>
      </c>
      <c r="J18" s="316"/>
      <c r="K18" s="131"/>
      <c r="L18" s="131"/>
      <c r="M18" s="131"/>
      <c r="N18" s="131"/>
      <c r="O18" s="131"/>
      <c r="P18" s="131"/>
      <c r="Q18" s="131"/>
    </row>
    <row r="19" spans="1:18" s="4" customFormat="1" ht="19.5" customHeight="1">
      <c r="A19" s="327" t="s">
        <v>23</v>
      </c>
      <c r="B19" s="364">
        <v>1020</v>
      </c>
      <c r="C19" s="325">
        <f t="shared" ref="C19:I19" si="4">C7-C9</f>
        <v>646</v>
      </c>
      <c r="D19" s="325">
        <f t="shared" si="4"/>
        <v>651</v>
      </c>
      <c r="E19" s="325">
        <f t="shared" si="4"/>
        <v>64</v>
      </c>
      <c r="F19" s="325">
        <f t="shared" si="4"/>
        <v>251</v>
      </c>
      <c r="G19" s="325">
        <f t="shared" si="4"/>
        <v>507</v>
      </c>
      <c r="H19" s="325">
        <f t="shared" si="4"/>
        <v>744</v>
      </c>
      <c r="I19" s="325">
        <f t="shared" si="4"/>
        <v>994</v>
      </c>
      <c r="J19" s="315"/>
      <c r="K19" s="130"/>
      <c r="L19" s="130"/>
      <c r="M19" s="130"/>
      <c r="N19" s="130"/>
      <c r="O19" s="130"/>
      <c r="P19" s="130"/>
      <c r="Q19" s="130"/>
    </row>
    <row r="20" spans="1:18" ht="43.5" customHeight="1">
      <c r="A20" s="365" t="s">
        <v>212</v>
      </c>
      <c r="B20" s="363">
        <v>1030</v>
      </c>
      <c r="C20" s="325">
        <f>C21+C22</f>
        <v>506</v>
      </c>
      <c r="D20" s="325">
        <f t="shared" ref="D20:I20" si="5">D21+D22</f>
        <v>562</v>
      </c>
      <c r="E20" s="325">
        <f t="shared" si="5"/>
        <v>392</v>
      </c>
      <c r="F20" s="325">
        <f t="shared" si="5"/>
        <v>180</v>
      </c>
      <c r="G20" s="325">
        <f t="shared" si="5"/>
        <v>290</v>
      </c>
      <c r="H20" s="325">
        <f t="shared" si="5"/>
        <v>397</v>
      </c>
      <c r="I20" s="325">
        <f t="shared" si="5"/>
        <v>562</v>
      </c>
      <c r="J20" s="307"/>
      <c r="K20" s="95"/>
      <c r="L20" s="95"/>
      <c r="M20" s="95"/>
      <c r="N20" s="95"/>
      <c r="O20" s="95"/>
      <c r="P20" s="95"/>
      <c r="Q20" s="95"/>
    </row>
    <row r="21" spans="1:18" s="298" customFormat="1">
      <c r="A21" s="305" t="s">
        <v>387</v>
      </c>
      <c r="B21" s="308" t="s">
        <v>534</v>
      </c>
      <c r="C21" s="285">
        <v>506</v>
      </c>
      <c r="D21" s="285">
        <v>562</v>
      </c>
      <c r="E21" s="285">
        <v>392</v>
      </c>
      <c r="F21" s="285">
        <v>180</v>
      </c>
      <c r="G21" s="285">
        <v>290</v>
      </c>
      <c r="H21" s="285">
        <v>397</v>
      </c>
      <c r="I21" s="285">
        <v>562</v>
      </c>
      <c r="J21" s="307"/>
      <c r="K21" s="296"/>
      <c r="L21" s="296"/>
      <c r="M21" s="296"/>
      <c r="N21" s="296"/>
      <c r="O21" s="296"/>
      <c r="P21" s="296"/>
      <c r="Q21" s="296"/>
    </row>
    <row r="22" spans="1:18" s="291" customFormat="1">
      <c r="A22" s="302" t="s">
        <v>213</v>
      </c>
      <c r="B22" s="148">
        <v>1031</v>
      </c>
      <c r="C22" s="257"/>
      <c r="D22" s="306"/>
      <c r="E22" s="257"/>
      <c r="F22" s="257"/>
      <c r="G22" s="257"/>
      <c r="H22" s="257"/>
      <c r="I22" s="257"/>
      <c r="J22" s="307"/>
      <c r="K22" s="290"/>
      <c r="L22" s="290"/>
      <c r="M22" s="290"/>
      <c r="N22" s="290"/>
      <c r="O22" s="290"/>
      <c r="P22" s="290"/>
      <c r="Q22" s="290"/>
    </row>
    <row r="23" spans="1:18" ht="20.100000000000001" customHeight="1">
      <c r="A23" s="327" t="s">
        <v>220</v>
      </c>
      <c r="B23" s="363">
        <v>1040</v>
      </c>
      <c r="C23" s="320">
        <f>SUM(C24:C38)+C40</f>
        <v>320</v>
      </c>
      <c r="D23" s="320">
        <f t="shared" ref="D23:I23" si="6">SUM(D24:D38)+D40</f>
        <v>450</v>
      </c>
      <c r="E23" s="320">
        <f t="shared" si="6"/>
        <v>254</v>
      </c>
      <c r="F23" s="320">
        <f t="shared" si="6"/>
        <v>137</v>
      </c>
      <c r="G23" s="320">
        <f t="shared" si="6"/>
        <v>276</v>
      </c>
      <c r="H23" s="320">
        <f t="shared" si="6"/>
        <v>413</v>
      </c>
      <c r="I23" s="320">
        <f t="shared" si="6"/>
        <v>551</v>
      </c>
      <c r="J23" s="316"/>
      <c r="K23" s="95"/>
      <c r="L23" s="95"/>
      <c r="M23" s="95"/>
      <c r="N23" s="95"/>
      <c r="O23" s="95"/>
      <c r="P23" s="95"/>
      <c r="Q23" s="95"/>
    </row>
    <row r="24" spans="1:18" ht="20.100000000000001" customHeight="1">
      <c r="A24" s="186" t="s">
        <v>22</v>
      </c>
      <c r="B24" s="253">
        <v>1044</v>
      </c>
      <c r="C24" s="172">
        <v>1</v>
      </c>
      <c r="D24" s="285">
        <v>1</v>
      </c>
      <c r="E24" s="172"/>
      <c r="F24" s="172"/>
      <c r="G24" s="172">
        <v>1</v>
      </c>
      <c r="H24" s="172">
        <v>1</v>
      </c>
      <c r="I24" s="167">
        <v>1</v>
      </c>
      <c r="J24" s="316"/>
      <c r="K24" s="95"/>
      <c r="L24" s="95"/>
      <c r="M24" s="95"/>
      <c r="N24" s="95"/>
      <c r="O24" s="95"/>
      <c r="P24" s="95"/>
      <c r="Q24" s="95"/>
      <c r="R24" s="95"/>
    </row>
    <row r="25" spans="1:18" s="1" customFormat="1" ht="20.100000000000001" customHeight="1">
      <c r="A25" s="186" t="s">
        <v>40</v>
      </c>
      <c r="B25" s="253">
        <v>1047</v>
      </c>
      <c r="C25" s="172">
        <v>1</v>
      </c>
      <c r="D25" s="285">
        <v>1</v>
      </c>
      <c r="E25" s="172">
        <f>D25</f>
        <v>1</v>
      </c>
      <c r="F25" s="172"/>
      <c r="G25" s="172">
        <v>1</v>
      </c>
      <c r="H25" s="172">
        <v>1</v>
      </c>
      <c r="I25" s="172">
        <v>1</v>
      </c>
      <c r="J25" s="316"/>
      <c r="K25" s="131"/>
      <c r="L25" s="131"/>
      <c r="M25" s="131"/>
      <c r="N25" s="131"/>
      <c r="O25" s="131"/>
      <c r="P25" s="131"/>
      <c r="Q25" s="131"/>
      <c r="R25" s="131"/>
    </row>
    <row r="26" spans="1:18" s="1" customFormat="1" ht="20.100000000000001" customHeight="1">
      <c r="A26" s="186" t="s">
        <v>41</v>
      </c>
      <c r="B26" s="253">
        <v>1048</v>
      </c>
      <c r="C26" s="172">
        <v>236</v>
      </c>
      <c r="D26" s="285">
        <v>335</v>
      </c>
      <c r="E26" s="167">
        <v>191</v>
      </c>
      <c r="F26" s="172">
        <f>ROUND(K26,0)</f>
        <v>104</v>
      </c>
      <c r="G26" s="172">
        <f t="shared" ref="G26:I27" si="7">ROUND(L26,0)</f>
        <v>209</v>
      </c>
      <c r="H26" s="172">
        <f t="shared" si="7"/>
        <v>313</v>
      </c>
      <c r="I26" s="172">
        <f t="shared" si="7"/>
        <v>417</v>
      </c>
      <c r="J26" s="316"/>
      <c r="K26" s="235">
        <f>штатка!J37/1000</f>
        <v>104.34</v>
      </c>
      <c r="L26" s="235">
        <f>штатка!K37/1000</f>
        <v>208.68</v>
      </c>
      <c r="M26" s="235">
        <f>штатка!L37/1000</f>
        <v>313.02</v>
      </c>
      <c r="N26" s="235">
        <f>штатка!M37/1000</f>
        <v>417.36</v>
      </c>
      <c r="O26" s="131"/>
      <c r="P26" s="131"/>
      <c r="Q26" s="131"/>
      <c r="R26" s="131"/>
    </row>
    <row r="27" spans="1:18" s="1" customFormat="1" ht="20.100000000000001" customHeight="1">
      <c r="A27" s="186" t="s">
        <v>42</v>
      </c>
      <c r="B27" s="253">
        <v>1049</v>
      </c>
      <c r="C27" s="172">
        <v>51</v>
      </c>
      <c r="D27" s="285">
        <v>74</v>
      </c>
      <c r="E27" s="167">
        <v>41</v>
      </c>
      <c r="F27" s="172">
        <f>ROUND(K27,0)</f>
        <v>23</v>
      </c>
      <c r="G27" s="172">
        <f t="shared" si="7"/>
        <v>46</v>
      </c>
      <c r="H27" s="172">
        <f t="shared" si="7"/>
        <v>69</v>
      </c>
      <c r="I27" s="172">
        <f t="shared" si="7"/>
        <v>92</v>
      </c>
      <c r="J27" s="316"/>
      <c r="K27" s="353">
        <f>штатка!J38/1000</f>
        <v>22.954799999999999</v>
      </c>
      <c r="L27" s="353">
        <f>штатка!K38/1000</f>
        <v>45.909599999999998</v>
      </c>
      <c r="M27" s="353">
        <f>штатка!L38/1000</f>
        <v>68.864399999999989</v>
      </c>
      <c r="N27" s="353">
        <f>штатка!M38/1000</f>
        <v>91.819199999999995</v>
      </c>
      <c r="O27" s="131"/>
      <c r="P27" s="131"/>
      <c r="Q27" s="131"/>
      <c r="R27" s="131"/>
    </row>
    <row r="28" spans="1:18" s="1" customFormat="1" ht="56.25">
      <c r="A28" s="186" t="s">
        <v>43</v>
      </c>
      <c r="B28" s="253">
        <v>1050</v>
      </c>
      <c r="C28" s="172">
        <v>8</v>
      </c>
      <c r="D28" s="285">
        <v>9</v>
      </c>
      <c r="E28" s="167">
        <v>7</v>
      </c>
      <c r="F28" s="167">
        <v>2</v>
      </c>
      <c r="G28" s="167">
        <v>5</v>
      </c>
      <c r="H28" s="167">
        <v>7</v>
      </c>
      <c r="I28" s="167">
        <v>10</v>
      </c>
      <c r="J28" s="316"/>
      <c r="K28" s="131"/>
      <c r="L28" s="131"/>
      <c r="M28" s="131"/>
      <c r="N28" s="131"/>
      <c r="O28" s="131"/>
      <c r="P28" s="131"/>
      <c r="Q28" s="131"/>
      <c r="R28" s="131"/>
    </row>
    <row r="29" spans="1:18" s="1" customFormat="1" ht="56.25">
      <c r="A29" s="302" t="s">
        <v>536</v>
      </c>
      <c r="B29" s="253">
        <v>1051</v>
      </c>
      <c r="C29" s="172"/>
      <c r="D29" s="285"/>
      <c r="E29" s="167"/>
      <c r="F29" s="167"/>
      <c r="G29" s="167"/>
      <c r="H29" s="167"/>
      <c r="I29" s="167"/>
      <c r="J29" s="316"/>
      <c r="K29" s="131"/>
      <c r="L29" s="131"/>
      <c r="M29" s="131"/>
      <c r="N29" s="131"/>
      <c r="O29" s="131"/>
      <c r="P29" s="131"/>
      <c r="Q29" s="131"/>
      <c r="R29" s="131"/>
    </row>
    <row r="30" spans="1:18" s="1" customFormat="1" ht="37.5">
      <c r="A30" s="302" t="s">
        <v>537</v>
      </c>
      <c r="B30" s="253">
        <v>1052</v>
      </c>
      <c r="C30" s="172"/>
      <c r="D30" s="285"/>
      <c r="E30" s="167"/>
      <c r="F30" s="167"/>
      <c r="G30" s="167"/>
      <c r="H30" s="167"/>
      <c r="I30" s="167"/>
      <c r="J30" s="316"/>
      <c r="K30" s="131"/>
      <c r="L30" s="131"/>
      <c r="M30" s="131"/>
      <c r="N30" s="131"/>
      <c r="O30" s="131"/>
      <c r="P30" s="131"/>
      <c r="Q30" s="131"/>
      <c r="R30" s="131"/>
    </row>
    <row r="31" spans="1:18" s="1" customFormat="1" ht="37.5">
      <c r="A31" s="302" t="s">
        <v>538</v>
      </c>
      <c r="B31" s="253">
        <v>1053</v>
      </c>
      <c r="C31" s="172"/>
      <c r="D31" s="285"/>
      <c r="E31" s="167"/>
      <c r="F31" s="167"/>
      <c r="G31" s="167"/>
      <c r="H31" s="167"/>
      <c r="I31" s="167"/>
      <c r="J31" s="316"/>
      <c r="K31" s="131"/>
      <c r="L31" s="131"/>
      <c r="M31" s="131"/>
      <c r="N31" s="131"/>
      <c r="O31" s="131"/>
      <c r="P31" s="131"/>
      <c r="Q31" s="131"/>
      <c r="R31" s="131"/>
    </row>
    <row r="32" spans="1:18" s="1" customFormat="1">
      <c r="A32" s="302" t="s">
        <v>539</v>
      </c>
      <c r="B32" s="253">
        <v>1054</v>
      </c>
      <c r="C32" s="172"/>
      <c r="D32" s="285"/>
      <c r="E32" s="167"/>
      <c r="F32" s="167"/>
      <c r="G32" s="167"/>
      <c r="H32" s="167"/>
      <c r="I32" s="167"/>
      <c r="J32" s="316"/>
      <c r="K32" s="131"/>
      <c r="L32" s="131"/>
      <c r="M32" s="131"/>
      <c r="N32" s="131"/>
      <c r="O32" s="131"/>
      <c r="P32" s="131"/>
      <c r="Q32" s="131"/>
      <c r="R32" s="131"/>
    </row>
    <row r="33" spans="1:18" s="1" customFormat="1">
      <c r="A33" s="302" t="s">
        <v>540</v>
      </c>
      <c r="B33" s="253">
        <v>1055</v>
      </c>
      <c r="C33" s="172"/>
      <c r="D33" s="285"/>
      <c r="E33" s="167"/>
      <c r="F33" s="167"/>
      <c r="G33" s="167"/>
      <c r="H33" s="167"/>
      <c r="I33" s="167"/>
      <c r="J33" s="316"/>
      <c r="K33" s="131"/>
      <c r="L33" s="131"/>
      <c r="M33" s="131"/>
      <c r="N33" s="131"/>
      <c r="O33" s="131"/>
      <c r="P33" s="131"/>
      <c r="Q33" s="131"/>
      <c r="R33" s="131"/>
    </row>
    <row r="34" spans="1:18" s="1" customFormat="1">
      <c r="A34" s="302" t="s">
        <v>541</v>
      </c>
      <c r="B34" s="253">
        <v>1056</v>
      </c>
      <c r="C34" s="172"/>
      <c r="D34" s="285"/>
      <c r="E34" s="167"/>
      <c r="F34" s="167"/>
      <c r="G34" s="167"/>
      <c r="H34" s="167"/>
      <c r="I34" s="167"/>
      <c r="J34" s="316"/>
      <c r="K34" s="131"/>
      <c r="L34" s="131"/>
      <c r="M34" s="131"/>
      <c r="N34" s="131"/>
      <c r="O34" s="131"/>
      <c r="P34" s="131"/>
      <c r="Q34" s="131"/>
      <c r="R34" s="131"/>
    </row>
    <row r="35" spans="1:18" s="1" customFormat="1">
      <c r="A35" s="302" t="s">
        <v>542</v>
      </c>
      <c r="B35" s="253">
        <v>1057</v>
      </c>
      <c r="C35" s="172"/>
      <c r="D35" s="285"/>
      <c r="E35" s="167"/>
      <c r="F35" s="167"/>
      <c r="G35" s="167"/>
      <c r="H35" s="167"/>
      <c r="I35" s="167"/>
      <c r="J35" s="316"/>
      <c r="K35" s="131"/>
      <c r="L35" s="131"/>
      <c r="M35" s="131"/>
      <c r="N35" s="131"/>
      <c r="O35" s="131"/>
      <c r="P35" s="131"/>
      <c r="Q35" s="131"/>
      <c r="R35" s="131"/>
    </row>
    <row r="36" spans="1:18" s="1" customFormat="1" ht="37.5">
      <c r="A36" s="302" t="s">
        <v>543</v>
      </c>
      <c r="B36" s="253">
        <v>1058</v>
      </c>
      <c r="C36" s="172"/>
      <c r="D36" s="285"/>
      <c r="E36" s="167"/>
      <c r="F36" s="167"/>
      <c r="G36" s="167"/>
      <c r="H36" s="167"/>
      <c r="I36" s="167"/>
      <c r="J36" s="316"/>
      <c r="K36" s="131"/>
      <c r="L36" s="131"/>
      <c r="M36" s="131"/>
      <c r="N36" s="131"/>
      <c r="O36" s="131"/>
      <c r="P36" s="131"/>
      <c r="Q36" s="131"/>
      <c r="R36" s="131"/>
    </row>
    <row r="37" spans="1:18" s="1" customFormat="1" ht="37.5">
      <c r="A37" s="302" t="s">
        <v>544</v>
      </c>
      <c r="B37" s="253">
        <v>1059</v>
      </c>
      <c r="C37" s="172"/>
      <c r="D37" s="285"/>
      <c r="E37" s="167"/>
      <c r="F37" s="167"/>
      <c r="G37" s="167"/>
      <c r="H37" s="167"/>
      <c r="I37" s="167"/>
      <c r="J37" s="316"/>
      <c r="K37" s="131"/>
      <c r="L37" s="131"/>
      <c r="M37" s="131"/>
      <c r="N37" s="131"/>
      <c r="O37" s="131"/>
      <c r="P37" s="131"/>
      <c r="Q37" s="131"/>
      <c r="R37" s="131"/>
    </row>
    <row r="38" spans="1:18" s="1" customFormat="1" ht="75">
      <c r="A38" s="186" t="s">
        <v>68</v>
      </c>
      <c r="B38" s="253">
        <v>1060</v>
      </c>
      <c r="C38" s="172"/>
      <c r="D38" s="285">
        <v>4</v>
      </c>
      <c r="E38" s="172">
        <f>D38</f>
        <v>4</v>
      </c>
      <c r="F38" s="172">
        <v>1</v>
      </c>
      <c r="G38" s="172">
        <v>2</v>
      </c>
      <c r="H38" s="172">
        <v>3</v>
      </c>
      <c r="I38" s="167">
        <v>4</v>
      </c>
      <c r="J38" s="316"/>
      <c r="K38" s="131"/>
      <c r="L38" s="131"/>
      <c r="M38" s="131"/>
      <c r="N38" s="131"/>
      <c r="O38" s="131"/>
      <c r="P38" s="131"/>
      <c r="Q38" s="131"/>
      <c r="R38" s="131"/>
    </row>
    <row r="39" spans="1:18" s="1" customFormat="1" ht="20.100000000000001" customHeight="1">
      <c r="A39" s="186" t="s">
        <v>44</v>
      </c>
      <c r="B39" s="253">
        <v>1061</v>
      </c>
      <c r="C39" s="172"/>
      <c r="D39" s="285"/>
      <c r="E39" s="172">
        <f>D39</f>
        <v>0</v>
      </c>
      <c r="F39" s="172"/>
      <c r="G39" s="172"/>
      <c r="H39" s="172"/>
      <c r="I39" s="167"/>
      <c r="J39" s="316"/>
      <c r="K39" s="131"/>
      <c r="L39" s="131"/>
      <c r="M39" s="131"/>
      <c r="N39" s="131"/>
      <c r="O39" s="131"/>
      <c r="P39" s="131"/>
      <c r="Q39" s="131"/>
      <c r="R39" s="131"/>
    </row>
    <row r="40" spans="1:18" s="1" customFormat="1" ht="56.25">
      <c r="A40" s="186" t="s">
        <v>535</v>
      </c>
      <c r="B40" s="253">
        <v>1062</v>
      </c>
      <c r="C40" s="172">
        <v>23</v>
      </c>
      <c r="D40" s="285">
        <v>26</v>
      </c>
      <c r="E40" s="172">
        <v>10</v>
      </c>
      <c r="F40" s="167">
        <v>7</v>
      </c>
      <c r="G40" s="167">
        <v>12</v>
      </c>
      <c r="H40" s="167">
        <v>19</v>
      </c>
      <c r="I40" s="167">
        <v>26</v>
      </c>
      <c r="J40" s="316"/>
      <c r="K40" s="131"/>
      <c r="L40" s="131"/>
      <c r="M40" s="131"/>
      <c r="N40" s="131"/>
      <c r="O40" s="131"/>
      <c r="P40" s="131"/>
      <c r="Q40" s="131"/>
      <c r="R40" s="131"/>
    </row>
    <row r="41" spans="1:18" ht="20.100000000000001" customHeight="1">
      <c r="A41" s="327" t="s">
        <v>221</v>
      </c>
      <c r="B41" s="363">
        <v>1070</v>
      </c>
      <c r="C41" s="320">
        <f t="shared" ref="C41:I41" si="8">SUM(C42:C47)</f>
        <v>660</v>
      </c>
      <c r="D41" s="320">
        <f t="shared" si="8"/>
        <v>816</v>
      </c>
      <c r="E41" s="320">
        <f t="shared" si="8"/>
        <v>338</v>
      </c>
      <c r="F41" s="320">
        <f t="shared" si="8"/>
        <v>170</v>
      </c>
      <c r="G41" s="320">
        <f t="shared" si="8"/>
        <v>337</v>
      </c>
      <c r="H41" s="320">
        <f t="shared" si="8"/>
        <v>499</v>
      </c>
      <c r="I41" s="320">
        <f t="shared" si="8"/>
        <v>660</v>
      </c>
      <c r="J41" s="316"/>
      <c r="K41" s="95"/>
      <c r="L41" s="95"/>
      <c r="M41" s="95"/>
      <c r="N41" s="95"/>
      <c r="O41" s="95"/>
      <c r="P41" s="95"/>
      <c r="Q41" s="95"/>
      <c r="R41" s="95"/>
    </row>
    <row r="42" spans="1:18" s="1" customFormat="1" ht="20.100000000000001" customHeight="1">
      <c r="A42" s="186" t="s">
        <v>181</v>
      </c>
      <c r="B42" s="253">
        <v>1071</v>
      </c>
      <c r="C42" s="172"/>
      <c r="D42" s="285"/>
      <c r="E42" s="172"/>
      <c r="F42" s="172"/>
      <c r="G42" s="172"/>
      <c r="H42" s="172"/>
      <c r="I42" s="172"/>
      <c r="J42" s="316"/>
      <c r="K42" s="131"/>
      <c r="L42" s="131"/>
      <c r="M42" s="131"/>
      <c r="N42" s="131"/>
      <c r="O42" s="131"/>
      <c r="P42" s="131"/>
      <c r="Q42" s="131"/>
      <c r="R42" s="131"/>
    </row>
    <row r="43" spans="1:18" s="1" customFormat="1" ht="20.100000000000001" customHeight="1">
      <c r="A43" s="186" t="s">
        <v>182</v>
      </c>
      <c r="B43" s="253">
        <v>1072</v>
      </c>
      <c r="C43" s="172">
        <v>0</v>
      </c>
      <c r="D43" s="285">
        <v>10</v>
      </c>
      <c r="E43" s="172"/>
      <c r="F43" s="167">
        <v>2</v>
      </c>
      <c r="G43" s="167">
        <v>4</v>
      </c>
      <c r="H43" s="167">
        <v>7</v>
      </c>
      <c r="I43" s="167">
        <v>10</v>
      </c>
      <c r="J43" s="316"/>
      <c r="K43" s="131"/>
      <c r="L43" s="131"/>
      <c r="M43" s="131"/>
      <c r="N43" s="131"/>
      <c r="O43" s="131"/>
      <c r="P43" s="131"/>
      <c r="Q43" s="131"/>
      <c r="R43" s="131"/>
    </row>
    <row r="44" spans="1:18" s="1" customFormat="1" ht="20.100000000000001" customHeight="1">
      <c r="A44" s="186" t="s">
        <v>41</v>
      </c>
      <c r="B44" s="253">
        <v>1073</v>
      </c>
      <c r="C44" s="172">
        <v>350</v>
      </c>
      <c r="D44" s="285">
        <v>461</v>
      </c>
      <c r="E44" s="167">
        <v>169</v>
      </c>
      <c r="F44" s="172">
        <f>ROUND(K44,0)</f>
        <v>73</v>
      </c>
      <c r="G44" s="172">
        <f>ROUND(L44,0)</f>
        <v>146</v>
      </c>
      <c r="H44" s="172">
        <f>ROUND(M44,0)</f>
        <v>219</v>
      </c>
      <c r="I44" s="172">
        <f>ROUND(N44,0)</f>
        <v>292</v>
      </c>
      <c r="J44" s="316"/>
      <c r="K44" s="235">
        <f>штатка!J39/1000</f>
        <v>72.989999999999995</v>
      </c>
      <c r="L44" s="235">
        <f>штатка!K39/1000</f>
        <v>145.97999999999999</v>
      </c>
      <c r="M44" s="235">
        <f>штатка!L39/1000</f>
        <v>218.97</v>
      </c>
      <c r="N44" s="235">
        <f>штатка!M39/1000</f>
        <v>291.95999999999998</v>
      </c>
      <c r="O44" s="131"/>
      <c r="P44" s="131"/>
      <c r="Q44" s="131"/>
      <c r="R44" s="131"/>
    </row>
    <row r="45" spans="1:18" s="1" customFormat="1" ht="31.5">
      <c r="A45" s="254" t="s">
        <v>54</v>
      </c>
      <c r="B45" s="253">
        <v>1074</v>
      </c>
      <c r="C45" s="172">
        <v>197</v>
      </c>
      <c r="D45" s="285">
        <v>158</v>
      </c>
      <c r="E45" s="167">
        <v>109</v>
      </c>
      <c r="F45" s="167">
        <v>42</v>
      </c>
      <c r="G45" s="167">
        <v>84</v>
      </c>
      <c r="H45" s="167">
        <v>127</v>
      </c>
      <c r="I45" s="167">
        <v>159</v>
      </c>
      <c r="J45" s="316"/>
      <c r="K45" s="131"/>
      <c r="L45" s="131"/>
      <c r="M45" s="131"/>
      <c r="N45" s="131"/>
      <c r="O45" s="131"/>
      <c r="P45" s="131"/>
      <c r="Q45" s="131"/>
      <c r="R45" s="131"/>
    </row>
    <row r="46" spans="1:18" s="1" customFormat="1" ht="20.100000000000001" customHeight="1">
      <c r="A46" s="186" t="s">
        <v>42</v>
      </c>
      <c r="B46" s="253">
        <v>1075</v>
      </c>
      <c r="C46" s="172">
        <v>66</v>
      </c>
      <c r="D46" s="285">
        <v>93</v>
      </c>
      <c r="E46" s="167">
        <v>31</v>
      </c>
      <c r="F46" s="167">
        <f>ROUND(K46,0)</f>
        <v>14</v>
      </c>
      <c r="G46" s="167">
        <f>ROUND(L46,0)</f>
        <v>27</v>
      </c>
      <c r="H46" s="167">
        <f>ROUND(M46,0)</f>
        <v>41</v>
      </c>
      <c r="I46" s="167">
        <f>ROUND(N46,0)</f>
        <v>54</v>
      </c>
      <c r="J46" s="316"/>
      <c r="K46" s="353">
        <f>штатка!J40/1000</f>
        <v>13.611599999999999</v>
      </c>
      <c r="L46" s="353">
        <f>штатка!K40/1000</f>
        <v>27.223199999999999</v>
      </c>
      <c r="M46" s="353">
        <f>штатка!L40/1000</f>
        <v>40.834800000000001</v>
      </c>
      <c r="N46" s="353">
        <f>штатка!M40/1000</f>
        <v>54.446399999999997</v>
      </c>
      <c r="O46" s="131"/>
      <c r="P46" s="131"/>
      <c r="Q46" s="131"/>
      <c r="R46" s="131"/>
    </row>
    <row r="47" spans="1:18" s="1" customFormat="1" ht="20.100000000000001" customHeight="1">
      <c r="A47" s="186" t="s">
        <v>119</v>
      </c>
      <c r="B47" s="253">
        <v>1076</v>
      </c>
      <c r="C47" s="172">
        <v>47</v>
      </c>
      <c r="D47" s="285">
        <f t="shared" ref="D47:I47" si="9">D48+D49+D50+D51</f>
        <v>94</v>
      </c>
      <c r="E47" s="172">
        <f>E48+E49+E50+E51</f>
        <v>29</v>
      </c>
      <c r="F47" s="172">
        <f>F48+F49+F50+F51</f>
        <v>39</v>
      </c>
      <c r="G47" s="172">
        <f t="shared" si="9"/>
        <v>76</v>
      </c>
      <c r="H47" s="172">
        <f t="shared" si="9"/>
        <v>105</v>
      </c>
      <c r="I47" s="172">
        <f t="shared" si="9"/>
        <v>145</v>
      </c>
      <c r="J47" s="316"/>
      <c r="L47" s="131"/>
      <c r="M47" s="131"/>
      <c r="N47" s="131"/>
      <c r="O47" s="131"/>
      <c r="P47" s="131"/>
      <c r="Q47" s="131"/>
      <c r="R47" s="131"/>
    </row>
    <row r="48" spans="1:18" s="1" customFormat="1" ht="20.100000000000001" customHeight="1">
      <c r="A48" s="186" t="s">
        <v>494</v>
      </c>
      <c r="B48" s="255" t="s">
        <v>380</v>
      </c>
      <c r="C48" s="172"/>
      <c r="D48" s="285"/>
      <c r="E48" s="167">
        <v>3</v>
      </c>
      <c r="F48" s="167"/>
      <c r="G48" s="167"/>
      <c r="H48" s="167"/>
      <c r="I48" s="167">
        <v>1</v>
      </c>
      <c r="J48" s="316"/>
      <c r="K48" s="235"/>
      <c r="L48" s="235"/>
      <c r="M48" s="235"/>
      <c r="N48" s="235"/>
      <c r="O48" s="131"/>
      <c r="P48" s="131"/>
      <c r="Q48" s="131"/>
      <c r="R48" s="131"/>
    </row>
    <row r="49" spans="1:18" s="1" customFormat="1" ht="20.100000000000001" customHeight="1">
      <c r="A49" s="186" t="s">
        <v>382</v>
      </c>
      <c r="B49" s="255" t="s">
        <v>383</v>
      </c>
      <c r="C49" s="172">
        <v>7</v>
      </c>
      <c r="D49" s="285">
        <v>5</v>
      </c>
      <c r="E49" s="167">
        <v>13</v>
      </c>
      <c r="F49" s="167">
        <v>2</v>
      </c>
      <c r="G49" s="167">
        <v>5</v>
      </c>
      <c r="H49" s="167">
        <v>8</v>
      </c>
      <c r="I49" s="167">
        <v>10</v>
      </c>
      <c r="J49" s="316"/>
      <c r="K49" s="131"/>
      <c r="L49" s="131"/>
      <c r="M49" s="131"/>
      <c r="N49" s="131"/>
      <c r="O49" s="131"/>
      <c r="P49" s="131"/>
      <c r="Q49" s="131"/>
      <c r="R49" s="131"/>
    </row>
    <row r="50" spans="1:18" s="1" customFormat="1" ht="20.100000000000001" customHeight="1">
      <c r="A50" s="186" t="s">
        <v>408</v>
      </c>
      <c r="B50" s="255" t="s">
        <v>386</v>
      </c>
      <c r="C50" s="172">
        <v>31</v>
      </c>
      <c r="D50" s="285">
        <v>89</v>
      </c>
      <c r="E50" s="167">
        <v>13</v>
      </c>
      <c r="F50" s="167">
        <v>7</v>
      </c>
      <c r="G50" s="167">
        <v>23</v>
      </c>
      <c r="H50" s="167">
        <v>31</v>
      </c>
      <c r="I50" s="167">
        <v>40</v>
      </c>
      <c r="J50" s="316"/>
      <c r="K50" s="131"/>
      <c r="L50" s="131"/>
      <c r="M50" s="131"/>
      <c r="N50" s="131"/>
      <c r="O50" s="131"/>
      <c r="P50" s="131"/>
      <c r="Q50" s="131"/>
      <c r="R50" s="131"/>
    </row>
    <row r="51" spans="1:18" s="1" customFormat="1" ht="20.100000000000001" customHeight="1">
      <c r="A51" s="131" t="s">
        <v>495</v>
      </c>
      <c r="B51" s="255" t="s">
        <v>496</v>
      </c>
      <c r="C51" s="172">
        <v>9</v>
      </c>
      <c r="D51" s="285"/>
      <c r="E51" s="172"/>
      <c r="F51" s="172">
        <v>30</v>
      </c>
      <c r="G51" s="172">
        <v>48</v>
      </c>
      <c r="H51" s="172">
        <v>66</v>
      </c>
      <c r="I51" s="172">
        <v>94</v>
      </c>
      <c r="J51" s="317"/>
      <c r="K51" s="131"/>
      <c r="L51" s="131"/>
      <c r="M51" s="131"/>
      <c r="N51" s="131"/>
      <c r="O51" s="131"/>
      <c r="P51" s="131"/>
      <c r="Q51" s="131"/>
      <c r="R51" s="131"/>
    </row>
    <row r="52" spans="1:18" s="1" customFormat="1" ht="37.5">
      <c r="A52" s="366" t="s">
        <v>72</v>
      </c>
      <c r="B52" s="363">
        <v>1080</v>
      </c>
      <c r="C52" s="320">
        <f>SUM(C53:C57)</f>
        <v>322</v>
      </c>
      <c r="D52" s="320">
        <f t="shared" ref="D52:I52" si="10">SUM(D53:D57)</f>
        <v>196</v>
      </c>
      <c r="E52" s="320">
        <f t="shared" si="10"/>
        <v>368.6</v>
      </c>
      <c r="F52" s="320">
        <f t="shared" si="10"/>
        <v>126</v>
      </c>
      <c r="G52" s="320">
        <f t="shared" si="10"/>
        <v>188</v>
      </c>
      <c r="H52" s="320">
        <f t="shared" si="10"/>
        <v>236</v>
      </c>
      <c r="I52" s="320">
        <f t="shared" si="10"/>
        <v>355</v>
      </c>
      <c r="J52" s="309"/>
      <c r="K52" s="131"/>
      <c r="L52" s="131"/>
      <c r="M52" s="131"/>
      <c r="N52" s="131"/>
      <c r="O52" s="131"/>
      <c r="P52" s="131"/>
      <c r="Q52" s="131"/>
      <c r="R52" s="131"/>
    </row>
    <row r="53" spans="1:18" s="1" customFormat="1" ht="20.100000000000001" customHeight="1">
      <c r="A53" s="305" t="s">
        <v>62</v>
      </c>
      <c r="B53" s="148">
        <v>1081</v>
      </c>
      <c r="C53" s="172"/>
      <c r="D53" s="285"/>
      <c r="E53" s="172"/>
      <c r="F53" s="172"/>
      <c r="G53" s="172"/>
      <c r="H53" s="172"/>
      <c r="I53" s="172"/>
      <c r="J53" s="309"/>
      <c r="K53" s="131"/>
      <c r="L53" s="131"/>
      <c r="M53" s="131"/>
      <c r="N53" s="131"/>
      <c r="O53" s="131"/>
      <c r="P53" s="131"/>
      <c r="Q53" s="131"/>
      <c r="R53" s="131"/>
    </row>
    <row r="54" spans="1:18" s="1" customFormat="1" ht="24" customHeight="1">
      <c r="A54" s="305" t="s">
        <v>528</v>
      </c>
      <c r="B54" s="148">
        <v>1082</v>
      </c>
      <c r="C54" s="172"/>
      <c r="D54" s="285"/>
      <c r="E54" s="172"/>
      <c r="F54" s="172"/>
      <c r="G54" s="172"/>
      <c r="H54" s="172"/>
      <c r="I54" s="172"/>
      <c r="J54" s="309"/>
      <c r="K54" s="131"/>
      <c r="L54" s="131"/>
      <c r="M54" s="131"/>
      <c r="N54" s="131"/>
      <c r="O54" s="131"/>
      <c r="P54" s="131"/>
      <c r="Q54" s="131"/>
      <c r="R54" s="131"/>
    </row>
    <row r="55" spans="1:18" s="1" customFormat="1" ht="40.5" customHeight="1">
      <c r="A55" s="305" t="s">
        <v>529</v>
      </c>
      <c r="B55" s="148">
        <v>1083</v>
      </c>
      <c r="C55" s="172"/>
      <c r="D55" s="285"/>
      <c r="E55" s="172"/>
      <c r="F55" s="172"/>
      <c r="G55" s="172"/>
      <c r="H55" s="172"/>
      <c r="I55" s="172"/>
      <c r="J55" s="309"/>
      <c r="K55" s="131"/>
      <c r="L55" s="131"/>
      <c r="M55" s="131"/>
      <c r="N55" s="131"/>
      <c r="O55" s="131"/>
      <c r="P55" s="131"/>
      <c r="Q55" s="131"/>
      <c r="R55" s="131"/>
    </row>
    <row r="56" spans="1:18" s="1" customFormat="1" ht="20.100000000000001" customHeight="1">
      <c r="A56" s="305" t="s">
        <v>213</v>
      </c>
      <c r="B56" s="148">
        <v>1084</v>
      </c>
      <c r="C56" s="172"/>
      <c r="D56" s="285"/>
      <c r="E56" s="172"/>
      <c r="F56" s="172"/>
      <c r="G56" s="172"/>
      <c r="H56" s="172"/>
      <c r="I56" s="172"/>
      <c r="J56" s="309"/>
      <c r="K56" s="131"/>
      <c r="L56" s="131"/>
      <c r="M56" s="131"/>
      <c r="N56" s="131"/>
      <c r="O56" s="131"/>
      <c r="P56" s="131"/>
      <c r="Q56" s="131"/>
      <c r="R56" s="131"/>
    </row>
    <row r="57" spans="1:18" s="1" customFormat="1" ht="20.100000000000001" customHeight="1">
      <c r="A57" s="305" t="s">
        <v>244</v>
      </c>
      <c r="B57" s="148">
        <v>1085</v>
      </c>
      <c r="C57" s="172">
        <f>C58+C59+C60+C61</f>
        <v>322</v>
      </c>
      <c r="D57" s="285">
        <f>D58+D59+D60+D61</f>
        <v>196</v>
      </c>
      <c r="E57" s="285">
        <f>E58+E59+E60+E61+E62+E63+E64</f>
        <v>368.6</v>
      </c>
      <c r="F57" s="285">
        <f>F58+F59+F60+F61+F62</f>
        <v>126</v>
      </c>
      <c r="G57" s="285">
        <f t="shared" ref="G57:I57" si="11">G58+G59+G60+G61+G62</f>
        <v>188</v>
      </c>
      <c r="H57" s="285">
        <f t="shared" si="11"/>
        <v>236</v>
      </c>
      <c r="I57" s="285">
        <f t="shared" si="11"/>
        <v>355</v>
      </c>
      <c r="J57" s="309"/>
      <c r="K57" s="131"/>
      <c r="L57" s="131"/>
      <c r="M57" s="131"/>
      <c r="N57" s="131"/>
      <c r="O57" s="131"/>
      <c r="P57" s="131"/>
      <c r="Q57" s="131"/>
      <c r="R57" s="131"/>
    </row>
    <row r="58" spans="1:18" s="1" customFormat="1" ht="20.100000000000001" customHeight="1">
      <c r="A58" s="186" t="s">
        <v>490</v>
      </c>
      <c r="B58" s="255" t="s">
        <v>409</v>
      </c>
      <c r="C58" s="172">
        <v>114</v>
      </c>
      <c r="D58" s="285">
        <v>196</v>
      </c>
      <c r="E58" s="167">
        <v>116</v>
      </c>
      <c r="F58" s="167">
        <v>78</v>
      </c>
      <c r="G58" s="167">
        <v>91</v>
      </c>
      <c r="H58" s="167">
        <v>91</v>
      </c>
      <c r="I58" s="167">
        <v>160</v>
      </c>
      <c r="J58" s="316"/>
      <c r="K58" s="131"/>
      <c r="L58" s="131"/>
      <c r="M58" s="131"/>
      <c r="N58" s="131"/>
      <c r="O58" s="131"/>
      <c r="P58" s="131"/>
      <c r="Q58" s="131"/>
      <c r="R58" s="131"/>
    </row>
    <row r="59" spans="1:18" s="1" customFormat="1" ht="20.100000000000001" customHeight="1">
      <c r="A59" s="186" t="s">
        <v>495</v>
      </c>
      <c r="B59" s="255" t="s">
        <v>507</v>
      </c>
      <c r="C59" s="172">
        <v>84</v>
      </c>
      <c r="D59" s="285"/>
      <c r="E59" s="167">
        <v>65</v>
      </c>
      <c r="F59" s="167"/>
      <c r="G59" s="167"/>
      <c r="H59" s="167"/>
      <c r="I59" s="167"/>
      <c r="J59" s="316"/>
      <c r="K59" s="131"/>
      <c r="L59" s="131"/>
      <c r="M59" s="131"/>
      <c r="N59" s="131"/>
      <c r="O59" s="131"/>
      <c r="P59" s="131"/>
      <c r="Q59" s="131"/>
      <c r="R59" s="131"/>
    </row>
    <row r="60" spans="1:18" s="1" customFormat="1" ht="20.100000000000001" customHeight="1">
      <c r="A60" s="186" t="s">
        <v>508</v>
      </c>
      <c r="B60" s="255" t="s">
        <v>509</v>
      </c>
      <c r="C60" s="172">
        <v>1</v>
      </c>
      <c r="D60" s="285"/>
      <c r="E60" s="167"/>
      <c r="F60" s="167"/>
      <c r="G60" s="167"/>
      <c r="H60" s="167"/>
      <c r="I60" s="167"/>
      <c r="J60" s="316"/>
      <c r="K60" s="131"/>
      <c r="L60" s="131"/>
      <c r="M60" s="131"/>
      <c r="N60" s="131"/>
      <c r="O60" s="131"/>
      <c r="P60" s="131"/>
      <c r="Q60" s="131"/>
      <c r="R60" s="131"/>
    </row>
    <row r="61" spans="1:18" s="1" customFormat="1" ht="20.100000000000001" customHeight="1">
      <c r="A61" s="186" t="s">
        <v>511</v>
      </c>
      <c r="B61" s="255" t="s">
        <v>510</v>
      </c>
      <c r="C61" s="172">
        <v>123</v>
      </c>
      <c r="D61" s="285"/>
      <c r="E61" s="167">
        <v>105</v>
      </c>
      <c r="F61" s="167">
        <v>39</v>
      </c>
      <c r="G61" s="167">
        <v>79</v>
      </c>
      <c r="H61" s="167">
        <v>118</v>
      </c>
      <c r="I61" s="167">
        <v>159</v>
      </c>
      <c r="J61" s="316"/>
      <c r="K61" s="131"/>
      <c r="L61" s="131"/>
      <c r="M61" s="131"/>
      <c r="N61" s="131"/>
      <c r="O61" s="131"/>
      <c r="P61" s="131"/>
      <c r="Q61" s="131"/>
      <c r="R61" s="131"/>
    </row>
    <row r="62" spans="1:18" s="1" customFormat="1" ht="20.100000000000001" customHeight="1">
      <c r="A62" s="186" t="s">
        <v>491</v>
      </c>
      <c r="B62" s="255" t="s">
        <v>519</v>
      </c>
      <c r="C62" s="172"/>
      <c r="D62" s="285"/>
      <c r="E62" s="167">
        <v>30.6</v>
      </c>
      <c r="F62" s="167">
        <v>9</v>
      </c>
      <c r="G62" s="167">
        <v>18</v>
      </c>
      <c r="H62" s="167">
        <v>27</v>
      </c>
      <c r="I62" s="167">
        <v>36</v>
      </c>
      <c r="J62" s="316"/>
      <c r="K62" s="131"/>
      <c r="L62" s="131"/>
      <c r="M62" s="131"/>
      <c r="N62" s="131"/>
      <c r="O62" s="131"/>
      <c r="P62" s="131"/>
      <c r="Q62" s="131"/>
      <c r="R62" s="131"/>
    </row>
    <row r="63" spans="1:18" s="1" customFormat="1" ht="20.100000000000001" customHeight="1">
      <c r="A63" s="186" t="s">
        <v>525</v>
      </c>
      <c r="B63" s="255" t="s">
        <v>524</v>
      </c>
      <c r="C63" s="172"/>
      <c r="D63" s="285"/>
      <c r="E63" s="167">
        <v>29</v>
      </c>
      <c r="F63" s="167"/>
      <c r="G63" s="167"/>
      <c r="H63" s="167"/>
      <c r="I63" s="167"/>
      <c r="J63" s="316"/>
      <c r="K63" s="131"/>
      <c r="L63" s="131"/>
      <c r="M63" s="131"/>
      <c r="N63" s="131"/>
      <c r="O63" s="131"/>
      <c r="P63" s="131"/>
      <c r="Q63" s="131"/>
      <c r="R63" s="131"/>
    </row>
    <row r="64" spans="1:18" s="1" customFormat="1" ht="36" customHeight="1">
      <c r="A64" s="186" t="s">
        <v>527</v>
      </c>
      <c r="B64" s="255" t="s">
        <v>526</v>
      </c>
      <c r="C64" s="172"/>
      <c r="D64" s="285"/>
      <c r="E64" s="167">
        <v>23</v>
      </c>
      <c r="F64" s="167"/>
      <c r="G64" s="167"/>
      <c r="H64" s="167"/>
      <c r="I64" s="167"/>
      <c r="J64" s="316"/>
      <c r="K64" s="131"/>
      <c r="L64" s="131"/>
      <c r="M64" s="131"/>
      <c r="N64" s="131"/>
      <c r="O64" s="131"/>
      <c r="P64" s="131"/>
      <c r="Q64" s="131"/>
      <c r="R64" s="131"/>
    </row>
    <row r="65" spans="1:18" s="4" customFormat="1" ht="37.5">
      <c r="A65" s="327" t="s">
        <v>4</v>
      </c>
      <c r="B65" s="364">
        <v>1100</v>
      </c>
      <c r="C65" s="320">
        <f t="shared" ref="C65:I65" si="12">C19+C20-C23-C41-C52</f>
        <v>-150</v>
      </c>
      <c r="D65" s="320">
        <f t="shared" si="12"/>
        <v>-249</v>
      </c>
      <c r="E65" s="320">
        <f t="shared" si="12"/>
        <v>-504.6</v>
      </c>
      <c r="F65" s="320">
        <f t="shared" si="12"/>
        <v>-2</v>
      </c>
      <c r="G65" s="320">
        <f t="shared" si="12"/>
        <v>-4</v>
      </c>
      <c r="H65" s="320">
        <f t="shared" si="12"/>
        <v>-7</v>
      </c>
      <c r="I65" s="320">
        <f t="shared" si="12"/>
        <v>-10</v>
      </c>
      <c r="J65" s="316"/>
      <c r="K65" s="130"/>
      <c r="L65" s="130"/>
      <c r="M65" s="130"/>
      <c r="N65" s="130"/>
      <c r="O65" s="130"/>
      <c r="P65" s="130"/>
      <c r="Q65" s="130"/>
      <c r="R65" s="130"/>
    </row>
    <row r="66" spans="1:18" ht="20.100000000000001" customHeight="1">
      <c r="A66" s="186" t="s">
        <v>106</v>
      </c>
      <c r="B66" s="253">
        <v>1140</v>
      </c>
      <c r="C66" s="172"/>
      <c r="D66" s="285"/>
      <c r="E66" s="172"/>
      <c r="F66" s="172"/>
      <c r="G66" s="172"/>
      <c r="H66" s="172"/>
      <c r="I66" s="172"/>
      <c r="J66" s="316"/>
      <c r="K66" s="95"/>
      <c r="L66" s="95"/>
      <c r="M66" s="95"/>
      <c r="N66" s="95"/>
      <c r="O66" s="95"/>
      <c r="P66" s="95"/>
      <c r="Q66" s="95"/>
      <c r="R66" s="95"/>
    </row>
    <row r="67" spans="1:18" ht="37.5">
      <c r="A67" s="365" t="s">
        <v>214</v>
      </c>
      <c r="B67" s="363">
        <v>1150</v>
      </c>
      <c r="C67" s="320">
        <f t="shared" ref="C67:I67" si="13">C68</f>
        <v>281</v>
      </c>
      <c r="D67" s="320">
        <f t="shared" si="13"/>
        <v>359</v>
      </c>
      <c r="E67" s="320">
        <f t="shared" si="13"/>
        <v>249</v>
      </c>
      <c r="F67" s="320">
        <f t="shared" si="13"/>
        <v>89</v>
      </c>
      <c r="G67" s="320">
        <f t="shared" si="13"/>
        <v>179</v>
      </c>
      <c r="H67" s="320">
        <f t="shared" si="13"/>
        <v>269</v>
      </c>
      <c r="I67" s="320">
        <f t="shared" si="13"/>
        <v>359</v>
      </c>
      <c r="J67" s="316"/>
      <c r="K67" s="95"/>
      <c r="L67" s="95"/>
      <c r="M67" s="95"/>
      <c r="N67" s="95"/>
      <c r="O67" s="95"/>
      <c r="P67" s="95"/>
      <c r="Q67" s="95"/>
      <c r="R67" s="95"/>
    </row>
    <row r="68" spans="1:18" ht="24.75" customHeight="1">
      <c r="A68" s="254" t="s">
        <v>492</v>
      </c>
      <c r="B68" s="253" t="s">
        <v>493</v>
      </c>
      <c r="C68" s="172">
        <v>281</v>
      </c>
      <c r="D68" s="285">
        <v>359</v>
      </c>
      <c r="E68" s="167">
        <v>249</v>
      </c>
      <c r="F68" s="167">
        <v>89</v>
      </c>
      <c r="G68" s="167">
        <v>179</v>
      </c>
      <c r="H68" s="167">
        <v>269</v>
      </c>
      <c r="I68" s="167">
        <v>359</v>
      </c>
      <c r="J68" s="316"/>
      <c r="K68" s="95"/>
      <c r="L68" s="95"/>
      <c r="M68" s="95"/>
      <c r="N68" s="95"/>
      <c r="O68" s="95"/>
      <c r="P68" s="95"/>
      <c r="Q68" s="95"/>
      <c r="R68" s="95"/>
    </row>
    <row r="69" spans="1:18">
      <c r="A69" s="254" t="s">
        <v>215</v>
      </c>
      <c r="B69" s="253">
        <v>1160</v>
      </c>
      <c r="C69" s="172"/>
      <c r="D69" s="285"/>
      <c r="E69" s="172"/>
      <c r="F69" s="172"/>
      <c r="G69" s="172"/>
      <c r="H69" s="172"/>
      <c r="I69" s="172"/>
      <c r="J69" s="316"/>
      <c r="K69" s="95"/>
      <c r="L69" s="95"/>
      <c r="M69" s="95"/>
      <c r="N69" s="95"/>
      <c r="O69" s="95"/>
      <c r="P69" s="95"/>
      <c r="Q69" s="95"/>
      <c r="R69" s="95"/>
    </row>
    <row r="70" spans="1:18" ht="20.100000000000001" customHeight="1">
      <c r="A70" s="186" t="s">
        <v>213</v>
      </c>
      <c r="B70" s="253">
        <v>1161</v>
      </c>
      <c r="C70" s="172"/>
      <c r="D70" s="285"/>
      <c r="E70" s="172"/>
      <c r="F70" s="172"/>
      <c r="G70" s="172"/>
      <c r="H70" s="172"/>
      <c r="I70" s="172"/>
      <c r="J70" s="316"/>
      <c r="K70" s="95"/>
      <c r="L70" s="95"/>
      <c r="M70" s="95"/>
      <c r="N70" s="95"/>
      <c r="O70" s="95"/>
      <c r="P70" s="95"/>
      <c r="Q70" s="95"/>
      <c r="R70" s="95"/>
    </row>
    <row r="71" spans="1:18" s="4" customFormat="1" ht="37.5">
      <c r="A71" s="327" t="s">
        <v>91</v>
      </c>
      <c r="B71" s="364">
        <v>1170</v>
      </c>
      <c r="C71" s="320">
        <f t="shared" ref="C71:H71" si="14">C65+C67-C66-C69</f>
        <v>131</v>
      </c>
      <c r="D71" s="320">
        <f t="shared" si="14"/>
        <v>110</v>
      </c>
      <c r="E71" s="320">
        <f t="shared" si="14"/>
        <v>-255.60000000000002</v>
      </c>
      <c r="F71" s="320">
        <f t="shared" si="14"/>
        <v>87</v>
      </c>
      <c r="G71" s="320">
        <f t="shared" si="14"/>
        <v>175</v>
      </c>
      <c r="H71" s="320">
        <f t="shared" si="14"/>
        <v>262</v>
      </c>
      <c r="I71" s="320">
        <f>I65+I67-I66-I69</f>
        <v>349</v>
      </c>
      <c r="J71" s="315"/>
      <c r="K71" s="130"/>
      <c r="L71" s="130"/>
      <c r="M71" s="130"/>
      <c r="N71" s="130"/>
      <c r="O71" s="130"/>
      <c r="P71" s="130"/>
      <c r="Q71" s="130"/>
      <c r="R71" s="130"/>
    </row>
    <row r="72" spans="1:18" ht="20.100000000000001" customHeight="1">
      <c r="A72" s="186" t="s">
        <v>134</v>
      </c>
      <c r="B72" s="253">
        <v>1180</v>
      </c>
      <c r="C72" s="172">
        <v>24</v>
      </c>
      <c r="D72" s="285">
        <v>20</v>
      </c>
      <c r="E72" s="172"/>
      <c r="F72" s="167"/>
      <c r="G72" s="167"/>
      <c r="H72" s="167"/>
      <c r="I72" s="167">
        <f>ROUND(I71*18%,0)</f>
        <v>63</v>
      </c>
      <c r="J72" s="316"/>
      <c r="K72" s="95"/>
      <c r="L72" s="95"/>
      <c r="M72" s="95"/>
      <c r="N72" s="95"/>
      <c r="O72" s="95"/>
      <c r="P72" s="95"/>
      <c r="Q72" s="95"/>
      <c r="R72" s="95"/>
    </row>
    <row r="73" spans="1:18" ht="31.5">
      <c r="A73" s="254" t="s">
        <v>135</v>
      </c>
      <c r="B73" s="253">
        <v>1190</v>
      </c>
      <c r="C73" s="172"/>
      <c r="D73" s="285"/>
      <c r="E73" s="172"/>
      <c r="F73" s="172"/>
      <c r="G73" s="172"/>
      <c r="H73" s="172"/>
      <c r="I73" s="172"/>
      <c r="J73" s="316"/>
      <c r="K73" s="95"/>
      <c r="L73" s="95"/>
      <c r="M73" s="95"/>
      <c r="N73" s="95"/>
      <c r="O73" s="95"/>
      <c r="P73" s="95"/>
      <c r="Q73" s="95"/>
      <c r="R73" s="95"/>
    </row>
    <row r="74" spans="1:18" s="4" customFormat="1" ht="31.5">
      <c r="A74" s="367" t="s">
        <v>92</v>
      </c>
      <c r="B74" s="364">
        <v>1200</v>
      </c>
      <c r="C74" s="320">
        <f t="shared" ref="C74:G74" si="15">C71-C72-C73</f>
        <v>107</v>
      </c>
      <c r="D74" s="320">
        <f t="shared" si="15"/>
        <v>90</v>
      </c>
      <c r="E74" s="320">
        <f t="shared" si="15"/>
        <v>-255.60000000000002</v>
      </c>
      <c r="F74" s="320">
        <f t="shared" si="15"/>
        <v>87</v>
      </c>
      <c r="G74" s="320">
        <f t="shared" si="15"/>
        <v>175</v>
      </c>
      <c r="H74" s="320">
        <f>H71-H72-H73</f>
        <v>262</v>
      </c>
      <c r="I74" s="320">
        <f>I71-I72-I73</f>
        <v>286</v>
      </c>
      <c r="J74" s="352">
        <f>I8*10%</f>
        <v>286</v>
      </c>
      <c r="K74" s="248" t="s">
        <v>479</v>
      </c>
      <c r="L74" s="130"/>
      <c r="M74" s="130"/>
      <c r="N74" s="130"/>
      <c r="O74" s="130"/>
      <c r="P74" s="130"/>
      <c r="Q74" s="130"/>
      <c r="R74" s="130"/>
    </row>
    <row r="75" spans="1:18" ht="20.100000000000001" customHeight="1">
      <c r="A75" s="299" t="s">
        <v>24</v>
      </c>
      <c r="B75" s="293">
        <v>1201</v>
      </c>
      <c r="C75" s="250">
        <f>SUMIF(C74,"&gt;0")</f>
        <v>107</v>
      </c>
      <c r="D75" s="289">
        <f t="shared" ref="D75:I75" si="16">SUMIF(D74,"&gt;0")</f>
        <v>90</v>
      </c>
      <c r="E75" s="250">
        <f t="shared" si="16"/>
        <v>0</v>
      </c>
      <c r="F75" s="250">
        <f t="shared" si="16"/>
        <v>87</v>
      </c>
      <c r="G75" s="250">
        <f t="shared" si="16"/>
        <v>175</v>
      </c>
      <c r="H75" s="250">
        <f t="shared" si="16"/>
        <v>262</v>
      </c>
      <c r="I75" s="250">
        <f t="shared" si="16"/>
        <v>286</v>
      </c>
      <c r="J75" s="316"/>
      <c r="K75" s="95"/>
      <c r="L75" s="95"/>
      <c r="M75" s="95"/>
      <c r="N75" s="95"/>
      <c r="O75" s="95"/>
      <c r="P75" s="95"/>
      <c r="Q75" s="95"/>
      <c r="R75" s="95"/>
    </row>
    <row r="76" spans="1:18" ht="20.100000000000001" customHeight="1">
      <c r="A76" s="299" t="s">
        <v>25</v>
      </c>
      <c r="B76" s="293">
        <v>1202</v>
      </c>
      <c r="C76" s="289">
        <f>SUMIF(C74,"&lt;0")</f>
        <v>0</v>
      </c>
      <c r="D76" s="289">
        <f t="shared" ref="D76:I76" si="17">SUMIF(D74,"&lt;0")</f>
        <v>0</v>
      </c>
      <c r="E76" s="289">
        <f t="shared" si="17"/>
        <v>-255.60000000000002</v>
      </c>
      <c r="F76" s="289">
        <f t="shared" si="17"/>
        <v>0</v>
      </c>
      <c r="G76" s="289">
        <f t="shared" si="17"/>
        <v>0</v>
      </c>
      <c r="H76" s="289">
        <f t="shared" si="17"/>
        <v>0</v>
      </c>
      <c r="I76" s="289">
        <f t="shared" si="17"/>
        <v>0</v>
      </c>
      <c r="J76" s="316"/>
      <c r="K76" s="95"/>
      <c r="L76" s="95"/>
      <c r="M76" s="95"/>
      <c r="N76" s="95"/>
      <c r="O76" s="95"/>
      <c r="P76" s="95"/>
      <c r="Q76" s="95"/>
      <c r="R76" s="95"/>
    </row>
    <row r="77" spans="1:18" ht="19.5" customHeight="1">
      <c r="A77" s="302" t="s">
        <v>245</v>
      </c>
      <c r="B77" s="148">
        <v>1210</v>
      </c>
      <c r="C77" s="167"/>
      <c r="D77" s="285"/>
      <c r="E77" s="167"/>
      <c r="F77" s="167"/>
      <c r="G77" s="167"/>
      <c r="H77" s="167"/>
      <c r="I77" s="167"/>
      <c r="J77" s="316"/>
      <c r="K77" s="95"/>
      <c r="L77" s="95"/>
      <c r="M77" s="95"/>
      <c r="N77" s="95"/>
      <c r="O77" s="95"/>
      <c r="P77" s="95"/>
      <c r="Q77" s="95"/>
      <c r="R77" s="95"/>
    </row>
    <row r="78" spans="1:18" s="4" customFormat="1" ht="20.100000000000001" customHeight="1">
      <c r="A78" s="401" t="s">
        <v>288</v>
      </c>
      <c r="B78" s="402"/>
      <c r="C78" s="402"/>
      <c r="D78" s="402"/>
      <c r="E78" s="402"/>
      <c r="F78" s="402"/>
      <c r="G78" s="402"/>
      <c r="H78" s="402"/>
      <c r="I78" s="402"/>
      <c r="J78" s="403"/>
      <c r="K78" s="130"/>
      <c r="L78" s="130"/>
      <c r="M78" s="130"/>
      <c r="N78" s="130"/>
      <c r="O78" s="130"/>
      <c r="P78" s="130"/>
      <c r="Q78" s="130"/>
      <c r="R78" s="130"/>
    </row>
    <row r="79" spans="1:18" ht="42.75" customHeight="1">
      <c r="A79" s="179" t="s">
        <v>266</v>
      </c>
      <c r="B79" s="293">
        <v>1300</v>
      </c>
      <c r="C79" s="250">
        <f t="shared" ref="C79:I79" si="18">C20-C52</f>
        <v>184</v>
      </c>
      <c r="D79" s="289">
        <f t="shared" si="18"/>
        <v>366</v>
      </c>
      <c r="E79" s="250">
        <f t="shared" si="18"/>
        <v>23.399999999999977</v>
      </c>
      <c r="F79" s="250">
        <f t="shared" si="18"/>
        <v>54</v>
      </c>
      <c r="G79" s="250">
        <f t="shared" si="18"/>
        <v>102</v>
      </c>
      <c r="H79" s="250">
        <f t="shared" si="18"/>
        <v>161</v>
      </c>
      <c r="I79" s="250">
        <f t="shared" si="18"/>
        <v>207</v>
      </c>
      <c r="J79" s="368"/>
      <c r="K79" s="95"/>
      <c r="L79" s="95"/>
      <c r="M79" s="95"/>
      <c r="N79" s="95"/>
      <c r="O79" s="95"/>
      <c r="P79" s="95"/>
      <c r="Q79" s="95"/>
      <c r="R79" s="95"/>
    </row>
    <row r="80" spans="1:18" ht="63">
      <c r="A80" s="268" t="s">
        <v>262</v>
      </c>
      <c r="B80" s="293">
        <v>1310</v>
      </c>
      <c r="C80" s="250">
        <f>C66</f>
        <v>0</v>
      </c>
      <c r="D80" s="289">
        <f t="shared" ref="D80:I80" si="19">D66</f>
        <v>0</v>
      </c>
      <c r="E80" s="250">
        <f t="shared" si="19"/>
        <v>0</v>
      </c>
      <c r="F80" s="250">
        <f t="shared" si="19"/>
        <v>0</v>
      </c>
      <c r="G80" s="250">
        <f t="shared" si="19"/>
        <v>0</v>
      </c>
      <c r="H80" s="250">
        <f t="shared" si="19"/>
        <v>0</v>
      </c>
      <c r="I80" s="250">
        <f t="shared" si="19"/>
        <v>0</v>
      </c>
      <c r="J80" s="368"/>
      <c r="K80" s="95"/>
      <c r="L80" s="95"/>
      <c r="M80" s="95"/>
      <c r="N80" s="95"/>
      <c r="O80" s="95"/>
      <c r="P80" s="95"/>
      <c r="Q80" s="95"/>
      <c r="R80" s="95"/>
    </row>
    <row r="81" spans="1:18" ht="42.75" customHeight="1">
      <c r="A81" s="179" t="s">
        <v>263</v>
      </c>
      <c r="B81" s="293">
        <v>1320</v>
      </c>
      <c r="C81" s="250">
        <f t="shared" ref="C81:I81" si="20">C67-C69</f>
        <v>281</v>
      </c>
      <c r="D81" s="289">
        <f t="shared" si="20"/>
        <v>359</v>
      </c>
      <c r="E81" s="250">
        <f t="shared" si="20"/>
        <v>249</v>
      </c>
      <c r="F81" s="250">
        <f t="shared" si="20"/>
        <v>89</v>
      </c>
      <c r="G81" s="250">
        <f t="shared" si="20"/>
        <v>179</v>
      </c>
      <c r="H81" s="250">
        <f t="shared" si="20"/>
        <v>269</v>
      </c>
      <c r="I81" s="250">
        <f t="shared" si="20"/>
        <v>359</v>
      </c>
      <c r="J81" s="368"/>
      <c r="K81" s="95"/>
      <c r="L81" s="95"/>
      <c r="M81" s="95"/>
      <c r="N81" s="95"/>
      <c r="O81" s="95"/>
      <c r="P81" s="95"/>
      <c r="Q81" s="95"/>
      <c r="R81" s="95"/>
    </row>
    <row r="82" spans="1:18" ht="31.5">
      <c r="A82" s="268" t="s">
        <v>345</v>
      </c>
      <c r="B82" s="178">
        <v>1330</v>
      </c>
      <c r="C82" s="250">
        <f t="shared" ref="C82:I82" si="21">C7+C20+C67</f>
        <v>3170</v>
      </c>
      <c r="D82" s="289">
        <f t="shared" si="21"/>
        <v>3836</v>
      </c>
      <c r="E82" s="250">
        <f t="shared" si="21"/>
        <v>1397</v>
      </c>
      <c r="F82" s="250">
        <f t="shared" si="21"/>
        <v>984</v>
      </c>
      <c r="G82" s="250">
        <f t="shared" si="21"/>
        <v>1902</v>
      </c>
      <c r="H82" s="250">
        <f t="shared" si="21"/>
        <v>2811</v>
      </c>
      <c r="I82" s="250">
        <f t="shared" si="21"/>
        <v>3781</v>
      </c>
      <c r="J82" s="368"/>
      <c r="K82" s="95"/>
      <c r="L82" s="95"/>
      <c r="M82" s="95"/>
      <c r="N82" s="95"/>
      <c r="O82" s="95"/>
      <c r="P82" s="95"/>
      <c r="Q82" s="95"/>
      <c r="R82" s="95"/>
    </row>
    <row r="83" spans="1:18" ht="47.25">
      <c r="A83" s="268" t="s">
        <v>346</v>
      </c>
      <c r="B83" s="178">
        <v>1340</v>
      </c>
      <c r="C83" s="250">
        <f t="shared" ref="C83:I83" si="22">C9+C23+C41+C52+C66+C69+C72+C73</f>
        <v>3063</v>
      </c>
      <c r="D83" s="289">
        <f t="shared" si="22"/>
        <v>3746</v>
      </c>
      <c r="E83" s="250">
        <f t="shared" si="22"/>
        <v>1652.6</v>
      </c>
      <c r="F83" s="250">
        <f t="shared" si="22"/>
        <v>897</v>
      </c>
      <c r="G83" s="250">
        <f t="shared" si="22"/>
        <v>1727</v>
      </c>
      <c r="H83" s="250">
        <f t="shared" si="22"/>
        <v>2549</v>
      </c>
      <c r="I83" s="250">
        <f t="shared" si="22"/>
        <v>3495</v>
      </c>
      <c r="J83" s="368"/>
      <c r="K83" s="95"/>
      <c r="L83" s="95"/>
      <c r="M83" s="95"/>
      <c r="N83" s="95"/>
      <c r="O83" s="95"/>
      <c r="P83" s="95"/>
      <c r="Q83" s="95"/>
      <c r="R83" s="95"/>
    </row>
    <row r="84" spans="1:18" ht="20.100000000000001" customHeight="1">
      <c r="A84" s="401" t="s">
        <v>164</v>
      </c>
      <c r="B84" s="402"/>
      <c r="C84" s="402"/>
      <c r="D84" s="402"/>
      <c r="E84" s="402"/>
      <c r="F84" s="402"/>
      <c r="G84" s="402"/>
      <c r="H84" s="402"/>
      <c r="I84" s="402"/>
      <c r="J84" s="403"/>
      <c r="K84" s="95"/>
      <c r="L84" s="95"/>
      <c r="M84" s="95"/>
      <c r="N84" s="95"/>
      <c r="O84" s="95"/>
      <c r="P84" s="95"/>
      <c r="Q84" s="95"/>
      <c r="R84" s="95"/>
    </row>
    <row r="85" spans="1:18" ht="37.5">
      <c r="A85" s="300" t="s">
        <v>264</v>
      </c>
      <c r="B85" s="314">
        <v>1400</v>
      </c>
      <c r="C85" s="289">
        <f t="shared" ref="C85:I85" si="23">C65</f>
        <v>-150</v>
      </c>
      <c r="D85" s="289">
        <f t="shared" si="23"/>
        <v>-249</v>
      </c>
      <c r="E85" s="289">
        <f t="shared" si="23"/>
        <v>-504.6</v>
      </c>
      <c r="F85" s="289">
        <f t="shared" si="23"/>
        <v>-2</v>
      </c>
      <c r="G85" s="289">
        <f t="shared" si="23"/>
        <v>-4</v>
      </c>
      <c r="H85" s="289">
        <f t="shared" si="23"/>
        <v>-7</v>
      </c>
      <c r="I85" s="289">
        <f t="shared" si="23"/>
        <v>-10</v>
      </c>
      <c r="J85" s="369"/>
      <c r="K85" s="95"/>
      <c r="L85" s="95"/>
      <c r="M85" s="95"/>
      <c r="N85" s="95"/>
      <c r="O85" s="95"/>
      <c r="P85" s="95"/>
      <c r="Q85" s="95"/>
      <c r="R85" s="95"/>
    </row>
    <row r="86" spans="1:18">
      <c r="A86" s="300" t="s">
        <v>265</v>
      </c>
      <c r="B86" s="314">
        <v>1401</v>
      </c>
      <c r="C86" s="289">
        <f>C97</f>
        <v>328</v>
      </c>
      <c r="D86" s="289">
        <f t="shared" ref="D86:I86" si="24">D97</f>
        <v>404</v>
      </c>
      <c r="E86" s="289">
        <f t="shared" si="24"/>
        <v>267</v>
      </c>
      <c r="F86" s="289">
        <f t="shared" si="24"/>
        <v>101</v>
      </c>
      <c r="G86" s="289">
        <f t="shared" si="24"/>
        <v>204</v>
      </c>
      <c r="H86" s="289">
        <f t="shared" si="24"/>
        <v>307</v>
      </c>
      <c r="I86" s="289">
        <f t="shared" si="24"/>
        <v>401</v>
      </c>
      <c r="J86" s="369"/>
      <c r="K86" s="95"/>
      <c r="L86" s="95"/>
      <c r="M86" s="95"/>
      <c r="N86" s="95"/>
      <c r="O86" s="95"/>
      <c r="P86" s="95"/>
      <c r="Q86" s="95"/>
      <c r="R86" s="95"/>
    </row>
    <row r="87" spans="1:18" s="291" customFormat="1" ht="37.5">
      <c r="A87" s="300" t="s">
        <v>530</v>
      </c>
      <c r="B87" s="314">
        <v>1402</v>
      </c>
      <c r="C87" s="289">
        <f>C22</f>
        <v>0</v>
      </c>
      <c r="D87" s="289">
        <f t="shared" ref="D87:I87" si="25">D22</f>
        <v>0</v>
      </c>
      <c r="E87" s="289">
        <f t="shared" si="25"/>
        <v>0</v>
      </c>
      <c r="F87" s="289">
        <f t="shared" si="25"/>
        <v>0</v>
      </c>
      <c r="G87" s="289">
        <f t="shared" si="25"/>
        <v>0</v>
      </c>
      <c r="H87" s="289">
        <f t="shared" si="25"/>
        <v>0</v>
      </c>
      <c r="I87" s="289">
        <f t="shared" si="25"/>
        <v>0</v>
      </c>
      <c r="J87" s="369"/>
      <c r="K87" s="290"/>
      <c r="L87" s="290"/>
      <c r="M87" s="290"/>
      <c r="N87" s="290"/>
      <c r="O87" s="290"/>
      <c r="P87" s="290"/>
      <c r="Q87" s="290"/>
      <c r="R87" s="290"/>
    </row>
    <row r="88" spans="1:18" s="291" customFormat="1" ht="37.5">
      <c r="A88" s="300" t="s">
        <v>531</v>
      </c>
      <c r="B88" s="314">
        <v>1403</v>
      </c>
      <c r="C88" s="289">
        <f>C56</f>
        <v>0</v>
      </c>
      <c r="D88" s="289">
        <f t="shared" ref="D88:I88" si="26">D56</f>
        <v>0</v>
      </c>
      <c r="E88" s="289">
        <f t="shared" si="26"/>
        <v>0</v>
      </c>
      <c r="F88" s="289">
        <f t="shared" si="26"/>
        <v>0</v>
      </c>
      <c r="G88" s="289">
        <f t="shared" si="26"/>
        <v>0</v>
      </c>
      <c r="H88" s="289">
        <f t="shared" si="26"/>
        <v>0</v>
      </c>
      <c r="I88" s="289">
        <f t="shared" si="26"/>
        <v>0</v>
      </c>
      <c r="J88" s="369"/>
      <c r="K88" s="290"/>
      <c r="L88" s="290"/>
      <c r="M88" s="290"/>
      <c r="N88" s="290"/>
      <c r="O88" s="290"/>
      <c r="P88" s="290"/>
      <c r="Q88" s="290"/>
      <c r="R88" s="290"/>
    </row>
    <row r="89" spans="1:18" s="291" customFormat="1" ht="37.5">
      <c r="A89" s="300" t="s">
        <v>532</v>
      </c>
      <c r="B89" s="314">
        <v>1404</v>
      </c>
      <c r="C89" s="289"/>
      <c r="D89" s="289"/>
      <c r="E89" s="289"/>
      <c r="F89" s="289"/>
      <c r="G89" s="289"/>
      <c r="H89" s="289"/>
      <c r="I89" s="289"/>
      <c r="J89" s="369"/>
      <c r="K89" s="290"/>
      <c r="L89" s="290"/>
      <c r="M89" s="290"/>
      <c r="N89" s="290"/>
      <c r="O89" s="290"/>
      <c r="P89" s="290"/>
      <c r="Q89" s="290"/>
      <c r="R89" s="290"/>
    </row>
    <row r="90" spans="1:18" s="4" customFormat="1" ht="20.100000000000001" customHeight="1">
      <c r="A90" s="327" t="s">
        <v>138</v>
      </c>
      <c r="B90" s="328">
        <v>1410</v>
      </c>
      <c r="C90" s="325">
        <f t="shared" ref="C90:I90" si="27">C85+C86</f>
        <v>178</v>
      </c>
      <c r="D90" s="325">
        <f t="shared" si="27"/>
        <v>155</v>
      </c>
      <c r="E90" s="325">
        <f t="shared" si="27"/>
        <v>-237.60000000000002</v>
      </c>
      <c r="F90" s="325">
        <f t="shared" si="27"/>
        <v>99</v>
      </c>
      <c r="G90" s="325">
        <f t="shared" si="27"/>
        <v>200</v>
      </c>
      <c r="H90" s="325">
        <f t="shared" si="27"/>
        <v>300</v>
      </c>
      <c r="I90" s="325">
        <f t="shared" si="27"/>
        <v>391</v>
      </c>
      <c r="J90" s="369"/>
      <c r="K90" s="130"/>
      <c r="L90" s="130"/>
      <c r="M90" s="130"/>
      <c r="N90" s="130"/>
      <c r="O90" s="130"/>
      <c r="P90" s="130"/>
      <c r="Q90" s="130"/>
      <c r="R90" s="130"/>
    </row>
    <row r="91" spans="1:18" ht="20.100000000000001" customHeight="1">
      <c r="A91" s="433" t="s">
        <v>230</v>
      </c>
      <c r="B91" s="434"/>
      <c r="C91" s="434"/>
      <c r="D91" s="434"/>
      <c r="E91" s="434"/>
      <c r="F91" s="434"/>
      <c r="G91" s="434"/>
      <c r="H91" s="434"/>
      <c r="I91" s="434"/>
      <c r="J91" s="435"/>
      <c r="K91" s="95"/>
      <c r="L91" s="95"/>
      <c r="M91" s="95"/>
      <c r="N91" s="95"/>
      <c r="O91" s="95"/>
      <c r="P91" s="95"/>
      <c r="Q91" s="95"/>
      <c r="R91" s="95"/>
    </row>
    <row r="92" spans="1:18" ht="20.100000000000001" customHeight="1">
      <c r="A92" s="302" t="s">
        <v>289</v>
      </c>
      <c r="B92" s="359">
        <v>1500</v>
      </c>
      <c r="C92" s="172">
        <f t="shared" ref="C92:I92" si="28">C93+C94</f>
        <v>1499</v>
      </c>
      <c r="D92" s="172">
        <f t="shared" si="28"/>
        <v>1677</v>
      </c>
      <c r="E92" s="172">
        <f t="shared" si="28"/>
        <v>611</v>
      </c>
      <c r="F92" s="172">
        <f t="shared" si="28"/>
        <v>446</v>
      </c>
      <c r="G92" s="172">
        <f t="shared" si="28"/>
        <v>827</v>
      </c>
      <c r="H92" s="172">
        <f t="shared" si="28"/>
        <v>1206</v>
      </c>
      <c r="I92" s="172">
        <f t="shared" si="28"/>
        <v>1644</v>
      </c>
      <c r="J92" s="316"/>
      <c r="K92" s="95"/>
      <c r="L92" s="95"/>
      <c r="M92" s="95"/>
      <c r="N92" s="95"/>
      <c r="O92" s="95"/>
      <c r="P92" s="95"/>
      <c r="Q92" s="95"/>
      <c r="R92" s="95"/>
    </row>
    <row r="93" spans="1:18" ht="20.100000000000001" customHeight="1">
      <c r="A93" s="302" t="s">
        <v>287</v>
      </c>
      <c r="B93" s="301">
        <v>1501</v>
      </c>
      <c r="C93" s="167">
        <f>C10</f>
        <v>1089</v>
      </c>
      <c r="D93" s="285">
        <v>1135</v>
      </c>
      <c r="E93" s="172">
        <f>E10</f>
        <v>332</v>
      </c>
      <c r="F93" s="172">
        <f>F10</f>
        <v>280</v>
      </c>
      <c r="G93" s="172">
        <f>G10</f>
        <v>564</v>
      </c>
      <c r="H93" s="172">
        <f>H10</f>
        <v>849</v>
      </c>
      <c r="I93" s="172">
        <f>I10</f>
        <v>1138</v>
      </c>
      <c r="J93" s="316"/>
      <c r="K93" s="95"/>
      <c r="L93" s="95"/>
      <c r="M93" s="95"/>
      <c r="N93" s="95"/>
      <c r="O93" s="95"/>
      <c r="P93" s="95"/>
      <c r="Q93" s="95"/>
      <c r="R93" s="95"/>
    </row>
    <row r="94" spans="1:18" ht="20.100000000000001" customHeight="1">
      <c r="A94" s="302" t="s">
        <v>28</v>
      </c>
      <c r="B94" s="301">
        <v>1502</v>
      </c>
      <c r="C94" s="167">
        <f t="shared" ref="C94:I94" si="29">C11+C12+C58</f>
        <v>410</v>
      </c>
      <c r="D94" s="167">
        <f t="shared" si="29"/>
        <v>542</v>
      </c>
      <c r="E94" s="172">
        <f t="shared" si="29"/>
        <v>279</v>
      </c>
      <c r="F94" s="172">
        <f t="shared" si="29"/>
        <v>166</v>
      </c>
      <c r="G94" s="172">
        <f t="shared" si="29"/>
        <v>263</v>
      </c>
      <c r="H94" s="172">
        <f t="shared" si="29"/>
        <v>357</v>
      </c>
      <c r="I94" s="172">
        <f t="shared" si="29"/>
        <v>506</v>
      </c>
      <c r="J94" s="316"/>
      <c r="K94" s="95"/>
      <c r="L94" s="95"/>
      <c r="M94" s="95"/>
      <c r="N94" s="95"/>
      <c r="O94" s="95"/>
      <c r="P94" s="95"/>
      <c r="Q94" s="95"/>
      <c r="R94" s="95"/>
    </row>
    <row r="95" spans="1:18" ht="20.100000000000001" customHeight="1">
      <c r="A95" s="302" t="s">
        <v>5</v>
      </c>
      <c r="B95" s="359">
        <v>1510</v>
      </c>
      <c r="C95" s="167">
        <f t="shared" ref="C95:I95" si="30">C13+C26+C44</f>
        <v>867</v>
      </c>
      <c r="D95" s="285">
        <f t="shared" si="30"/>
        <v>1231</v>
      </c>
      <c r="E95" s="172">
        <f t="shared" si="30"/>
        <v>472</v>
      </c>
      <c r="F95" s="172">
        <f t="shared" si="30"/>
        <v>235</v>
      </c>
      <c r="G95" s="172">
        <f t="shared" si="30"/>
        <v>471</v>
      </c>
      <c r="H95" s="172">
        <f t="shared" si="30"/>
        <v>706</v>
      </c>
      <c r="I95" s="167">
        <f t="shared" si="30"/>
        <v>940</v>
      </c>
      <c r="J95" s="316"/>
      <c r="K95" s="234">
        <f>K14+K27+K46</f>
        <v>49.297799999999995</v>
      </c>
      <c r="L95" s="234">
        <f t="shared" ref="L95:N95" si="31">L14+L27+L46</f>
        <v>98.59559999999999</v>
      </c>
      <c r="M95" s="234">
        <f t="shared" si="31"/>
        <v>147.89339999999999</v>
      </c>
      <c r="N95" s="234">
        <f t="shared" si="31"/>
        <v>197.19119999999998</v>
      </c>
      <c r="O95" s="95"/>
      <c r="P95" s="95"/>
      <c r="Q95" s="95"/>
      <c r="R95" s="95"/>
    </row>
    <row r="96" spans="1:18" ht="20.100000000000001" customHeight="1">
      <c r="A96" s="302" t="s">
        <v>6</v>
      </c>
      <c r="B96" s="359">
        <v>1520</v>
      </c>
      <c r="C96" s="167">
        <f t="shared" ref="C96:I96" si="32">C14+C27+C46</f>
        <v>175</v>
      </c>
      <c r="D96" s="285">
        <f t="shared" si="32"/>
        <v>263</v>
      </c>
      <c r="E96" s="172">
        <f t="shared" si="32"/>
        <v>95</v>
      </c>
      <c r="F96" s="172">
        <f t="shared" si="32"/>
        <v>50</v>
      </c>
      <c r="G96" s="172">
        <f t="shared" si="32"/>
        <v>98</v>
      </c>
      <c r="H96" s="172">
        <f t="shared" si="32"/>
        <v>148</v>
      </c>
      <c r="I96" s="167">
        <f t="shared" si="32"/>
        <v>197</v>
      </c>
      <c r="J96" s="316"/>
      <c r="K96" s="234">
        <f>ROUND(Лист1!C17,0)</f>
        <v>49</v>
      </c>
      <c r="L96" s="234">
        <f>ROUND(Лист1!D17,0)</f>
        <v>99</v>
      </c>
      <c r="M96" s="234">
        <f>ROUND(Лист1!E17,0)</f>
        <v>148</v>
      </c>
      <c r="N96" s="234">
        <f>ROUND(Лист1!F17,0)</f>
        <v>197</v>
      </c>
      <c r="O96" s="234"/>
      <c r="P96" s="234"/>
      <c r="Q96" s="95"/>
      <c r="R96" s="95"/>
    </row>
    <row r="97" spans="1:18" ht="20.100000000000001" customHeight="1">
      <c r="A97" s="302" t="s">
        <v>7</v>
      </c>
      <c r="B97" s="359">
        <v>1530</v>
      </c>
      <c r="C97" s="167">
        <f t="shared" ref="C97:I97" si="33">C15+C28+C45+C61</f>
        <v>328</v>
      </c>
      <c r="D97" s="285">
        <f t="shared" si="33"/>
        <v>404</v>
      </c>
      <c r="E97" s="172">
        <f t="shared" si="33"/>
        <v>267</v>
      </c>
      <c r="F97" s="285">
        <f t="shared" si="33"/>
        <v>101</v>
      </c>
      <c r="G97" s="285">
        <f t="shared" si="33"/>
        <v>204</v>
      </c>
      <c r="H97" s="285">
        <f t="shared" si="33"/>
        <v>307</v>
      </c>
      <c r="I97" s="285">
        <f t="shared" si="33"/>
        <v>401</v>
      </c>
      <c r="J97" s="316"/>
      <c r="K97" s="234">
        <f>K96-F96</f>
        <v>-1</v>
      </c>
      <c r="L97" s="234">
        <f>L96-G96</f>
        <v>1</v>
      </c>
      <c r="M97" s="234">
        <f>M96-H96</f>
        <v>0</v>
      </c>
      <c r="N97" s="234">
        <f>N96-I96</f>
        <v>0</v>
      </c>
      <c r="O97" s="95"/>
      <c r="P97" s="95"/>
      <c r="Q97" s="95"/>
      <c r="R97" s="95"/>
    </row>
    <row r="98" spans="1:18" ht="20.100000000000001" customHeight="1">
      <c r="A98" s="302" t="s">
        <v>29</v>
      </c>
      <c r="B98" s="359">
        <v>1540</v>
      </c>
      <c r="C98" s="285">
        <f t="shared" ref="C98:I98" si="34">C83-C92-C95-C96-C97-C72</f>
        <v>170</v>
      </c>
      <c r="D98" s="285">
        <f t="shared" si="34"/>
        <v>151</v>
      </c>
      <c r="E98" s="172">
        <f t="shared" si="34"/>
        <v>207.59999999999991</v>
      </c>
      <c r="F98" s="172">
        <f t="shared" si="34"/>
        <v>65</v>
      </c>
      <c r="G98" s="172">
        <f t="shared" si="34"/>
        <v>127</v>
      </c>
      <c r="H98" s="172">
        <f t="shared" si="34"/>
        <v>182</v>
      </c>
      <c r="I98" s="172">
        <f t="shared" si="34"/>
        <v>250</v>
      </c>
      <c r="J98" s="316"/>
      <c r="K98" s="95"/>
      <c r="L98" s="95"/>
      <c r="M98" s="95"/>
      <c r="N98" s="95"/>
      <c r="O98" s="95"/>
      <c r="P98" s="95"/>
      <c r="Q98" s="95"/>
      <c r="R98" s="95"/>
    </row>
    <row r="99" spans="1:18" s="4" customFormat="1" ht="20.100000000000001" customHeight="1">
      <c r="A99" s="327" t="s">
        <v>50</v>
      </c>
      <c r="B99" s="328">
        <v>1550</v>
      </c>
      <c r="C99" s="325">
        <f>SUM(C92,C95:C98)</f>
        <v>3039</v>
      </c>
      <c r="D99" s="325">
        <f t="shared" ref="D99:I99" si="35">SUM(D92,D95:D98)</f>
        <v>3726</v>
      </c>
      <c r="E99" s="325">
        <f t="shared" si="35"/>
        <v>1652.6</v>
      </c>
      <c r="F99" s="325">
        <f t="shared" si="35"/>
        <v>897</v>
      </c>
      <c r="G99" s="325">
        <f t="shared" si="35"/>
        <v>1727</v>
      </c>
      <c r="H99" s="325">
        <f t="shared" si="35"/>
        <v>2549</v>
      </c>
      <c r="I99" s="325">
        <f t="shared" si="35"/>
        <v>3432</v>
      </c>
      <c r="J99" s="315"/>
      <c r="K99" s="130"/>
      <c r="L99" s="130"/>
      <c r="M99" s="130"/>
      <c r="N99" s="130"/>
      <c r="O99" s="130"/>
      <c r="P99" s="130"/>
      <c r="Q99" s="130"/>
      <c r="R99" s="130"/>
    </row>
    <row r="100" spans="1:18" s="4" customFormat="1" ht="20.100000000000001" customHeight="1">
      <c r="A100" s="123"/>
      <c r="B100" s="127"/>
      <c r="C100" s="128"/>
      <c r="D100" s="312"/>
      <c r="E100" s="128"/>
      <c r="F100" s="129"/>
      <c r="G100" s="129"/>
      <c r="H100" s="129"/>
      <c r="I100" s="129"/>
      <c r="J100" s="318"/>
      <c r="K100" s="130"/>
      <c r="L100" s="130"/>
      <c r="M100" s="130"/>
      <c r="N100" s="130"/>
      <c r="O100" s="130"/>
      <c r="P100" s="130"/>
      <c r="Q100" s="130"/>
      <c r="R100" s="130"/>
    </row>
    <row r="101" spans="1:18" ht="16.5" customHeight="1">
      <c r="A101" s="292"/>
      <c r="C101" s="295"/>
      <c r="D101" s="313"/>
      <c r="E101" s="122"/>
      <c r="F101" s="122"/>
      <c r="G101" s="122"/>
      <c r="H101" s="122"/>
      <c r="I101" s="122"/>
      <c r="K101" s="95"/>
      <c r="L101" s="95"/>
      <c r="M101" s="95"/>
      <c r="N101" s="95"/>
      <c r="O101" s="95"/>
      <c r="P101" s="95"/>
      <c r="Q101" s="95"/>
      <c r="R101" s="95"/>
    </row>
    <row r="102" spans="1:18">
      <c r="A102" s="123" t="s">
        <v>399</v>
      </c>
      <c r="B102" s="124"/>
      <c r="C102" s="436" t="s">
        <v>240</v>
      </c>
      <c r="D102" s="436"/>
      <c r="E102" s="436"/>
      <c r="F102" s="125"/>
      <c r="G102" s="400" t="s">
        <v>398</v>
      </c>
      <c r="H102" s="400"/>
      <c r="I102" s="400"/>
      <c r="K102" s="95"/>
      <c r="L102" s="95"/>
      <c r="M102" s="95"/>
      <c r="N102" s="95"/>
      <c r="O102" s="95"/>
      <c r="P102" s="95"/>
      <c r="Q102" s="95"/>
      <c r="R102" s="95"/>
    </row>
    <row r="103" spans="1:18" s="1" customFormat="1" ht="20.100000000000001" customHeight="1">
      <c r="A103" s="297" t="s">
        <v>239</v>
      </c>
      <c r="B103" s="296"/>
      <c r="C103" s="426" t="s">
        <v>317</v>
      </c>
      <c r="D103" s="426"/>
      <c r="E103" s="426"/>
      <c r="F103" s="126"/>
      <c r="G103" s="388" t="s">
        <v>100</v>
      </c>
      <c r="H103" s="388"/>
      <c r="I103" s="388"/>
      <c r="J103" s="304"/>
      <c r="K103" s="131"/>
      <c r="L103" s="131"/>
      <c r="M103" s="131"/>
      <c r="N103" s="131"/>
      <c r="O103" s="131"/>
      <c r="P103" s="131"/>
      <c r="Q103" s="131"/>
      <c r="R103" s="131"/>
    </row>
    <row r="104" spans="1:18" ht="20.100000000000001" customHeight="1">
      <c r="A104" s="292"/>
      <c r="C104" s="295"/>
      <c r="D104" s="313"/>
      <c r="E104" s="122"/>
      <c r="F104" s="122"/>
      <c r="G104" s="122"/>
      <c r="H104" s="122"/>
      <c r="I104" s="122"/>
      <c r="K104" s="95"/>
      <c r="L104" s="95"/>
      <c r="M104" s="95"/>
      <c r="N104" s="95"/>
      <c r="O104" s="95"/>
      <c r="P104" s="95"/>
      <c r="Q104" s="95"/>
      <c r="R104" s="95"/>
    </row>
    <row r="105" spans="1:18">
      <c r="A105" s="292"/>
      <c r="C105" s="295">
        <f>C106+C107</f>
        <v>1385</v>
      </c>
      <c r="D105" s="360">
        <f t="shared" ref="D105:I105" si="36">D106+D107</f>
        <v>1476</v>
      </c>
      <c r="E105" s="295">
        <f t="shared" si="36"/>
        <v>495</v>
      </c>
      <c r="F105" s="295">
        <f t="shared" si="36"/>
        <v>368</v>
      </c>
      <c r="G105" s="295">
        <f t="shared" si="36"/>
        <v>736</v>
      </c>
      <c r="H105" s="295">
        <f>H106+H107</f>
        <v>1115</v>
      </c>
      <c r="I105" s="295">
        <f t="shared" si="36"/>
        <v>1484</v>
      </c>
      <c r="K105" s="95"/>
      <c r="L105" s="95"/>
      <c r="M105" s="95"/>
      <c r="N105" s="95"/>
      <c r="O105" s="95"/>
      <c r="P105" s="95"/>
      <c r="Q105" s="95"/>
      <c r="R105" s="95"/>
    </row>
    <row r="106" spans="1:18">
      <c r="A106" s="292"/>
      <c r="C106" s="295">
        <f t="shared" ref="C106:I106" si="37">C10</f>
        <v>1089</v>
      </c>
      <c r="D106" s="360">
        <f t="shared" si="37"/>
        <v>1130</v>
      </c>
      <c r="E106" s="295">
        <f t="shared" si="37"/>
        <v>332</v>
      </c>
      <c r="F106" s="295">
        <f t="shared" si="37"/>
        <v>280</v>
      </c>
      <c r="G106" s="295">
        <f t="shared" si="37"/>
        <v>564</v>
      </c>
      <c r="H106" s="295">
        <f t="shared" si="37"/>
        <v>849</v>
      </c>
      <c r="I106" s="295">
        <f t="shared" si="37"/>
        <v>1138</v>
      </c>
      <c r="K106" s="95"/>
      <c r="L106" s="95"/>
      <c r="M106" s="95"/>
      <c r="N106" s="95"/>
      <c r="O106" s="95"/>
      <c r="P106" s="95"/>
      <c r="Q106" s="95"/>
      <c r="R106" s="95"/>
    </row>
    <row r="107" spans="1:18">
      <c r="A107" s="292"/>
      <c r="C107" s="295">
        <f t="shared" ref="C107:I107" si="38">C12</f>
        <v>296</v>
      </c>
      <c r="D107" s="360">
        <f t="shared" si="38"/>
        <v>346</v>
      </c>
      <c r="E107" s="295">
        <f t="shared" si="38"/>
        <v>163</v>
      </c>
      <c r="F107" s="295">
        <f t="shared" si="38"/>
        <v>88</v>
      </c>
      <c r="G107" s="295">
        <f t="shared" si="38"/>
        <v>172</v>
      </c>
      <c r="H107" s="295">
        <f t="shared" si="38"/>
        <v>266</v>
      </c>
      <c r="I107" s="295">
        <f t="shared" si="38"/>
        <v>346</v>
      </c>
      <c r="K107" s="95"/>
      <c r="L107" s="95"/>
      <c r="M107" s="95"/>
      <c r="N107" s="95"/>
      <c r="O107" s="95"/>
      <c r="P107" s="95"/>
      <c r="Q107" s="95"/>
      <c r="R107" s="95"/>
    </row>
    <row r="108" spans="1:18">
      <c r="A108" s="292"/>
      <c r="C108" s="295">
        <f t="shared" ref="C108:I108" si="39">C13+C26+C44</f>
        <v>867</v>
      </c>
      <c r="D108" s="360">
        <f t="shared" si="39"/>
        <v>1231</v>
      </c>
      <c r="E108" s="295">
        <f t="shared" si="39"/>
        <v>472</v>
      </c>
      <c r="F108" s="295">
        <f t="shared" si="39"/>
        <v>235</v>
      </c>
      <c r="G108" s="295">
        <f t="shared" si="39"/>
        <v>471</v>
      </c>
      <c r="H108" s="295">
        <f t="shared" si="39"/>
        <v>706</v>
      </c>
      <c r="I108" s="295">
        <f t="shared" si="39"/>
        <v>940</v>
      </c>
      <c r="K108" s="95"/>
      <c r="L108" s="95"/>
      <c r="M108" s="95"/>
      <c r="N108" s="95"/>
      <c r="O108" s="95"/>
      <c r="P108" s="95"/>
      <c r="Q108" s="95"/>
      <c r="R108" s="95"/>
    </row>
    <row r="109" spans="1:18">
      <c r="A109" s="292"/>
      <c r="C109" s="295">
        <f t="shared" ref="C109:I109" si="40">C14+C27+C48</f>
        <v>109</v>
      </c>
      <c r="D109" s="360">
        <f t="shared" si="40"/>
        <v>170</v>
      </c>
      <c r="E109" s="295">
        <f t="shared" si="40"/>
        <v>67</v>
      </c>
      <c r="F109" s="295">
        <f t="shared" si="40"/>
        <v>36</v>
      </c>
      <c r="G109" s="295">
        <f t="shared" si="40"/>
        <v>71</v>
      </c>
      <c r="H109" s="295">
        <f t="shared" si="40"/>
        <v>107</v>
      </c>
      <c r="I109" s="295">
        <f t="shared" si="40"/>
        <v>144</v>
      </c>
      <c r="K109" s="95"/>
      <c r="L109" s="95"/>
      <c r="M109" s="95"/>
      <c r="N109" s="95"/>
      <c r="O109" s="95"/>
      <c r="P109" s="95"/>
      <c r="Q109" s="95"/>
      <c r="R109" s="95"/>
    </row>
    <row r="110" spans="1:18">
      <c r="A110" s="292"/>
      <c r="C110" s="295">
        <f t="shared" ref="C110:I110" si="41">C15+C28+C45</f>
        <v>205</v>
      </c>
      <c r="D110" s="360">
        <f t="shared" si="41"/>
        <v>404</v>
      </c>
      <c r="E110" s="295">
        <f t="shared" si="41"/>
        <v>162</v>
      </c>
      <c r="F110" s="295">
        <f t="shared" si="41"/>
        <v>62</v>
      </c>
      <c r="G110" s="295">
        <f t="shared" si="41"/>
        <v>125</v>
      </c>
      <c r="H110" s="295">
        <f t="shared" si="41"/>
        <v>189</v>
      </c>
      <c r="I110" s="295">
        <f t="shared" si="41"/>
        <v>242</v>
      </c>
      <c r="K110" s="95"/>
      <c r="L110" s="95"/>
      <c r="M110" s="95"/>
      <c r="N110" s="95"/>
      <c r="O110" s="95"/>
      <c r="P110" s="95"/>
      <c r="Q110" s="95"/>
      <c r="R110" s="95"/>
    </row>
    <row r="111" spans="1:18">
      <c r="A111" s="292"/>
      <c r="C111" s="295"/>
      <c r="D111" s="313"/>
      <c r="E111" s="122"/>
      <c r="F111" s="122"/>
      <c r="G111" s="122"/>
      <c r="H111" s="122"/>
      <c r="I111" s="122"/>
      <c r="K111" s="95"/>
      <c r="L111" s="95"/>
      <c r="M111" s="95"/>
      <c r="N111" s="95"/>
      <c r="O111" s="95"/>
      <c r="P111" s="95"/>
      <c r="Q111" s="95"/>
      <c r="R111" s="95"/>
    </row>
    <row r="112" spans="1:18">
      <c r="A112" s="292"/>
      <c r="C112" s="295"/>
      <c r="D112" s="313"/>
      <c r="E112" s="122"/>
      <c r="F112" s="122"/>
      <c r="G112" s="122"/>
      <c r="H112" s="122"/>
      <c r="I112" s="122"/>
      <c r="K112" s="95"/>
      <c r="L112" s="95"/>
      <c r="M112" s="95"/>
      <c r="N112" s="95"/>
      <c r="O112" s="95"/>
      <c r="P112" s="95"/>
      <c r="Q112" s="95"/>
      <c r="R112" s="95"/>
    </row>
    <row r="113" spans="1:9">
      <c r="A113" s="292"/>
      <c r="C113" s="295"/>
      <c r="D113" s="313"/>
      <c r="E113" s="122"/>
      <c r="F113" s="122"/>
      <c r="G113" s="122"/>
      <c r="H113" s="122"/>
      <c r="I113" s="122"/>
    </row>
    <row r="114" spans="1:9">
      <c r="A114" s="292"/>
      <c r="C114" s="295"/>
      <c r="D114" s="313"/>
      <c r="E114" s="122"/>
      <c r="F114" s="122"/>
      <c r="G114" s="122"/>
      <c r="H114" s="122"/>
      <c r="I114" s="122"/>
    </row>
    <row r="115" spans="1:9">
      <c r="A115" s="292"/>
      <c r="C115" s="295"/>
      <c r="D115" s="313"/>
      <c r="E115" s="122"/>
      <c r="F115" s="122"/>
      <c r="G115" s="122"/>
      <c r="H115" s="122"/>
      <c r="I115" s="122"/>
    </row>
    <row r="116" spans="1:9">
      <c r="A116" s="292"/>
      <c r="C116" s="295"/>
      <c r="D116" s="313"/>
      <c r="E116" s="122"/>
      <c r="F116" s="122"/>
      <c r="G116" s="122"/>
      <c r="H116" s="122"/>
      <c r="I116" s="122"/>
    </row>
    <row r="117" spans="1:9">
      <c r="A117" s="292"/>
      <c r="C117" s="295"/>
      <c r="D117" s="313"/>
      <c r="E117" s="122"/>
      <c r="F117" s="122"/>
      <c r="G117" s="122"/>
      <c r="H117" s="122"/>
      <c r="I117" s="122"/>
    </row>
    <row r="118" spans="1:9">
      <c r="A118" s="292"/>
      <c r="C118" s="295"/>
      <c r="D118" s="313"/>
      <c r="E118" s="122"/>
      <c r="F118" s="122"/>
      <c r="G118" s="122"/>
      <c r="H118" s="122"/>
      <c r="I118" s="122"/>
    </row>
    <row r="119" spans="1:9">
      <c r="A119" s="292"/>
      <c r="C119" s="295"/>
      <c r="D119" s="313"/>
      <c r="E119" s="122"/>
      <c r="F119" s="122"/>
      <c r="G119" s="122"/>
      <c r="H119" s="122"/>
      <c r="I119" s="122"/>
    </row>
    <row r="120" spans="1:9">
      <c r="A120" s="292"/>
      <c r="C120" s="295"/>
      <c r="D120" s="313"/>
      <c r="E120" s="122"/>
      <c r="F120" s="122"/>
      <c r="G120" s="122"/>
      <c r="H120" s="122"/>
      <c r="I120" s="122"/>
    </row>
    <row r="121" spans="1:9">
      <c r="A121" s="292"/>
      <c r="C121" s="295"/>
      <c r="D121" s="313"/>
      <c r="E121" s="122"/>
      <c r="F121" s="122"/>
      <c r="G121" s="122"/>
      <c r="H121" s="122"/>
      <c r="I121" s="122"/>
    </row>
    <row r="122" spans="1:9">
      <c r="A122" s="292"/>
      <c r="C122" s="295"/>
      <c r="D122" s="313"/>
      <c r="E122" s="122"/>
      <c r="F122" s="122"/>
      <c r="G122" s="122"/>
      <c r="H122" s="122"/>
      <c r="I122" s="122"/>
    </row>
    <row r="123" spans="1:9">
      <c r="A123" s="292"/>
      <c r="C123" s="295"/>
      <c r="D123" s="313"/>
      <c r="E123" s="122"/>
      <c r="F123" s="122"/>
      <c r="G123" s="122"/>
      <c r="H123" s="122"/>
      <c r="I123" s="122"/>
    </row>
    <row r="124" spans="1:9">
      <c r="A124" s="292"/>
      <c r="C124" s="295"/>
      <c r="D124" s="313"/>
      <c r="E124" s="122"/>
      <c r="F124" s="122"/>
      <c r="G124" s="122"/>
      <c r="H124" s="122"/>
      <c r="I124" s="122"/>
    </row>
    <row r="125" spans="1:9">
      <c r="A125" s="292"/>
      <c r="C125" s="295"/>
      <c r="D125" s="313"/>
      <c r="E125" s="122"/>
      <c r="F125" s="122"/>
      <c r="G125" s="122"/>
      <c r="H125" s="122"/>
      <c r="I125" s="122"/>
    </row>
    <row r="126" spans="1:9">
      <c r="A126" s="292"/>
      <c r="C126" s="295"/>
      <c r="D126" s="313"/>
      <c r="E126" s="122"/>
      <c r="F126" s="122"/>
      <c r="G126" s="122"/>
      <c r="H126" s="122"/>
      <c r="I126" s="122"/>
    </row>
    <row r="127" spans="1:9">
      <c r="A127" s="292"/>
      <c r="C127" s="295"/>
      <c r="D127" s="313"/>
      <c r="E127" s="122"/>
      <c r="F127" s="122"/>
      <c r="G127" s="122"/>
      <c r="H127" s="122"/>
      <c r="I127" s="122"/>
    </row>
    <row r="128" spans="1:9">
      <c r="A128" s="292"/>
      <c r="C128" s="295"/>
      <c r="D128" s="313"/>
      <c r="E128" s="122"/>
      <c r="F128" s="122"/>
      <c r="G128" s="122"/>
      <c r="H128" s="122"/>
      <c r="I128" s="122"/>
    </row>
    <row r="129" spans="1:9">
      <c r="A129" s="292"/>
      <c r="C129" s="295"/>
      <c r="D129" s="313"/>
      <c r="E129" s="122"/>
      <c r="F129" s="122"/>
      <c r="G129" s="122"/>
      <c r="H129" s="122"/>
      <c r="I129" s="122"/>
    </row>
    <row r="130" spans="1:9">
      <c r="A130" s="292"/>
      <c r="C130" s="295"/>
      <c r="D130" s="313"/>
      <c r="E130" s="122"/>
      <c r="F130" s="122"/>
      <c r="G130" s="122"/>
      <c r="H130" s="122"/>
      <c r="I130" s="122"/>
    </row>
    <row r="131" spans="1:9">
      <c r="A131" s="292"/>
      <c r="C131" s="295"/>
      <c r="D131" s="313"/>
      <c r="E131" s="122"/>
      <c r="F131" s="122"/>
      <c r="G131" s="122"/>
      <c r="H131" s="122"/>
      <c r="I131" s="122"/>
    </row>
    <row r="132" spans="1:9">
      <c r="A132" s="292"/>
      <c r="C132" s="295"/>
      <c r="D132" s="313"/>
      <c r="E132" s="122"/>
      <c r="F132" s="122"/>
      <c r="G132" s="122"/>
      <c r="H132" s="122"/>
      <c r="I132" s="122"/>
    </row>
    <row r="133" spans="1:9">
      <c r="A133" s="292"/>
      <c r="C133" s="295"/>
      <c r="D133" s="313"/>
      <c r="E133" s="122"/>
      <c r="F133" s="122"/>
      <c r="G133" s="122"/>
      <c r="H133" s="122"/>
      <c r="I133" s="122"/>
    </row>
    <row r="134" spans="1:9">
      <c r="A134" s="292"/>
      <c r="C134" s="295"/>
      <c r="D134" s="313"/>
      <c r="E134" s="122"/>
      <c r="F134" s="122"/>
      <c r="G134" s="122"/>
      <c r="H134" s="122"/>
      <c r="I134" s="122"/>
    </row>
    <row r="135" spans="1:9">
      <c r="A135" s="292"/>
      <c r="C135" s="295"/>
      <c r="D135" s="313"/>
      <c r="E135" s="122"/>
      <c r="F135" s="122"/>
      <c r="G135" s="122"/>
      <c r="H135" s="122"/>
      <c r="I135" s="122"/>
    </row>
    <row r="136" spans="1:9">
      <c r="A136" s="292"/>
      <c r="C136" s="295"/>
      <c r="D136" s="313"/>
      <c r="E136" s="122"/>
      <c r="F136" s="122"/>
      <c r="G136" s="122"/>
      <c r="H136" s="122"/>
      <c r="I136" s="122"/>
    </row>
    <row r="137" spans="1:9">
      <c r="A137" s="292"/>
      <c r="C137" s="295"/>
      <c r="D137" s="313"/>
      <c r="E137" s="122"/>
      <c r="F137" s="122"/>
      <c r="G137" s="122"/>
      <c r="H137" s="122"/>
      <c r="I137" s="122"/>
    </row>
    <row r="138" spans="1:9">
      <c r="A138" s="292"/>
      <c r="C138" s="295"/>
      <c r="D138" s="313"/>
      <c r="E138" s="122"/>
      <c r="F138" s="122"/>
      <c r="G138" s="122"/>
      <c r="H138" s="122"/>
      <c r="I138" s="122"/>
    </row>
    <row r="139" spans="1:9">
      <c r="A139" s="292"/>
      <c r="C139" s="295"/>
      <c r="D139" s="313"/>
      <c r="E139" s="122"/>
      <c r="F139" s="122"/>
      <c r="G139" s="122"/>
      <c r="H139" s="122"/>
      <c r="I139" s="122"/>
    </row>
    <row r="140" spans="1:9">
      <c r="A140" s="292"/>
      <c r="C140" s="295"/>
      <c r="D140" s="313"/>
      <c r="E140" s="122"/>
      <c r="F140" s="122"/>
      <c r="G140" s="122"/>
      <c r="H140" s="122"/>
      <c r="I140" s="122"/>
    </row>
    <row r="141" spans="1:9">
      <c r="A141" s="292"/>
      <c r="C141" s="295"/>
      <c r="D141" s="313"/>
      <c r="E141" s="122"/>
      <c r="F141" s="122"/>
      <c r="G141" s="122"/>
      <c r="H141" s="122"/>
      <c r="I141" s="122"/>
    </row>
    <row r="142" spans="1:9">
      <c r="A142" s="292"/>
      <c r="C142" s="295"/>
      <c r="D142" s="313"/>
      <c r="E142" s="122"/>
      <c r="F142" s="122"/>
      <c r="G142" s="122"/>
      <c r="H142" s="122"/>
      <c r="I142" s="122"/>
    </row>
    <row r="143" spans="1:9">
      <c r="A143" s="292"/>
      <c r="C143" s="295"/>
      <c r="D143" s="313"/>
      <c r="E143" s="122"/>
      <c r="F143" s="122"/>
      <c r="G143" s="122"/>
      <c r="H143" s="122"/>
      <c r="I143" s="122"/>
    </row>
    <row r="144" spans="1:9">
      <c r="A144" s="292"/>
      <c r="C144" s="295"/>
      <c r="D144" s="313"/>
      <c r="E144" s="122"/>
      <c r="F144" s="122"/>
      <c r="G144" s="122"/>
      <c r="H144" s="122"/>
      <c r="I144" s="122"/>
    </row>
    <row r="145" spans="1:9">
      <c r="A145" s="292"/>
      <c r="C145" s="295"/>
      <c r="D145" s="313"/>
      <c r="E145" s="122"/>
      <c r="F145" s="122"/>
      <c r="G145" s="122"/>
      <c r="H145" s="122"/>
      <c r="I145" s="122"/>
    </row>
    <row r="146" spans="1:9">
      <c r="A146" s="292"/>
      <c r="C146" s="295"/>
      <c r="D146" s="313"/>
      <c r="E146" s="122"/>
      <c r="F146" s="122"/>
      <c r="G146" s="122"/>
      <c r="H146" s="122"/>
      <c r="I146" s="122"/>
    </row>
    <row r="147" spans="1:9">
      <c r="A147" s="292"/>
      <c r="C147" s="295"/>
      <c r="D147" s="313"/>
      <c r="E147" s="122"/>
      <c r="F147" s="122"/>
      <c r="G147" s="122"/>
      <c r="H147" s="122"/>
      <c r="I147" s="122"/>
    </row>
    <row r="148" spans="1:9">
      <c r="A148" s="292"/>
      <c r="C148" s="295"/>
      <c r="D148" s="313"/>
      <c r="E148" s="122"/>
      <c r="F148" s="122"/>
      <c r="G148" s="122"/>
      <c r="H148" s="122"/>
      <c r="I148" s="122"/>
    </row>
    <row r="149" spans="1:9">
      <c r="A149" s="292"/>
      <c r="C149" s="295"/>
      <c r="D149" s="313"/>
      <c r="E149" s="122"/>
      <c r="F149" s="122"/>
      <c r="G149" s="122"/>
      <c r="H149" s="122"/>
      <c r="I149" s="122"/>
    </row>
    <row r="150" spans="1:9">
      <c r="A150" s="292"/>
      <c r="C150" s="295"/>
      <c r="D150" s="313"/>
      <c r="E150" s="122"/>
      <c r="F150" s="122"/>
      <c r="G150" s="122"/>
      <c r="H150" s="122"/>
      <c r="I150" s="122"/>
    </row>
    <row r="151" spans="1:9">
      <c r="A151" s="292"/>
      <c r="C151" s="295"/>
      <c r="D151" s="313"/>
      <c r="E151" s="122"/>
      <c r="F151" s="122"/>
      <c r="G151" s="122"/>
      <c r="H151" s="122"/>
      <c r="I151" s="122"/>
    </row>
    <row r="152" spans="1:9">
      <c r="A152" s="292"/>
      <c r="C152" s="295"/>
      <c r="D152" s="313"/>
      <c r="E152" s="122"/>
      <c r="F152" s="122"/>
      <c r="G152" s="122"/>
      <c r="H152" s="122"/>
      <c r="I152" s="122"/>
    </row>
    <row r="153" spans="1:9">
      <c r="A153" s="292"/>
      <c r="C153" s="295"/>
      <c r="D153" s="313"/>
      <c r="E153" s="122"/>
      <c r="F153" s="122"/>
      <c r="G153" s="122"/>
      <c r="H153" s="122"/>
      <c r="I153" s="122"/>
    </row>
    <row r="154" spans="1:9">
      <c r="A154" s="292"/>
      <c r="C154" s="295"/>
      <c r="D154" s="313"/>
      <c r="E154" s="122"/>
      <c r="F154" s="122"/>
      <c r="G154" s="122"/>
      <c r="H154" s="122"/>
      <c r="I154" s="122"/>
    </row>
    <row r="155" spans="1:9">
      <c r="A155" s="292"/>
      <c r="C155" s="295"/>
      <c r="D155" s="313"/>
      <c r="E155" s="122"/>
      <c r="F155" s="122"/>
      <c r="G155" s="122"/>
      <c r="H155" s="122"/>
      <c r="I155" s="122"/>
    </row>
    <row r="156" spans="1:9">
      <c r="A156" s="292"/>
      <c r="C156" s="295"/>
      <c r="D156" s="313"/>
      <c r="E156" s="122"/>
      <c r="F156" s="122"/>
      <c r="G156" s="122"/>
      <c r="H156" s="122"/>
      <c r="I156" s="122"/>
    </row>
    <row r="157" spans="1:9">
      <c r="A157" s="292"/>
      <c r="C157" s="295"/>
      <c r="D157" s="313"/>
      <c r="E157" s="122"/>
      <c r="F157" s="122"/>
      <c r="G157" s="122"/>
      <c r="H157" s="122"/>
      <c r="I157" s="122"/>
    </row>
    <row r="158" spans="1:9">
      <c r="A158" s="292"/>
      <c r="C158" s="295"/>
      <c r="D158" s="313"/>
      <c r="E158" s="122"/>
      <c r="F158" s="122"/>
      <c r="G158" s="122"/>
      <c r="H158" s="122"/>
      <c r="I158" s="122"/>
    </row>
    <row r="159" spans="1:9">
      <c r="A159" s="292"/>
      <c r="C159" s="295"/>
      <c r="D159" s="313"/>
      <c r="E159" s="122"/>
      <c r="F159" s="122"/>
      <c r="G159" s="122"/>
      <c r="H159" s="122"/>
      <c r="I159" s="122"/>
    </row>
    <row r="160" spans="1:9">
      <c r="A160" s="292"/>
      <c r="C160" s="295"/>
      <c r="D160" s="313"/>
      <c r="E160" s="122"/>
      <c r="F160" s="122"/>
      <c r="G160" s="122"/>
      <c r="H160" s="122"/>
      <c r="I160" s="122"/>
    </row>
    <row r="161" spans="1:9">
      <c r="A161" s="292"/>
      <c r="C161" s="295"/>
      <c r="D161" s="313"/>
      <c r="E161" s="122"/>
      <c r="F161" s="122"/>
      <c r="G161" s="122"/>
      <c r="H161" s="122"/>
      <c r="I161" s="122"/>
    </row>
    <row r="162" spans="1:9">
      <c r="A162" s="141"/>
    </row>
    <row r="163" spans="1:9">
      <c r="A163" s="141"/>
    </row>
    <row r="164" spans="1:9">
      <c r="A164" s="141"/>
    </row>
    <row r="165" spans="1:9">
      <c r="A165" s="141"/>
    </row>
    <row r="166" spans="1:9">
      <c r="A166" s="141"/>
    </row>
    <row r="167" spans="1:9">
      <c r="A167" s="141"/>
    </row>
    <row r="168" spans="1:9">
      <c r="A168" s="141"/>
    </row>
    <row r="169" spans="1:9">
      <c r="A169" s="141"/>
    </row>
    <row r="170" spans="1:9">
      <c r="A170" s="141"/>
    </row>
    <row r="171" spans="1:9">
      <c r="A171" s="141"/>
    </row>
    <row r="172" spans="1:9">
      <c r="A172" s="141"/>
    </row>
    <row r="173" spans="1:9">
      <c r="A173" s="141"/>
    </row>
    <row r="174" spans="1:9">
      <c r="A174" s="141"/>
    </row>
    <row r="175" spans="1:9">
      <c r="A175" s="141"/>
    </row>
    <row r="176" spans="1:9">
      <c r="A176" s="141"/>
    </row>
    <row r="177" spans="1:1">
      <c r="A177" s="141"/>
    </row>
    <row r="178" spans="1:1">
      <c r="A178" s="141"/>
    </row>
    <row r="179" spans="1:1">
      <c r="A179" s="141"/>
    </row>
    <row r="180" spans="1:1">
      <c r="A180" s="141"/>
    </row>
    <row r="181" spans="1:1">
      <c r="A181" s="141"/>
    </row>
    <row r="182" spans="1:1">
      <c r="A182" s="141"/>
    </row>
    <row r="183" spans="1:1">
      <c r="A183" s="141"/>
    </row>
    <row r="184" spans="1:1">
      <c r="A184" s="141"/>
    </row>
    <row r="185" spans="1:1">
      <c r="A185" s="141"/>
    </row>
    <row r="186" spans="1:1">
      <c r="A186" s="141"/>
    </row>
    <row r="187" spans="1:1">
      <c r="A187" s="141"/>
    </row>
    <row r="188" spans="1:1">
      <c r="A188" s="141"/>
    </row>
    <row r="189" spans="1:1">
      <c r="A189" s="141"/>
    </row>
    <row r="190" spans="1:1">
      <c r="A190" s="141"/>
    </row>
    <row r="191" spans="1:1">
      <c r="A191" s="141"/>
    </row>
    <row r="192" spans="1:1">
      <c r="A192" s="141"/>
    </row>
    <row r="193" spans="1:1">
      <c r="A193" s="141"/>
    </row>
    <row r="194" spans="1:1">
      <c r="A194" s="141"/>
    </row>
    <row r="195" spans="1:1">
      <c r="A195" s="141"/>
    </row>
    <row r="196" spans="1:1">
      <c r="A196" s="141"/>
    </row>
    <row r="197" spans="1:1">
      <c r="A197" s="141"/>
    </row>
    <row r="198" spans="1:1">
      <c r="A198" s="141"/>
    </row>
    <row r="199" spans="1:1">
      <c r="A199" s="141"/>
    </row>
    <row r="200" spans="1:1">
      <c r="A200" s="141"/>
    </row>
    <row r="201" spans="1:1">
      <c r="A201" s="141"/>
    </row>
    <row r="202" spans="1:1">
      <c r="A202" s="141"/>
    </row>
    <row r="203" spans="1:1">
      <c r="A203" s="141"/>
    </row>
    <row r="204" spans="1:1">
      <c r="A204" s="141"/>
    </row>
    <row r="205" spans="1:1">
      <c r="A205" s="141"/>
    </row>
    <row r="206" spans="1:1">
      <c r="A206" s="141"/>
    </row>
    <row r="207" spans="1:1">
      <c r="A207" s="141"/>
    </row>
    <row r="208" spans="1:1">
      <c r="A208" s="141"/>
    </row>
    <row r="209" spans="1:1">
      <c r="A209" s="141"/>
    </row>
    <row r="210" spans="1:1">
      <c r="A210" s="141"/>
    </row>
    <row r="211" spans="1:1">
      <c r="A211" s="141"/>
    </row>
    <row r="212" spans="1:1">
      <c r="A212" s="141"/>
    </row>
    <row r="213" spans="1:1">
      <c r="A213" s="141"/>
    </row>
    <row r="214" spans="1:1">
      <c r="A214" s="141"/>
    </row>
    <row r="215" spans="1:1">
      <c r="A215" s="141"/>
    </row>
    <row r="216" spans="1:1">
      <c r="A216" s="141"/>
    </row>
    <row r="217" spans="1:1">
      <c r="A217" s="141"/>
    </row>
    <row r="218" spans="1:1">
      <c r="A218" s="141"/>
    </row>
    <row r="219" spans="1:1">
      <c r="A219" s="141"/>
    </row>
    <row r="220" spans="1:1">
      <c r="A220" s="141"/>
    </row>
    <row r="221" spans="1:1">
      <c r="A221" s="141"/>
    </row>
    <row r="222" spans="1:1">
      <c r="A222" s="141"/>
    </row>
    <row r="223" spans="1:1">
      <c r="A223" s="141"/>
    </row>
    <row r="224" spans="1:1">
      <c r="A224" s="141"/>
    </row>
    <row r="225" spans="1:1">
      <c r="A225" s="141"/>
    </row>
    <row r="226" spans="1:1">
      <c r="A226" s="141"/>
    </row>
    <row r="227" spans="1:1">
      <c r="A227" s="141"/>
    </row>
    <row r="228" spans="1:1">
      <c r="A228" s="141"/>
    </row>
    <row r="229" spans="1:1">
      <c r="A229" s="141"/>
    </row>
    <row r="230" spans="1:1">
      <c r="A230" s="141"/>
    </row>
    <row r="231" spans="1:1">
      <c r="A231" s="141"/>
    </row>
    <row r="232" spans="1:1">
      <c r="A232" s="141"/>
    </row>
    <row r="233" spans="1:1">
      <c r="A233" s="141"/>
    </row>
    <row r="234" spans="1:1">
      <c r="A234" s="141"/>
    </row>
    <row r="235" spans="1:1">
      <c r="A235" s="141"/>
    </row>
    <row r="236" spans="1:1">
      <c r="A236" s="141"/>
    </row>
    <row r="237" spans="1:1">
      <c r="A237" s="141"/>
    </row>
    <row r="238" spans="1:1">
      <c r="A238" s="141"/>
    </row>
    <row r="239" spans="1:1">
      <c r="A239" s="141"/>
    </row>
    <row r="240" spans="1:1">
      <c r="A240" s="141"/>
    </row>
    <row r="241" spans="1:1">
      <c r="A241" s="141"/>
    </row>
    <row r="242" spans="1:1">
      <c r="A242" s="141"/>
    </row>
    <row r="243" spans="1:1">
      <c r="A243" s="141"/>
    </row>
    <row r="244" spans="1:1">
      <c r="A244" s="141"/>
    </row>
    <row r="245" spans="1:1">
      <c r="A245" s="141"/>
    </row>
    <row r="246" spans="1:1">
      <c r="A246" s="141"/>
    </row>
    <row r="247" spans="1:1">
      <c r="A247" s="141"/>
    </row>
    <row r="248" spans="1:1">
      <c r="A248" s="141"/>
    </row>
    <row r="249" spans="1:1">
      <c r="A249" s="141"/>
    </row>
    <row r="250" spans="1:1">
      <c r="A250" s="141"/>
    </row>
    <row r="251" spans="1:1">
      <c r="A251" s="141"/>
    </row>
    <row r="252" spans="1:1">
      <c r="A252" s="141"/>
    </row>
    <row r="253" spans="1:1">
      <c r="A253" s="141"/>
    </row>
    <row r="254" spans="1:1">
      <c r="A254" s="141"/>
    </row>
    <row r="255" spans="1:1">
      <c r="A255" s="141"/>
    </row>
    <row r="256" spans="1:1">
      <c r="A256" s="141"/>
    </row>
    <row r="257" spans="1:1">
      <c r="A257" s="141"/>
    </row>
    <row r="258" spans="1:1">
      <c r="A258" s="141"/>
    </row>
    <row r="259" spans="1:1">
      <c r="A259" s="141"/>
    </row>
    <row r="260" spans="1:1">
      <c r="A260" s="141"/>
    </row>
    <row r="261" spans="1:1">
      <c r="A261" s="141"/>
    </row>
    <row r="262" spans="1:1">
      <c r="A262" s="141"/>
    </row>
    <row r="263" spans="1:1">
      <c r="A263" s="141"/>
    </row>
    <row r="264" spans="1:1">
      <c r="A264" s="141"/>
    </row>
    <row r="265" spans="1:1">
      <c r="A265" s="141"/>
    </row>
    <row r="266" spans="1:1">
      <c r="A266" s="141"/>
    </row>
    <row r="267" spans="1:1">
      <c r="A267" s="141"/>
    </row>
    <row r="268" spans="1:1">
      <c r="A268" s="141"/>
    </row>
    <row r="269" spans="1:1">
      <c r="A269" s="141"/>
    </row>
    <row r="270" spans="1:1">
      <c r="A270" s="141"/>
    </row>
    <row r="271" spans="1:1">
      <c r="A271" s="141"/>
    </row>
    <row r="272" spans="1:1">
      <c r="A272" s="141"/>
    </row>
    <row r="273" spans="1:1">
      <c r="A273" s="141"/>
    </row>
    <row r="274" spans="1:1">
      <c r="A274" s="141"/>
    </row>
    <row r="275" spans="1:1">
      <c r="A275" s="141"/>
    </row>
    <row r="276" spans="1:1">
      <c r="A276" s="141"/>
    </row>
    <row r="277" spans="1:1">
      <c r="A277" s="141"/>
    </row>
    <row r="278" spans="1:1">
      <c r="A278" s="141"/>
    </row>
    <row r="279" spans="1:1">
      <c r="A279" s="141"/>
    </row>
    <row r="280" spans="1:1">
      <c r="A280" s="141"/>
    </row>
    <row r="281" spans="1:1">
      <c r="A281" s="141"/>
    </row>
    <row r="282" spans="1:1">
      <c r="A282" s="141"/>
    </row>
    <row r="283" spans="1:1">
      <c r="A283" s="141"/>
    </row>
    <row r="284" spans="1:1">
      <c r="A284" s="141"/>
    </row>
    <row r="285" spans="1:1">
      <c r="A285" s="141"/>
    </row>
    <row r="286" spans="1:1">
      <c r="A286" s="141"/>
    </row>
    <row r="287" spans="1:1">
      <c r="A287" s="141"/>
    </row>
    <row r="288" spans="1:1">
      <c r="A288" s="141"/>
    </row>
    <row r="289" spans="1:1">
      <c r="A289" s="141"/>
    </row>
    <row r="290" spans="1:1">
      <c r="A290" s="141"/>
    </row>
    <row r="291" spans="1:1">
      <c r="A291" s="141"/>
    </row>
    <row r="292" spans="1:1">
      <c r="A292" s="141"/>
    </row>
    <row r="293" spans="1:1">
      <c r="A293" s="141"/>
    </row>
    <row r="294" spans="1:1">
      <c r="A294" s="141"/>
    </row>
    <row r="295" spans="1:1">
      <c r="A295" s="141"/>
    </row>
    <row r="296" spans="1:1">
      <c r="A296" s="141"/>
    </row>
    <row r="297" spans="1:1">
      <c r="A297" s="141"/>
    </row>
    <row r="298" spans="1:1">
      <c r="A298" s="141"/>
    </row>
    <row r="299" spans="1:1">
      <c r="A299" s="141"/>
    </row>
    <row r="300" spans="1:1">
      <c r="A300" s="141"/>
    </row>
    <row r="301" spans="1:1">
      <c r="A301" s="141"/>
    </row>
    <row r="302" spans="1:1">
      <c r="A302" s="141"/>
    </row>
    <row r="303" spans="1:1">
      <c r="A303" s="141"/>
    </row>
    <row r="304" spans="1:1">
      <c r="A304" s="141"/>
    </row>
    <row r="305" spans="1:1">
      <c r="A305" s="141"/>
    </row>
    <row r="306" spans="1:1">
      <c r="A306" s="141"/>
    </row>
    <row r="307" spans="1:1">
      <c r="A307" s="141"/>
    </row>
    <row r="308" spans="1:1">
      <c r="A308" s="141"/>
    </row>
    <row r="309" spans="1:1">
      <c r="A309" s="141"/>
    </row>
    <row r="310" spans="1:1">
      <c r="A310" s="141"/>
    </row>
    <row r="311" spans="1:1">
      <c r="A311" s="141"/>
    </row>
    <row r="312" spans="1:1">
      <c r="A312" s="141"/>
    </row>
    <row r="313" spans="1:1">
      <c r="A313" s="141"/>
    </row>
    <row r="314" spans="1:1">
      <c r="A314" s="141"/>
    </row>
    <row r="315" spans="1:1">
      <c r="A315" s="141"/>
    </row>
    <row r="316" spans="1:1">
      <c r="A316" s="141"/>
    </row>
    <row r="317" spans="1:1">
      <c r="A317" s="141"/>
    </row>
    <row r="318" spans="1:1">
      <c r="A318" s="141"/>
    </row>
    <row r="319" spans="1:1">
      <c r="A319" s="141"/>
    </row>
    <row r="320" spans="1:1">
      <c r="A320" s="141"/>
    </row>
    <row r="321" spans="1:1">
      <c r="A321" s="141"/>
    </row>
    <row r="322" spans="1:1">
      <c r="A322" s="141"/>
    </row>
    <row r="323" spans="1:1">
      <c r="A323" s="141"/>
    </row>
    <row r="324" spans="1:1">
      <c r="A324" s="141"/>
    </row>
    <row r="325" spans="1:1">
      <c r="A325" s="141"/>
    </row>
    <row r="326" spans="1:1">
      <c r="A326" s="141"/>
    </row>
    <row r="327" spans="1:1">
      <c r="A327" s="141"/>
    </row>
    <row r="328" spans="1:1">
      <c r="A328" s="141"/>
    </row>
  </sheetData>
  <sheetProtection password="C6FB" sheet="1" objects="1" scenarios="1" formatCells="0" formatColumns="0" formatRows="0" insertRows="0" deleteRows="0"/>
  <mergeCells count="16">
    <mergeCell ref="A1:J1"/>
    <mergeCell ref="C103:E103"/>
    <mergeCell ref="G103:I103"/>
    <mergeCell ref="J3:J4"/>
    <mergeCell ref="A6:J6"/>
    <mergeCell ref="A78:J78"/>
    <mergeCell ref="A84:J84"/>
    <mergeCell ref="B3:B4"/>
    <mergeCell ref="A3:A4"/>
    <mergeCell ref="C3:C4"/>
    <mergeCell ref="F3:I3"/>
    <mergeCell ref="A91:J91"/>
    <mergeCell ref="C102:E102"/>
    <mergeCell ref="G102:I102"/>
    <mergeCell ref="E3:E4"/>
    <mergeCell ref="D3:D4"/>
  </mergeCells>
  <phoneticPr fontId="0" type="noConversion"/>
  <pageMargins left="0.7" right="0.7" top="0.75" bottom="0.75" header="0.3" footer="0.3"/>
  <pageSetup paperSize="9" scale="26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K192"/>
  <sheetViews>
    <sheetView view="pageBreakPreview" zoomScale="75" zoomScaleNormal="65" zoomScaleSheetLayoutView="50" workbookViewId="0">
      <pane ySplit="5" topLeftCell="A36" activePane="bottomLeft" state="frozen"/>
      <selection pane="bottomLeft" activeCell="D38" sqref="D38"/>
    </sheetView>
  </sheetViews>
  <sheetFormatPr defaultColWidth="77.85546875" defaultRowHeight="18.75" outlineLevelRow="1"/>
  <cols>
    <col min="1" max="1" width="61.28515625" style="37" customWidth="1"/>
    <col min="2" max="2" width="15.28515625" style="40" customWidth="1"/>
    <col min="3" max="3" width="13" style="40" customWidth="1"/>
    <col min="4" max="4" width="14.85546875" style="334" customWidth="1"/>
    <col min="5" max="5" width="13.42578125" style="40" customWidth="1"/>
    <col min="6" max="6" width="13.7109375" style="37" customWidth="1"/>
    <col min="7" max="7" width="13.28515625" style="37" customWidth="1"/>
    <col min="8" max="8" width="13" style="37" customWidth="1"/>
    <col min="9" max="9" width="11.7109375" style="37" customWidth="1"/>
    <col min="10" max="10" width="10" style="37" customWidth="1"/>
    <col min="11" max="11" width="9.5703125" style="37" customWidth="1"/>
    <col min="12" max="254" width="9.140625" style="37" customWidth="1"/>
    <col min="255" max="16384" width="77.85546875" style="37"/>
  </cols>
  <sheetData>
    <row r="1" spans="1:10">
      <c r="A1" s="443" t="s">
        <v>351</v>
      </c>
      <c r="B1" s="443"/>
      <c r="C1" s="443"/>
      <c r="D1" s="443"/>
      <c r="E1" s="443"/>
      <c r="F1" s="443"/>
      <c r="G1" s="443"/>
      <c r="H1" s="443"/>
      <c r="I1" s="443"/>
    </row>
    <row r="2" spans="1:10" outlineLevel="1">
      <c r="A2" s="36"/>
      <c r="B2" s="45"/>
      <c r="C2" s="36"/>
      <c r="D2" s="331"/>
      <c r="E2" s="36"/>
      <c r="F2" s="36"/>
      <c r="G2" s="36"/>
      <c r="H2" s="36"/>
      <c r="I2" s="36"/>
    </row>
    <row r="3" spans="1:10" ht="38.25" customHeight="1">
      <c r="A3" s="444" t="s">
        <v>254</v>
      </c>
      <c r="B3" s="445" t="s">
        <v>18</v>
      </c>
      <c r="C3" s="445" t="s">
        <v>31</v>
      </c>
      <c r="D3" s="446" t="s">
        <v>39</v>
      </c>
      <c r="E3" s="447" t="s">
        <v>163</v>
      </c>
      <c r="F3" s="448" t="s">
        <v>347</v>
      </c>
      <c r="G3" s="448"/>
      <c r="H3" s="448"/>
      <c r="I3" s="448"/>
    </row>
    <row r="4" spans="1:10" ht="50.25" customHeight="1">
      <c r="A4" s="444"/>
      <c r="B4" s="445"/>
      <c r="C4" s="445"/>
      <c r="D4" s="446"/>
      <c r="E4" s="447"/>
      <c r="F4" s="10" t="s">
        <v>348</v>
      </c>
      <c r="G4" s="10" t="s">
        <v>349</v>
      </c>
      <c r="H4" s="10" t="s">
        <v>350</v>
      </c>
      <c r="I4" s="10" t="s">
        <v>71</v>
      </c>
    </row>
    <row r="5" spans="1:10" ht="18" customHeight="1">
      <c r="A5" s="43">
        <v>1</v>
      </c>
      <c r="B5" s="44">
        <v>2</v>
      </c>
      <c r="C5" s="44">
        <v>3</v>
      </c>
      <c r="D5" s="332">
        <v>4</v>
      </c>
      <c r="E5" s="44">
        <v>5</v>
      </c>
      <c r="F5" s="6">
        <v>6</v>
      </c>
      <c r="G5" s="6">
        <v>7</v>
      </c>
      <c r="H5" s="6">
        <v>8</v>
      </c>
      <c r="I5" s="6">
        <v>9</v>
      </c>
    </row>
    <row r="6" spans="1:10" ht="24.95" customHeight="1">
      <c r="A6" s="439" t="s">
        <v>147</v>
      </c>
      <c r="B6" s="440"/>
      <c r="C6" s="440"/>
      <c r="D6" s="440"/>
      <c r="E6" s="440"/>
      <c r="F6" s="440"/>
      <c r="G6" s="440"/>
      <c r="H6" s="440"/>
      <c r="I6" s="441"/>
    </row>
    <row r="7" spans="1:10" ht="42.75" customHeight="1">
      <c r="A7" s="335" t="s">
        <v>52</v>
      </c>
      <c r="B7" s="336">
        <v>2000</v>
      </c>
      <c r="C7" s="326">
        <v>-161</v>
      </c>
      <c r="D7" s="326">
        <v>-137</v>
      </c>
      <c r="E7" s="326">
        <f>C17</f>
        <v>-163</v>
      </c>
      <c r="F7" s="326">
        <f>E17</f>
        <v>-418.6</v>
      </c>
      <c r="G7" s="326">
        <f>E17</f>
        <v>-418.6</v>
      </c>
      <c r="H7" s="326">
        <f>E17</f>
        <v>-418.6</v>
      </c>
      <c r="I7" s="326">
        <f>E17</f>
        <v>-418.6</v>
      </c>
      <c r="J7" s="337"/>
    </row>
    <row r="8" spans="1:10" ht="37.5">
      <c r="A8" s="38" t="s">
        <v>202</v>
      </c>
      <c r="B8" s="6">
        <v>2010</v>
      </c>
      <c r="C8" s="258">
        <f>C9+C10</f>
        <v>74</v>
      </c>
      <c r="D8" s="310">
        <f t="shared" ref="D8:I8" si="0">D9+D10</f>
        <v>92</v>
      </c>
      <c r="E8" s="258">
        <f t="shared" si="0"/>
        <v>0</v>
      </c>
      <c r="F8" s="258">
        <f t="shared" si="0"/>
        <v>57</v>
      </c>
      <c r="G8" s="258">
        <f t="shared" si="0"/>
        <v>115</v>
      </c>
      <c r="H8" s="258">
        <f t="shared" si="0"/>
        <v>173</v>
      </c>
      <c r="I8" s="258">
        <f t="shared" si="0"/>
        <v>189</v>
      </c>
    </row>
    <row r="9" spans="1:10" ht="42.75" customHeight="1">
      <c r="A9" s="7" t="s">
        <v>353</v>
      </c>
      <c r="B9" s="6">
        <v>2011</v>
      </c>
      <c r="C9" s="172">
        <v>19</v>
      </c>
      <c r="D9" s="285">
        <v>21</v>
      </c>
      <c r="E9" s="167"/>
      <c r="F9" s="172">
        <f>ROUND('I. Фін результат'!F74*15%,0)</f>
        <v>13</v>
      </c>
      <c r="G9" s="172">
        <f>ROUND('I. Фін результат'!G74*15%,0)</f>
        <v>26</v>
      </c>
      <c r="H9" s="285">
        <f>ROUND('I. Фін результат'!H74*15%,0)</f>
        <v>39</v>
      </c>
      <c r="I9" s="285">
        <f>ROUND('I. Фін результат'!I74*15%,0)</f>
        <v>43</v>
      </c>
    </row>
    <row r="10" spans="1:10" ht="93.75">
      <c r="A10" s="7" t="s">
        <v>354</v>
      </c>
      <c r="B10" s="6">
        <v>2012</v>
      </c>
      <c r="C10" s="172">
        <v>55</v>
      </c>
      <c r="D10" s="285">
        <v>71</v>
      </c>
      <c r="E10" s="167"/>
      <c r="F10" s="172">
        <f>ROUND(('I. Фін результат'!F74-'ІІ. Розр. з бюджетом'!F9)*60%,0)</f>
        <v>44</v>
      </c>
      <c r="G10" s="172">
        <f>ROUND(('I. Фін результат'!G74-'ІІ. Розр. з бюджетом'!G9)*60%,0)</f>
        <v>89</v>
      </c>
      <c r="H10" s="285">
        <f>ROUND(('I. Фін результат'!H74-'ІІ. Розр. з бюджетом'!H9)*60%,0)</f>
        <v>134</v>
      </c>
      <c r="I10" s="285">
        <f>ROUND(('I. Фін результат'!I74-'ІІ. Розр. з бюджетом'!I9)*60%,0)</f>
        <v>146</v>
      </c>
    </row>
    <row r="11" spans="1:10" ht="20.100000000000001" customHeight="1">
      <c r="A11" s="7" t="s">
        <v>188</v>
      </c>
      <c r="B11" s="6">
        <v>2020</v>
      </c>
      <c r="C11" s="172"/>
      <c r="D11" s="285"/>
      <c r="E11" s="167"/>
      <c r="F11" s="167"/>
      <c r="G11" s="167"/>
      <c r="H11" s="167"/>
      <c r="I11" s="167"/>
    </row>
    <row r="12" spans="1:10" s="39" customFormat="1" ht="20.100000000000001" customHeight="1">
      <c r="A12" s="38" t="s">
        <v>61</v>
      </c>
      <c r="B12" s="6">
        <v>2030</v>
      </c>
      <c r="C12" s="172"/>
      <c r="D12" s="285"/>
      <c r="E12" s="167"/>
      <c r="F12" s="167"/>
      <c r="G12" s="167"/>
      <c r="H12" s="167"/>
      <c r="I12" s="167"/>
    </row>
    <row r="13" spans="1:10" ht="37.5">
      <c r="A13" s="38" t="s">
        <v>127</v>
      </c>
      <c r="B13" s="6">
        <v>2031</v>
      </c>
      <c r="C13" s="172"/>
      <c r="D13" s="285"/>
      <c r="E13" s="167"/>
      <c r="F13" s="167"/>
      <c r="G13" s="167"/>
      <c r="H13" s="167"/>
      <c r="I13" s="167"/>
    </row>
    <row r="14" spans="1:10" ht="20.100000000000001" customHeight="1">
      <c r="A14" s="38" t="s">
        <v>26</v>
      </c>
      <c r="B14" s="6">
        <v>2040</v>
      </c>
      <c r="C14" s="172"/>
      <c r="D14" s="285"/>
      <c r="E14" s="167"/>
      <c r="F14" s="167"/>
      <c r="G14" s="167"/>
      <c r="H14" s="167"/>
      <c r="I14" s="167"/>
    </row>
    <row r="15" spans="1:10" ht="20.100000000000001" customHeight="1">
      <c r="A15" s="163" t="s">
        <v>108</v>
      </c>
      <c r="B15" s="6">
        <v>2050</v>
      </c>
      <c r="C15" s="172"/>
      <c r="D15" s="285"/>
      <c r="E15" s="167"/>
      <c r="F15" s="167"/>
      <c r="G15" s="167"/>
      <c r="H15" s="167"/>
      <c r="I15" s="167"/>
    </row>
    <row r="16" spans="1:10" ht="20.100000000000001" customHeight="1">
      <c r="A16" s="163" t="s">
        <v>109</v>
      </c>
      <c r="B16" s="6">
        <v>2060</v>
      </c>
      <c r="C16" s="172">
        <v>35</v>
      </c>
      <c r="D16" s="285"/>
      <c r="E16" s="167"/>
      <c r="F16" s="167"/>
      <c r="G16" s="167"/>
      <c r="H16" s="167"/>
      <c r="I16" s="167"/>
    </row>
    <row r="17" spans="1:10" ht="42.75" customHeight="1">
      <c r="A17" s="335" t="s">
        <v>53</v>
      </c>
      <c r="B17" s="338">
        <v>2070</v>
      </c>
      <c r="C17" s="321">
        <f>C7+'I. Фін результат'!C74-'ІІ. Розр. з бюджетом'!C8-C16</f>
        <v>-163</v>
      </c>
      <c r="D17" s="321">
        <f>D7+'I. Фін результат'!D74-'ІІ. Розр. з бюджетом'!D8-D16</f>
        <v>-139</v>
      </c>
      <c r="E17" s="321">
        <f>'I. Фін результат'!E74+'ІІ. Розр. з бюджетом'!E7-('ІІ. Розр. з бюджетом'!E8+'ІІ. Розр. з бюджетом'!E11+'ІІ. Розр. з бюджетом'!E12+'ІІ. Розр. з бюджетом'!E14+'ІІ. Розр. з бюджетом'!E15+'ІІ. Розр. з бюджетом'!E16)</f>
        <v>-418.6</v>
      </c>
      <c r="F17" s="321">
        <f>'I. Фін результат'!F74+'ІІ. Розр. з бюджетом'!F7-('ІІ. Розр. з бюджетом'!F8+'ІІ. Розр. з бюджетом'!F11+'ІІ. Розр. з бюджетом'!F12+'ІІ. Розр. з бюджетом'!F14+'ІІ. Розр. з бюджетом'!F15+'ІІ. Розр. з бюджетом'!F16)</f>
        <v>-388.6</v>
      </c>
      <c r="G17" s="321">
        <f>'I. Фін результат'!G74+'ІІ. Розр. з бюджетом'!G7-('ІІ. Розр. з бюджетом'!G8+'ІІ. Розр. з бюджетом'!G11+'ІІ. Розр. з бюджетом'!G12+'ІІ. Розр. з бюджетом'!G14+'ІІ. Розр. з бюджетом'!G15+'ІІ. Розр. з бюджетом'!G16)</f>
        <v>-358.6</v>
      </c>
      <c r="H17" s="321">
        <f>'I. Фін результат'!H74+'ІІ. Розр. з бюджетом'!H7-('ІІ. Розр. з бюджетом'!H8+'ІІ. Розр. з бюджетом'!H11+'ІІ. Розр. з бюджетом'!H12+'ІІ. Розр. з бюджетом'!H14+'ІІ. Розр. з бюджетом'!H15+'ІІ. Розр. з бюджетом'!H16)</f>
        <v>-329.6</v>
      </c>
      <c r="I17" s="321">
        <f>'I. Фін результат'!I74+'ІІ. Розр. з бюджетом'!I7-('ІІ. Розр. з бюджетом'!I8+'ІІ. Розр. з бюджетом'!I11+'ІІ. Розр. з бюджетом'!I12+'ІІ. Розр. з бюджетом'!I14+'ІІ. Розр. з бюджетом'!I15+'ІІ. Розр. з бюджетом'!I16)</f>
        <v>-321.60000000000002</v>
      </c>
    </row>
    <row r="18" spans="1:10" ht="20.100000000000001" customHeight="1">
      <c r="A18" s="439" t="s">
        <v>148</v>
      </c>
      <c r="B18" s="440"/>
      <c r="C18" s="440"/>
      <c r="D18" s="440"/>
      <c r="E18" s="440"/>
      <c r="F18" s="440"/>
      <c r="G18" s="440"/>
      <c r="H18" s="440"/>
      <c r="I18" s="441"/>
    </row>
    <row r="19" spans="1:10" ht="37.5">
      <c r="A19" s="163" t="s">
        <v>202</v>
      </c>
      <c r="B19" s="149">
        <v>2100</v>
      </c>
      <c r="C19" s="258">
        <f t="shared" ref="C19:I19" si="1">SUM(C20:C21)</f>
        <v>74</v>
      </c>
      <c r="D19" s="310">
        <f t="shared" si="1"/>
        <v>92</v>
      </c>
      <c r="E19" s="258">
        <f t="shared" si="1"/>
        <v>0</v>
      </c>
      <c r="F19" s="258">
        <f t="shared" si="1"/>
        <v>57</v>
      </c>
      <c r="G19" s="258">
        <f t="shared" si="1"/>
        <v>115</v>
      </c>
      <c r="H19" s="258">
        <f t="shared" si="1"/>
        <v>173</v>
      </c>
      <c r="I19" s="258">
        <f t="shared" si="1"/>
        <v>189</v>
      </c>
    </row>
    <row r="20" spans="1:10" ht="42.75" customHeight="1">
      <c r="A20" s="63" t="s">
        <v>353</v>
      </c>
      <c r="B20" s="149">
        <v>2101</v>
      </c>
      <c r="C20" s="168">
        <f t="shared" ref="C20:I21" si="2">C9</f>
        <v>19</v>
      </c>
      <c r="D20" s="310">
        <f t="shared" si="2"/>
        <v>21</v>
      </c>
      <c r="E20" s="258">
        <f t="shared" si="2"/>
        <v>0</v>
      </c>
      <c r="F20" s="258">
        <f t="shared" si="2"/>
        <v>13</v>
      </c>
      <c r="G20" s="258">
        <f t="shared" si="2"/>
        <v>26</v>
      </c>
      <c r="H20" s="258">
        <f t="shared" si="2"/>
        <v>39</v>
      </c>
      <c r="I20" s="258">
        <f t="shared" si="2"/>
        <v>43</v>
      </c>
    </row>
    <row r="21" spans="1:10" ht="93.75">
      <c r="A21" s="63" t="s">
        <v>354</v>
      </c>
      <c r="B21" s="149">
        <v>2102</v>
      </c>
      <c r="C21" s="168">
        <f t="shared" si="2"/>
        <v>55</v>
      </c>
      <c r="D21" s="310">
        <f t="shared" si="2"/>
        <v>71</v>
      </c>
      <c r="E21" s="258">
        <f t="shared" si="2"/>
        <v>0</v>
      </c>
      <c r="F21" s="258">
        <f t="shared" si="2"/>
        <v>44</v>
      </c>
      <c r="G21" s="258">
        <f t="shared" si="2"/>
        <v>89</v>
      </c>
      <c r="H21" s="258">
        <f t="shared" si="2"/>
        <v>134</v>
      </c>
      <c r="I21" s="258">
        <f t="shared" si="2"/>
        <v>146</v>
      </c>
    </row>
    <row r="22" spans="1:10" s="39" customFormat="1" ht="20.100000000000001" customHeight="1">
      <c r="A22" s="163" t="s">
        <v>150</v>
      </c>
      <c r="B22" s="164">
        <v>2110</v>
      </c>
      <c r="C22" s="258">
        <f>'I. Фін результат'!C72</f>
        <v>24</v>
      </c>
      <c r="D22" s="310">
        <f>'I. Фін результат'!D72</f>
        <v>20</v>
      </c>
      <c r="E22" s="258">
        <f>'I. Фін результат'!E72</f>
        <v>0</v>
      </c>
      <c r="F22" s="258">
        <f>'I. Фін результат'!F72</f>
        <v>0</v>
      </c>
      <c r="G22" s="258">
        <f>'I. Фін результат'!G72</f>
        <v>0</v>
      </c>
      <c r="H22" s="258">
        <f>'I. Фін результат'!H72</f>
        <v>0</v>
      </c>
      <c r="I22" s="258">
        <f>'I. Фін результат'!I72</f>
        <v>63</v>
      </c>
    </row>
    <row r="23" spans="1:10" ht="56.25">
      <c r="A23" s="163" t="s">
        <v>318</v>
      </c>
      <c r="B23" s="164">
        <v>2120</v>
      </c>
      <c r="C23" s="172">
        <v>561</v>
      </c>
      <c r="D23" s="285">
        <v>348</v>
      </c>
      <c r="E23" s="167">
        <v>0</v>
      </c>
      <c r="F23" s="172">
        <v>101</v>
      </c>
      <c r="G23" s="172">
        <v>246</v>
      </c>
      <c r="H23" s="172">
        <v>293</v>
      </c>
      <c r="I23" s="172">
        <v>348</v>
      </c>
    </row>
    <row r="24" spans="1:10" ht="56.25">
      <c r="A24" s="163" t="s">
        <v>319</v>
      </c>
      <c r="B24" s="164">
        <v>2130</v>
      </c>
      <c r="C24" s="172"/>
      <c r="D24" s="285"/>
      <c r="E24" s="172"/>
      <c r="F24" s="172"/>
      <c r="G24" s="172"/>
      <c r="H24" s="172"/>
      <c r="I24" s="172"/>
    </row>
    <row r="25" spans="1:10" s="41" customFormat="1" ht="56.25">
      <c r="A25" s="339" t="s">
        <v>238</v>
      </c>
      <c r="B25" s="340">
        <v>2140</v>
      </c>
      <c r="C25" s="330">
        <f t="shared" ref="C25:I25" si="3">SUM(C26:C30,C33,C35)</f>
        <v>162</v>
      </c>
      <c r="D25" s="330">
        <f t="shared" si="3"/>
        <v>240</v>
      </c>
      <c r="E25" s="330">
        <f t="shared" si="3"/>
        <v>83</v>
      </c>
      <c r="F25" s="330">
        <f t="shared" si="3"/>
        <v>46</v>
      </c>
      <c r="G25" s="330">
        <f t="shared" si="3"/>
        <v>92</v>
      </c>
      <c r="H25" s="330">
        <f t="shared" si="3"/>
        <v>138</v>
      </c>
      <c r="I25" s="330">
        <f t="shared" si="3"/>
        <v>183</v>
      </c>
      <c r="J25" s="37"/>
    </row>
    <row r="26" spans="1:10" ht="20.100000000000001" customHeight="1">
      <c r="A26" s="163" t="s">
        <v>76</v>
      </c>
      <c r="B26" s="164">
        <v>2141</v>
      </c>
      <c r="C26" s="167"/>
      <c r="D26" s="285"/>
      <c r="E26" s="167"/>
      <c r="F26" s="167"/>
      <c r="G26" s="167"/>
      <c r="H26" s="167"/>
      <c r="I26" s="167"/>
    </row>
    <row r="27" spans="1:10" ht="20.100000000000001" customHeight="1">
      <c r="A27" s="163" t="s">
        <v>103</v>
      </c>
      <c r="B27" s="164">
        <v>2142</v>
      </c>
      <c r="C27" s="167"/>
      <c r="D27" s="285"/>
      <c r="E27" s="167"/>
      <c r="F27" s="167"/>
      <c r="G27" s="167"/>
      <c r="H27" s="167"/>
      <c r="I27" s="167"/>
    </row>
    <row r="28" spans="1:10" ht="20.100000000000001" customHeight="1">
      <c r="A28" s="163" t="s">
        <v>94</v>
      </c>
      <c r="B28" s="164">
        <v>2143</v>
      </c>
      <c r="C28" s="167"/>
      <c r="D28" s="285"/>
      <c r="E28" s="167"/>
      <c r="F28" s="167"/>
      <c r="G28" s="167"/>
      <c r="H28" s="167"/>
      <c r="I28" s="167"/>
    </row>
    <row r="29" spans="1:10" ht="20.100000000000001" customHeight="1">
      <c r="A29" s="163" t="s">
        <v>74</v>
      </c>
      <c r="B29" s="164">
        <v>2144</v>
      </c>
      <c r="C29" s="172">
        <v>153</v>
      </c>
      <c r="D29" s="285">
        <v>222</v>
      </c>
      <c r="E29" s="285">
        <v>76</v>
      </c>
      <c r="F29" s="250">
        <f>ROUND(Лист1!C18,0)</f>
        <v>42</v>
      </c>
      <c r="G29" s="250">
        <f>ROUND(Лист1!D18,0)</f>
        <v>85</v>
      </c>
      <c r="H29" s="250">
        <f>ROUND(Лист1!E18,0)</f>
        <v>127</v>
      </c>
      <c r="I29" s="250">
        <f>ROUND(Лист1!F18,0)</f>
        <v>169</v>
      </c>
    </row>
    <row r="30" spans="1:10" s="39" customFormat="1" ht="20.100000000000001" customHeight="1">
      <c r="A30" s="163" t="s">
        <v>170</v>
      </c>
      <c r="B30" s="164">
        <v>2145</v>
      </c>
      <c r="C30" s="172"/>
      <c r="D30" s="285"/>
      <c r="E30" s="285"/>
      <c r="F30" s="172"/>
      <c r="G30" s="172"/>
      <c r="H30" s="172"/>
      <c r="I30" s="172"/>
    </row>
    <row r="31" spans="1:10" ht="56.25">
      <c r="A31" s="163" t="s">
        <v>249</v>
      </c>
      <c r="B31" s="164" t="s">
        <v>216</v>
      </c>
      <c r="C31" s="172"/>
      <c r="D31" s="285"/>
      <c r="E31" s="285"/>
      <c r="F31" s="172"/>
      <c r="G31" s="172"/>
      <c r="H31" s="172"/>
      <c r="I31" s="172"/>
    </row>
    <row r="32" spans="1:10" ht="20.100000000000001" customHeight="1">
      <c r="A32" s="163" t="s">
        <v>27</v>
      </c>
      <c r="B32" s="164" t="s">
        <v>217</v>
      </c>
      <c r="C32" s="172"/>
      <c r="D32" s="285"/>
      <c r="E32" s="285"/>
      <c r="F32" s="172"/>
      <c r="G32" s="172"/>
      <c r="H32" s="172"/>
      <c r="I32" s="172"/>
    </row>
    <row r="33" spans="1:11" s="39" customFormat="1" ht="20.100000000000001" customHeight="1">
      <c r="A33" s="163" t="s">
        <v>110</v>
      </c>
      <c r="B33" s="164">
        <v>2146</v>
      </c>
      <c r="C33" s="172"/>
      <c r="D33" s="285"/>
      <c r="E33" s="285"/>
      <c r="F33" s="172"/>
      <c r="G33" s="172"/>
      <c r="H33" s="172"/>
      <c r="I33" s="172"/>
    </row>
    <row r="34" spans="1:11" s="39" customFormat="1" ht="20.100000000000001" customHeight="1">
      <c r="A34" s="163" t="s">
        <v>368</v>
      </c>
      <c r="B34" s="164" t="s">
        <v>384</v>
      </c>
      <c r="C34" s="172"/>
      <c r="D34" s="285"/>
      <c r="E34" s="285"/>
      <c r="F34" s="172"/>
      <c r="G34" s="172"/>
      <c r="H34" s="172"/>
      <c r="I34" s="172"/>
    </row>
    <row r="35" spans="1:11" ht="20.100000000000001" customHeight="1">
      <c r="A35" s="163" t="s">
        <v>82</v>
      </c>
      <c r="B35" s="164">
        <v>2147</v>
      </c>
      <c r="C35" s="172">
        <v>9</v>
      </c>
      <c r="D35" s="285">
        <v>18</v>
      </c>
      <c r="E35" s="285">
        <f>E36</f>
        <v>7</v>
      </c>
      <c r="F35" s="172">
        <f>F36</f>
        <v>4</v>
      </c>
      <c r="G35" s="172">
        <f>G36</f>
        <v>7</v>
      </c>
      <c r="H35" s="172">
        <f>H36</f>
        <v>11</v>
      </c>
      <c r="I35" s="172">
        <f>I36</f>
        <v>14</v>
      </c>
    </row>
    <row r="36" spans="1:11" ht="20.100000000000001" customHeight="1">
      <c r="A36" s="163" t="s">
        <v>368</v>
      </c>
      <c r="B36" s="164" t="s">
        <v>378</v>
      </c>
      <c r="C36" s="172">
        <v>13</v>
      </c>
      <c r="D36" s="285">
        <v>18</v>
      </c>
      <c r="E36" s="285">
        <v>7</v>
      </c>
      <c r="F36" s="250">
        <f>ROUND(Лист1!C19,0)</f>
        <v>4</v>
      </c>
      <c r="G36" s="250">
        <f>ROUND(Лист1!D19,0)</f>
        <v>7</v>
      </c>
      <c r="H36" s="250">
        <f>ROUND(Лист1!E19,0)</f>
        <v>11</v>
      </c>
      <c r="I36" s="250">
        <f>ROUND(Лист1!F19,0)</f>
        <v>14</v>
      </c>
    </row>
    <row r="37" spans="1:11" s="39" customFormat="1" ht="37.5">
      <c r="A37" s="341" t="s">
        <v>75</v>
      </c>
      <c r="B37" s="342">
        <v>2150</v>
      </c>
      <c r="C37" s="326">
        <f>'I. Фін результат'!C96</f>
        <v>175</v>
      </c>
      <c r="D37" s="326">
        <v>263</v>
      </c>
      <c r="E37" s="326">
        <v>95</v>
      </c>
      <c r="F37" s="320">
        <f>'I. Фін результат'!F96</f>
        <v>50</v>
      </c>
      <c r="G37" s="320">
        <f>'I. Фін результат'!G96</f>
        <v>98</v>
      </c>
      <c r="H37" s="320">
        <f>'I. Фін результат'!H96</f>
        <v>148</v>
      </c>
      <c r="I37" s="320">
        <f>'I. Фін результат'!I96</f>
        <v>197</v>
      </c>
    </row>
    <row r="38" spans="1:11" s="39" customFormat="1" ht="20.100000000000001" customHeight="1">
      <c r="A38" s="339" t="s">
        <v>344</v>
      </c>
      <c r="B38" s="340">
        <v>2200</v>
      </c>
      <c r="C38" s="325">
        <f t="shared" ref="C38:I38" si="4">SUM(C19,C22:C24,C25,C37)</f>
        <v>996</v>
      </c>
      <c r="D38" s="325">
        <f t="shared" si="4"/>
        <v>963</v>
      </c>
      <c r="E38" s="325">
        <f t="shared" si="4"/>
        <v>178</v>
      </c>
      <c r="F38" s="325">
        <f t="shared" si="4"/>
        <v>254</v>
      </c>
      <c r="G38" s="325">
        <f t="shared" si="4"/>
        <v>551</v>
      </c>
      <c r="H38" s="325">
        <f t="shared" si="4"/>
        <v>752</v>
      </c>
      <c r="I38" s="325">
        <f t="shared" si="4"/>
        <v>980</v>
      </c>
      <c r="J38" s="37"/>
    </row>
    <row r="39" spans="1:11" s="39" customFormat="1" ht="37.5" customHeight="1">
      <c r="A39" s="133"/>
      <c r="B39" s="134"/>
      <c r="C39" s="135"/>
      <c r="D39" s="333"/>
      <c r="E39" s="136"/>
      <c r="F39" s="136"/>
      <c r="G39" s="136"/>
      <c r="H39" s="136"/>
      <c r="I39" s="136"/>
    </row>
    <row r="40" spans="1:11" s="39" customFormat="1" ht="20.100000000000001" customHeight="1">
      <c r="A40" s="133"/>
      <c r="B40" s="134"/>
      <c r="C40" s="135"/>
      <c r="D40" s="333"/>
      <c r="E40" s="136"/>
      <c r="F40" s="136"/>
      <c r="G40" s="136"/>
      <c r="H40" s="136"/>
      <c r="I40" s="136"/>
    </row>
    <row r="41" spans="1:11" s="2" customFormat="1" ht="20.100000000000001" customHeight="1">
      <c r="A41" s="123" t="s">
        <v>397</v>
      </c>
      <c r="B41" s="124"/>
      <c r="C41" s="436" t="s">
        <v>104</v>
      </c>
      <c r="D41" s="442"/>
      <c r="E41" s="442"/>
      <c r="F41" s="125"/>
      <c r="G41" s="400" t="s">
        <v>398</v>
      </c>
      <c r="H41" s="400"/>
      <c r="I41" s="400"/>
    </row>
    <row r="42" spans="1:11" s="1" customFormat="1" ht="20.100000000000001" customHeight="1">
      <c r="A42" s="82" t="s">
        <v>283</v>
      </c>
      <c r="B42" s="95"/>
      <c r="C42" s="426" t="s">
        <v>282</v>
      </c>
      <c r="D42" s="426"/>
      <c r="E42" s="426"/>
      <c r="F42" s="126"/>
      <c r="G42" s="388" t="s">
        <v>100</v>
      </c>
      <c r="H42" s="388"/>
      <c r="I42" s="388"/>
    </row>
    <row r="43" spans="1:11" s="40" customFormat="1">
      <c r="A43" s="52"/>
      <c r="D43" s="334"/>
      <c r="F43" s="37"/>
      <c r="G43" s="37"/>
      <c r="H43" s="37"/>
      <c r="I43" s="37"/>
      <c r="J43" s="37"/>
      <c r="K43" s="37"/>
    </row>
    <row r="44" spans="1:11" s="40" customFormat="1">
      <c r="A44" s="52"/>
      <c r="D44" s="334"/>
      <c r="F44" s="37"/>
      <c r="G44" s="37"/>
      <c r="H44" s="37"/>
      <c r="I44" s="37"/>
      <c r="J44" s="37"/>
      <c r="K44" s="37"/>
    </row>
    <row r="45" spans="1:11" s="40" customFormat="1">
      <c r="A45" s="52"/>
      <c r="D45" s="334"/>
      <c r="F45" s="37"/>
      <c r="G45" s="37"/>
      <c r="H45" s="37"/>
      <c r="I45" s="37"/>
      <c r="J45" s="37"/>
      <c r="K45" s="37"/>
    </row>
    <row r="46" spans="1:11" s="40" customFormat="1">
      <c r="A46" s="52"/>
      <c r="D46" s="334"/>
      <c r="F46" s="37"/>
      <c r="G46" s="37"/>
      <c r="H46" s="37"/>
      <c r="I46" s="37"/>
      <c r="J46" s="37"/>
      <c r="K46" s="37"/>
    </row>
    <row r="47" spans="1:11" s="40" customFormat="1">
      <c r="A47" s="52"/>
      <c r="D47" s="334"/>
      <c r="F47" s="37"/>
      <c r="G47" s="37"/>
      <c r="H47" s="37"/>
      <c r="I47" s="37"/>
      <c r="J47" s="37"/>
      <c r="K47" s="37"/>
    </row>
    <row r="48" spans="1:11" s="40" customFormat="1">
      <c r="A48" s="52"/>
      <c r="D48" s="334"/>
      <c r="F48" s="37"/>
      <c r="G48" s="37"/>
      <c r="H48" s="37"/>
      <c r="I48" s="37"/>
      <c r="J48" s="37"/>
      <c r="K48" s="37"/>
    </row>
    <row r="49" spans="1:11" s="40" customFormat="1">
      <c r="A49" s="52"/>
      <c r="D49" s="334"/>
      <c r="F49" s="37"/>
      <c r="G49" s="37"/>
      <c r="H49" s="37"/>
      <c r="I49" s="37"/>
      <c r="J49" s="37"/>
      <c r="K49" s="37"/>
    </row>
    <row r="50" spans="1:11" s="40" customFormat="1">
      <c r="A50" s="52"/>
      <c r="D50" s="334"/>
      <c r="F50" s="37"/>
      <c r="G50" s="37"/>
      <c r="H50" s="37"/>
      <c r="I50" s="37"/>
      <c r="J50" s="37"/>
      <c r="K50" s="37"/>
    </row>
    <row r="51" spans="1:11" s="40" customFormat="1">
      <c r="A51" s="52"/>
      <c r="D51" s="334"/>
      <c r="F51" s="37"/>
      <c r="G51" s="37"/>
      <c r="H51" s="37"/>
      <c r="I51" s="37"/>
      <c r="J51" s="37"/>
      <c r="K51" s="37"/>
    </row>
    <row r="52" spans="1:11" s="40" customFormat="1">
      <c r="A52" s="52"/>
      <c r="D52" s="334"/>
      <c r="F52" s="37"/>
      <c r="G52" s="37"/>
      <c r="H52" s="37"/>
      <c r="I52" s="37"/>
      <c r="J52" s="37"/>
      <c r="K52" s="37"/>
    </row>
    <row r="53" spans="1:11" s="40" customFormat="1">
      <c r="A53" s="52"/>
      <c r="D53" s="334"/>
      <c r="F53" s="37"/>
      <c r="G53" s="37"/>
      <c r="H53" s="37"/>
      <c r="I53" s="37"/>
      <c r="J53" s="37"/>
      <c r="K53" s="37"/>
    </row>
    <row r="54" spans="1:11" s="40" customFormat="1">
      <c r="A54" s="52"/>
      <c r="D54" s="334"/>
      <c r="F54" s="37"/>
      <c r="G54" s="37"/>
      <c r="H54" s="37"/>
      <c r="I54" s="37"/>
      <c r="J54" s="37"/>
      <c r="K54" s="37"/>
    </row>
    <row r="55" spans="1:11" s="40" customFormat="1">
      <c r="A55" s="52"/>
      <c r="D55" s="334"/>
      <c r="F55" s="37"/>
      <c r="G55" s="37"/>
      <c r="H55" s="37"/>
      <c r="I55" s="37"/>
      <c r="J55" s="37"/>
      <c r="K55" s="37"/>
    </row>
    <row r="56" spans="1:11" s="40" customFormat="1">
      <c r="A56" s="52"/>
      <c r="D56" s="334"/>
      <c r="F56" s="37"/>
      <c r="G56" s="37"/>
      <c r="H56" s="37"/>
      <c r="I56" s="37"/>
      <c r="J56" s="37"/>
      <c r="K56" s="37"/>
    </row>
    <row r="57" spans="1:11" s="40" customFormat="1">
      <c r="A57" s="52"/>
      <c r="D57" s="334"/>
      <c r="F57" s="37"/>
      <c r="G57" s="37"/>
      <c r="H57" s="37"/>
      <c r="I57" s="37"/>
      <c r="J57" s="37"/>
      <c r="K57" s="37"/>
    </row>
    <row r="58" spans="1:11" s="40" customFormat="1">
      <c r="A58" s="52"/>
      <c r="D58" s="334"/>
      <c r="F58" s="37"/>
      <c r="G58" s="37"/>
      <c r="H58" s="37"/>
      <c r="I58" s="37"/>
      <c r="J58" s="37"/>
      <c r="K58" s="37"/>
    </row>
    <row r="59" spans="1:11" s="40" customFormat="1">
      <c r="A59" s="52"/>
      <c r="D59" s="334"/>
      <c r="F59" s="37"/>
      <c r="G59" s="37"/>
      <c r="H59" s="37"/>
      <c r="I59" s="37"/>
      <c r="J59" s="37"/>
      <c r="K59" s="37"/>
    </row>
    <row r="60" spans="1:11" s="40" customFormat="1">
      <c r="A60" s="52"/>
      <c r="D60" s="334"/>
      <c r="F60" s="37"/>
      <c r="G60" s="37"/>
      <c r="H60" s="37"/>
      <c r="I60" s="37"/>
      <c r="J60" s="37"/>
      <c r="K60" s="37"/>
    </row>
    <row r="61" spans="1:11" s="40" customFormat="1">
      <c r="A61" s="52"/>
      <c r="D61" s="334"/>
      <c r="F61" s="37"/>
      <c r="G61" s="37"/>
      <c r="H61" s="37"/>
      <c r="I61" s="37"/>
      <c r="J61" s="37"/>
      <c r="K61" s="37"/>
    </row>
    <row r="62" spans="1:11" s="40" customFormat="1">
      <c r="A62" s="52"/>
      <c r="D62" s="334"/>
      <c r="F62" s="37"/>
      <c r="G62" s="37"/>
      <c r="H62" s="37"/>
      <c r="I62" s="37"/>
      <c r="J62" s="37"/>
      <c r="K62" s="37"/>
    </row>
    <row r="63" spans="1:11" s="40" customFormat="1">
      <c r="A63" s="52"/>
      <c r="D63" s="334"/>
      <c r="F63" s="37"/>
      <c r="G63" s="37"/>
      <c r="H63" s="37"/>
      <c r="I63" s="37"/>
      <c r="J63" s="37"/>
      <c r="K63" s="37"/>
    </row>
    <row r="64" spans="1:11" s="40" customFormat="1">
      <c r="A64" s="52"/>
      <c r="D64" s="334"/>
      <c r="F64" s="37"/>
      <c r="G64" s="37"/>
      <c r="H64" s="37"/>
      <c r="I64" s="37"/>
      <c r="J64" s="37"/>
      <c r="K64" s="37"/>
    </row>
    <row r="65" spans="1:11" s="40" customFormat="1">
      <c r="A65" s="52"/>
      <c r="D65" s="334"/>
      <c r="F65" s="37"/>
      <c r="G65" s="37"/>
      <c r="H65" s="37"/>
      <c r="I65" s="37"/>
      <c r="J65" s="37"/>
      <c r="K65" s="37"/>
    </row>
    <row r="66" spans="1:11" s="40" customFormat="1">
      <c r="A66" s="52"/>
      <c r="D66" s="334"/>
      <c r="F66" s="37"/>
      <c r="G66" s="37"/>
      <c r="H66" s="37"/>
      <c r="I66" s="37"/>
      <c r="J66" s="37"/>
      <c r="K66" s="37"/>
    </row>
    <row r="67" spans="1:11" s="40" customFormat="1">
      <c r="A67" s="52"/>
      <c r="D67" s="334"/>
      <c r="F67" s="37"/>
      <c r="G67" s="37"/>
      <c r="H67" s="37"/>
      <c r="I67" s="37"/>
      <c r="J67" s="37"/>
      <c r="K67" s="37"/>
    </row>
    <row r="68" spans="1:11" s="40" customFormat="1">
      <c r="A68" s="52"/>
      <c r="D68" s="334"/>
      <c r="F68" s="37"/>
      <c r="G68" s="37"/>
      <c r="H68" s="37"/>
      <c r="I68" s="37"/>
      <c r="J68" s="37"/>
      <c r="K68" s="37"/>
    </row>
    <row r="69" spans="1:11" s="40" customFormat="1">
      <c r="A69" s="52"/>
      <c r="D69" s="334"/>
      <c r="F69" s="37"/>
      <c r="G69" s="37"/>
      <c r="H69" s="37"/>
      <c r="I69" s="37"/>
      <c r="J69" s="37"/>
      <c r="K69" s="37"/>
    </row>
    <row r="70" spans="1:11" s="40" customFormat="1">
      <c r="A70" s="52"/>
      <c r="D70" s="334"/>
      <c r="F70" s="37"/>
      <c r="G70" s="37"/>
      <c r="H70" s="37"/>
      <c r="I70" s="37"/>
      <c r="J70" s="37"/>
      <c r="K70" s="37"/>
    </row>
    <row r="71" spans="1:11" s="40" customFormat="1">
      <c r="A71" s="52"/>
      <c r="D71" s="334"/>
      <c r="F71" s="37"/>
      <c r="G71" s="37"/>
      <c r="H71" s="37"/>
      <c r="I71" s="37"/>
      <c r="J71" s="37"/>
      <c r="K71" s="37"/>
    </row>
    <row r="72" spans="1:11" s="40" customFormat="1">
      <c r="A72" s="52"/>
      <c r="D72" s="334"/>
      <c r="F72" s="37"/>
      <c r="G72" s="37"/>
      <c r="H72" s="37"/>
      <c r="I72" s="37"/>
      <c r="J72" s="37"/>
      <c r="K72" s="37"/>
    </row>
    <row r="73" spans="1:11" s="40" customFormat="1">
      <c r="A73" s="52"/>
      <c r="D73" s="334"/>
      <c r="F73" s="37"/>
      <c r="G73" s="37"/>
      <c r="H73" s="37"/>
      <c r="I73" s="37"/>
      <c r="J73" s="37"/>
      <c r="K73" s="37"/>
    </row>
    <row r="74" spans="1:11" s="40" customFormat="1">
      <c r="A74" s="52"/>
      <c r="D74" s="334"/>
      <c r="F74" s="37"/>
      <c r="G74" s="37"/>
      <c r="H74" s="37"/>
      <c r="I74" s="37"/>
      <c r="J74" s="37"/>
      <c r="K74" s="37"/>
    </row>
    <row r="75" spans="1:11" s="40" customFormat="1">
      <c r="A75" s="52"/>
      <c r="D75" s="334"/>
      <c r="F75" s="37"/>
      <c r="G75" s="37"/>
      <c r="H75" s="37"/>
      <c r="I75" s="37"/>
      <c r="J75" s="37"/>
      <c r="K75" s="37"/>
    </row>
    <row r="76" spans="1:11" s="40" customFormat="1">
      <c r="A76" s="52"/>
      <c r="D76" s="334"/>
      <c r="F76" s="37"/>
      <c r="G76" s="37"/>
      <c r="H76" s="37"/>
      <c r="I76" s="37"/>
      <c r="J76" s="37"/>
      <c r="K76" s="37"/>
    </row>
    <row r="77" spans="1:11" s="40" customFormat="1">
      <c r="A77" s="52"/>
      <c r="D77" s="334"/>
      <c r="F77" s="37"/>
      <c r="G77" s="37"/>
      <c r="H77" s="37"/>
      <c r="I77" s="37"/>
      <c r="J77" s="37"/>
      <c r="K77" s="37"/>
    </row>
    <row r="78" spans="1:11" s="40" customFormat="1">
      <c r="A78" s="52"/>
      <c r="D78" s="334"/>
      <c r="F78" s="37"/>
      <c r="G78" s="37"/>
      <c r="H78" s="37"/>
      <c r="I78" s="37"/>
      <c r="J78" s="37"/>
      <c r="K78" s="37"/>
    </row>
    <row r="79" spans="1:11" s="40" customFormat="1">
      <c r="A79" s="52"/>
      <c r="D79" s="334"/>
      <c r="F79" s="37"/>
      <c r="G79" s="37"/>
      <c r="H79" s="37"/>
      <c r="I79" s="37"/>
      <c r="J79" s="37"/>
      <c r="K79" s="37"/>
    </row>
    <row r="80" spans="1:11" s="40" customFormat="1">
      <c r="A80" s="52"/>
      <c r="D80" s="334"/>
      <c r="F80" s="37"/>
      <c r="G80" s="37"/>
      <c r="H80" s="37"/>
      <c r="I80" s="37"/>
      <c r="J80" s="37"/>
      <c r="K80" s="37"/>
    </row>
    <row r="81" spans="1:11" s="40" customFormat="1">
      <c r="A81" s="52"/>
      <c r="D81" s="334"/>
      <c r="F81" s="37"/>
      <c r="G81" s="37"/>
      <c r="H81" s="37"/>
      <c r="I81" s="37"/>
      <c r="J81" s="37"/>
      <c r="K81" s="37"/>
    </row>
    <row r="82" spans="1:11" s="40" customFormat="1">
      <c r="A82" s="52"/>
      <c r="D82" s="334"/>
      <c r="F82" s="37"/>
      <c r="G82" s="37"/>
      <c r="H82" s="37"/>
      <c r="I82" s="37"/>
      <c r="J82" s="37"/>
      <c r="K82" s="37"/>
    </row>
    <row r="83" spans="1:11" s="40" customFormat="1">
      <c r="A83" s="52"/>
      <c r="D83" s="334"/>
      <c r="F83" s="37"/>
      <c r="G83" s="37"/>
      <c r="H83" s="37"/>
      <c r="I83" s="37"/>
      <c r="J83" s="37"/>
      <c r="K83" s="37"/>
    </row>
    <row r="84" spans="1:11" s="40" customFormat="1">
      <c r="A84" s="52"/>
      <c r="D84" s="334"/>
      <c r="F84" s="37"/>
      <c r="G84" s="37"/>
      <c r="H84" s="37"/>
      <c r="I84" s="37"/>
      <c r="J84" s="37"/>
      <c r="K84" s="37"/>
    </row>
    <row r="85" spans="1:11" s="40" customFormat="1">
      <c r="A85" s="52"/>
      <c r="D85" s="334"/>
      <c r="F85" s="37"/>
      <c r="G85" s="37"/>
      <c r="H85" s="37"/>
      <c r="I85" s="37"/>
      <c r="J85" s="37"/>
      <c r="K85" s="37"/>
    </row>
    <row r="86" spans="1:11" s="40" customFormat="1">
      <c r="A86" s="52"/>
      <c r="D86" s="334"/>
      <c r="F86" s="37"/>
      <c r="G86" s="37"/>
      <c r="H86" s="37"/>
      <c r="I86" s="37"/>
      <c r="J86" s="37"/>
      <c r="K86" s="37"/>
    </row>
    <row r="87" spans="1:11" s="40" customFormat="1">
      <c r="A87" s="52"/>
      <c r="D87" s="334"/>
      <c r="F87" s="37"/>
      <c r="G87" s="37"/>
      <c r="H87" s="37"/>
      <c r="I87" s="37"/>
      <c r="J87" s="37"/>
      <c r="K87" s="37"/>
    </row>
    <row r="88" spans="1:11" s="40" customFormat="1">
      <c r="A88" s="52"/>
      <c r="D88" s="334"/>
      <c r="F88" s="37"/>
      <c r="G88" s="37"/>
      <c r="H88" s="37"/>
      <c r="I88" s="37"/>
      <c r="J88" s="37"/>
      <c r="K88" s="37"/>
    </row>
    <row r="89" spans="1:11" s="40" customFormat="1">
      <c r="A89" s="52"/>
      <c r="D89" s="334"/>
      <c r="F89" s="37"/>
      <c r="G89" s="37"/>
      <c r="H89" s="37"/>
      <c r="I89" s="37"/>
      <c r="J89" s="37"/>
      <c r="K89" s="37"/>
    </row>
    <row r="90" spans="1:11" s="40" customFormat="1">
      <c r="A90" s="52"/>
      <c r="D90" s="334"/>
      <c r="F90" s="37"/>
      <c r="G90" s="37"/>
      <c r="H90" s="37"/>
      <c r="I90" s="37"/>
      <c r="J90" s="37"/>
      <c r="K90" s="37"/>
    </row>
    <row r="91" spans="1:11" s="40" customFormat="1">
      <c r="A91" s="52"/>
      <c r="D91" s="334"/>
      <c r="F91" s="37"/>
      <c r="G91" s="37"/>
      <c r="H91" s="37"/>
      <c r="I91" s="37"/>
      <c r="J91" s="37"/>
      <c r="K91" s="37"/>
    </row>
    <row r="92" spans="1:11" s="40" customFormat="1">
      <c r="A92" s="52"/>
      <c r="D92" s="334"/>
      <c r="F92" s="37"/>
      <c r="G92" s="37"/>
      <c r="H92" s="37"/>
      <c r="I92" s="37"/>
      <c r="J92" s="37"/>
      <c r="K92" s="37"/>
    </row>
    <row r="93" spans="1:11" s="40" customFormat="1">
      <c r="A93" s="52"/>
      <c r="D93" s="334"/>
      <c r="F93" s="37"/>
      <c r="G93" s="37"/>
      <c r="H93" s="37"/>
      <c r="I93" s="37"/>
      <c r="J93" s="37"/>
      <c r="K93" s="37"/>
    </row>
    <row r="94" spans="1:11" s="40" customFormat="1">
      <c r="A94" s="52"/>
      <c r="D94" s="334"/>
      <c r="F94" s="37"/>
      <c r="G94" s="37"/>
      <c r="H94" s="37"/>
      <c r="I94" s="37"/>
      <c r="J94" s="37"/>
      <c r="K94" s="37"/>
    </row>
    <row r="95" spans="1:11" s="40" customFormat="1">
      <c r="A95" s="52"/>
      <c r="D95" s="334"/>
      <c r="F95" s="37"/>
      <c r="G95" s="37"/>
      <c r="H95" s="37"/>
      <c r="I95" s="37"/>
      <c r="J95" s="37"/>
      <c r="K95" s="37"/>
    </row>
    <row r="96" spans="1:11" s="40" customFormat="1">
      <c r="A96" s="52"/>
      <c r="D96" s="334"/>
      <c r="F96" s="37"/>
      <c r="G96" s="37"/>
      <c r="H96" s="37"/>
      <c r="I96" s="37"/>
      <c r="J96" s="37"/>
      <c r="K96" s="37"/>
    </row>
    <row r="97" spans="1:11" s="40" customFormat="1">
      <c r="A97" s="52"/>
      <c r="D97" s="334"/>
      <c r="F97" s="37"/>
      <c r="G97" s="37"/>
      <c r="H97" s="37"/>
      <c r="I97" s="37"/>
      <c r="J97" s="37"/>
      <c r="K97" s="37"/>
    </row>
    <row r="98" spans="1:11" s="40" customFormat="1">
      <c r="A98" s="52"/>
      <c r="D98" s="334"/>
      <c r="F98" s="37"/>
      <c r="G98" s="37"/>
      <c r="H98" s="37"/>
      <c r="I98" s="37"/>
      <c r="J98" s="37"/>
      <c r="K98" s="37"/>
    </row>
    <row r="99" spans="1:11" s="40" customFormat="1">
      <c r="A99" s="52"/>
      <c r="D99" s="334"/>
      <c r="F99" s="37"/>
      <c r="G99" s="37"/>
      <c r="H99" s="37"/>
      <c r="I99" s="37"/>
      <c r="J99" s="37"/>
      <c r="K99" s="37"/>
    </row>
    <row r="100" spans="1:11" s="40" customFormat="1">
      <c r="A100" s="52"/>
      <c r="D100" s="334"/>
      <c r="F100" s="37"/>
      <c r="G100" s="37"/>
      <c r="H100" s="37"/>
      <c r="I100" s="37"/>
      <c r="J100" s="37"/>
      <c r="K100" s="37"/>
    </row>
    <row r="101" spans="1:11" s="40" customFormat="1">
      <c r="A101" s="52"/>
      <c r="D101" s="334"/>
      <c r="F101" s="37"/>
      <c r="G101" s="37"/>
      <c r="H101" s="37"/>
      <c r="I101" s="37"/>
      <c r="J101" s="37"/>
      <c r="K101" s="37"/>
    </row>
    <row r="102" spans="1:11" s="40" customFormat="1">
      <c r="A102" s="52"/>
      <c r="D102" s="334"/>
      <c r="F102" s="37"/>
      <c r="G102" s="37"/>
      <c r="H102" s="37"/>
      <c r="I102" s="37"/>
      <c r="J102" s="37"/>
      <c r="K102" s="37"/>
    </row>
    <row r="103" spans="1:11" s="40" customFormat="1">
      <c r="A103" s="52"/>
      <c r="D103" s="334"/>
      <c r="F103" s="37"/>
      <c r="G103" s="37"/>
      <c r="H103" s="37"/>
      <c r="I103" s="37"/>
      <c r="J103" s="37"/>
      <c r="K103" s="37"/>
    </row>
    <row r="104" spans="1:11" s="40" customFormat="1">
      <c r="A104" s="52"/>
      <c r="D104" s="334"/>
      <c r="F104" s="37"/>
      <c r="G104" s="37"/>
      <c r="H104" s="37"/>
      <c r="I104" s="37"/>
      <c r="J104" s="37"/>
      <c r="K104" s="37"/>
    </row>
    <row r="105" spans="1:11" s="40" customFormat="1">
      <c r="A105" s="52"/>
      <c r="D105" s="334"/>
      <c r="F105" s="37"/>
      <c r="G105" s="37"/>
      <c r="H105" s="37"/>
      <c r="I105" s="37"/>
      <c r="J105" s="37"/>
      <c r="K105" s="37"/>
    </row>
    <row r="106" spans="1:11" s="40" customFormat="1">
      <c r="A106" s="52"/>
      <c r="D106" s="334"/>
      <c r="F106" s="37"/>
      <c r="G106" s="37"/>
      <c r="H106" s="37"/>
      <c r="I106" s="37"/>
      <c r="J106" s="37"/>
      <c r="K106" s="37"/>
    </row>
    <row r="107" spans="1:11" s="40" customFormat="1">
      <c r="A107" s="52"/>
      <c r="D107" s="334"/>
      <c r="F107" s="37"/>
      <c r="G107" s="37"/>
      <c r="H107" s="37"/>
      <c r="I107" s="37"/>
      <c r="J107" s="37"/>
      <c r="K107" s="37"/>
    </row>
    <row r="108" spans="1:11" s="40" customFormat="1">
      <c r="A108" s="52"/>
      <c r="D108" s="334"/>
      <c r="F108" s="37"/>
      <c r="G108" s="37"/>
      <c r="H108" s="37"/>
      <c r="I108" s="37"/>
      <c r="J108" s="37"/>
      <c r="K108" s="37"/>
    </row>
    <row r="109" spans="1:11" s="40" customFormat="1">
      <c r="A109" s="52"/>
      <c r="D109" s="334"/>
      <c r="F109" s="37"/>
      <c r="G109" s="37"/>
      <c r="H109" s="37"/>
      <c r="I109" s="37"/>
      <c r="J109" s="37"/>
      <c r="K109" s="37"/>
    </row>
    <row r="110" spans="1:11" s="40" customFormat="1">
      <c r="A110" s="52"/>
      <c r="D110" s="334"/>
      <c r="F110" s="37"/>
      <c r="G110" s="37"/>
      <c r="H110" s="37"/>
      <c r="I110" s="37"/>
      <c r="J110" s="37"/>
      <c r="K110" s="37"/>
    </row>
    <row r="111" spans="1:11" s="40" customFormat="1">
      <c r="A111" s="52"/>
      <c r="D111" s="334"/>
      <c r="F111" s="37"/>
      <c r="G111" s="37"/>
      <c r="H111" s="37"/>
      <c r="I111" s="37"/>
      <c r="J111" s="37"/>
      <c r="K111" s="37"/>
    </row>
    <row r="112" spans="1:11" s="40" customFormat="1">
      <c r="A112" s="52"/>
      <c r="D112" s="334"/>
      <c r="F112" s="37"/>
      <c r="G112" s="37"/>
      <c r="H112" s="37"/>
      <c r="I112" s="37"/>
      <c r="J112" s="37"/>
      <c r="K112" s="37"/>
    </row>
    <row r="113" spans="1:11" s="40" customFormat="1">
      <c r="A113" s="52"/>
      <c r="D113" s="334"/>
      <c r="F113" s="37"/>
      <c r="G113" s="37"/>
      <c r="H113" s="37"/>
      <c r="I113" s="37"/>
      <c r="J113" s="37"/>
      <c r="K113" s="37"/>
    </row>
    <row r="114" spans="1:11" s="40" customFormat="1">
      <c r="A114" s="52"/>
      <c r="D114" s="334"/>
      <c r="F114" s="37"/>
      <c r="G114" s="37"/>
      <c r="H114" s="37"/>
      <c r="I114" s="37"/>
      <c r="J114" s="37"/>
      <c r="K114" s="37"/>
    </row>
    <row r="115" spans="1:11" s="40" customFormat="1">
      <c r="A115" s="52"/>
      <c r="D115" s="334"/>
      <c r="F115" s="37"/>
      <c r="G115" s="37"/>
      <c r="H115" s="37"/>
      <c r="I115" s="37"/>
      <c r="J115" s="37"/>
      <c r="K115" s="37"/>
    </row>
    <row r="116" spans="1:11" s="40" customFormat="1">
      <c r="A116" s="52"/>
      <c r="D116" s="334"/>
      <c r="F116" s="37"/>
      <c r="G116" s="37"/>
      <c r="H116" s="37"/>
      <c r="I116" s="37"/>
      <c r="J116" s="37"/>
      <c r="K116" s="37"/>
    </row>
    <row r="117" spans="1:11" s="40" customFormat="1">
      <c r="A117" s="52"/>
      <c r="D117" s="334"/>
      <c r="F117" s="37"/>
      <c r="G117" s="37"/>
      <c r="H117" s="37"/>
      <c r="I117" s="37"/>
      <c r="J117" s="37"/>
      <c r="K117" s="37"/>
    </row>
    <row r="118" spans="1:11" s="40" customFormat="1">
      <c r="A118" s="52"/>
      <c r="D118" s="334"/>
      <c r="F118" s="37"/>
      <c r="G118" s="37"/>
      <c r="H118" s="37"/>
      <c r="I118" s="37"/>
      <c r="J118" s="37"/>
      <c r="K118" s="37"/>
    </row>
    <row r="119" spans="1:11" s="40" customFormat="1">
      <c r="A119" s="52"/>
      <c r="D119" s="334"/>
      <c r="F119" s="37"/>
      <c r="G119" s="37"/>
      <c r="H119" s="37"/>
      <c r="I119" s="37"/>
      <c r="J119" s="37"/>
      <c r="K119" s="37"/>
    </row>
    <row r="120" spans="1:11" s="40" customFormat="1">
      <c r="A120" s="52"/>
      <c r="D120" s="334"/>
      <c r="F120" s="37"/>
      <c r="G120" s="37"/>
      <c r="H120" s="37"/>
      <c r="I120" s="37"/>
      <c r="J120" s="37"/>
      <c r="K120" s="37"/>
    </row>
    <row r="121" spans="1:11" s="40" customFormat="1">
      <c r="A121" s="52"/>
      <c r="D121" s="334"/>
      <c r="F121" s="37"/>
      <c r="G121" s="37"/>
      <c r="H121" s="37"/>
      <c r="I121" s="37"/>
      <c r="J121" s="37"/>
      <c r="K121" s="37"/>
    </row>
    <row r="122" spans="1:11" s="40" customFormat="1">
      <c r="A122" s="52"/>
      <c r="D122" s="334"/>
      <c r="F122" s="37"/>
      <c r="G122" s="37"/>
      <c r="H122" s="37"/>
      <c r="I122" s="37"/>
      <c r="J122" s="37"/>
      <c r="K122" s="37"/>
    </row>
    <row r="123" spans="1:11" s="40" customFormat="1">
      <c r="A123" s="52"/>
      <c r="D123" s="334"/>
      <c r="F123" s="37"/>
      <c r="G123" s="37"/>
      <c r="H123" s="37"/>
      <c r="I123" s="37"/>
      <c r="J123" s="37"/>
      <c r="K123" s="37"/>
    </row>
    <row r="124" spans="1:11" s="40" customFormat="1">
      <c r="A124" s="52"/>
      <c r="D124" s="334"/>
      <c r="F124" s="37"/>
      <c r="G124" s="37"/>
      <c r="H124" s="37"/>
      <c r="I124" s="37"/>
      <c r="J124" s="37"/>
      <c r="K124" s="37"/>
    </row>
    <row r="125" spans="1:11" s="40" customFormat="1">
      <c r="A125" s="52"/>
      <c r="D125" s="334"/>
      <c r="F125" s="37"/>
      <c r="G125" s="37"/>
      <c r="H125" s="37"/>
      <c r="I125" s="37"/>
      <c r="J125" s="37"/>
      <c r="K125" s="37"/>
    </row>
    <row r="126" spans="1:11" s="40" customFormat="1">
      <c r="A126" s="52"/>
      <c r="D126" s="334"/>
      <c r="F126" s="37"/>
      <c r="G126" s="37"/>
      <c r="H126" s="37"/>
      <c r="I126" s="37"/>
      <c r="J126" s="37"/>
      <c r="K126" s="37"/>
    </row>
    <row r="127" spans="1:11" s="40" customFormat="1">
      <c r="A127" s="52"/>
      <c r="D127" s="334"/>
      <c r="F127" s="37"/>
      <c r="G127" s="37"/>
      <c r="H127" s="37"/>
      <c r="I127" s="37"/>
      <c r="J127" s="37"/>
      <c r="K127" s="37"/>
    </row>
    <row r="128" spans="1:11" s="40" customFormat="1">
      <c r="A128" s="52"/>
      <c r="D128" s="334"/>
      <c r="F128" s="37"/>
      <c r="G128" s="37"/>
      <c r="H128" s="37"/>
      <c r="I128" s="37"/>
      <c r="J128" s="37"/>
      <c r="K128" s="37"/>
    </row>
    <row r="129" spans="1:11" s="40" customFormat="1">
      <c r="A129" s="52"/>
      <c r="D129" s="334"/>
      <c r="F129" s="37"/>
      <c r="G129" s="37"/>
      <c r="H129" s="37"/>
      <c r="I129" s="37"/>
      <c r="J129" s="37"/>
      <c r="K129" s="37"/>
    </row>
    <row r="130" spans="1:11" s="40" customFormat="1">
      <c r="A130" s="52"/>
      <c r="D130" s="334"/>
      <c r="F130" s="37"/>
      <c r="G130" s="37"/>
      <c r="H130" s="37"/>
      <c r="I130" s="37"/>
      <c r="J130" s="37"/>
      <c r="K130" s="37"/>
    </row>
    <row r="131" spans="1:11" s="40" customFormat="1">
      <c r="A131" s="52"/>
      <c r="D131" s="334"/>
      <c r="F131" s="37"/>
      <c r="G131" s="37"/>
      <c r="H131" s="37"/>
      <c r="I131" s="37"/>
      <c r="J131" s="37"/>
      <c r="K131" s="37"/>
    </row>
    <row r="132" spans="1:11" s="40" customFormat="1">
      <c r="A132" s="52"/>
      <c r="D132" s="334"/>
      <c r="F132" s="37"/>
      <c r="G132" s="37"/>
      <c r="H132" s="37"/>
      <c r="I132" s="37"/>
      <c r="J132" s="37"/>
      <c r="K132" s="37"/>
    </row>
    <row r="133" spans="1:11" s="40" customFormat="1">
      <c r="A133" s="52"/>
      <c r="D133" s="334"/>
      <c r="F133" s="37"/>
      <c r="G133" s="37"/>
      <c r="H133" s="37"/>
      <c r="I133" s="37"/>
      <c r="J133" s="37"/>
      <c r="K133" s="37"/>
    </row>
    <row r="134" spans="1:11" s="40" customFormat="1">
      <c r="A134" s="52"/>
      <c r="D134" s="334"/>
      <c r="F134" s="37"/>
      <c r="G134" s="37"/>
      <c r="H134" s="37"/>
      <c r="I134" s="37"/>
      <c r="J134" s="37"/>
      <c r="K134" s="37"/>
    </row>
    <row r="135" spans="1:11" s="40" customFormat="1">
      <c r="A135" s="52"/>
      <c r="D135" s="334"/>
      <c r="F135" s="37"/>
      <c r="G135" s="37"/>
      <c r="H135" s="37"/>
      <c r="I135" s="37"/>
      <c r="J135" s="37"/>
      <c r="K135" s="37"/>
    </row>
    <row r="136" spans="1:11" s="40" customFormat="1">
      <c r="A136" s="52"/>
      <c r="D136" s="334"/>
      <c r="F136" s="37"/>
      <c r="G136" s="37"/>
      <c r="H136" s="37"/>
      <c r="I136" s="37"/>
      <c r="J136" s="37"/>
      <c r="K136" s="37"/>
    </row>
    <row r="137" spans="1:11" s="40" customFormat="1">
      <c r="A137" s="52"/>
      <c r="D137" s="334"/>
      <c r="F137" s="37"/>
      <c r="G137" s="37"/>
      <c r="H137" s="37"/>
      <c r="I137" s="37"/>
      <c r="J137" s="37"/>
      <c r="K137" s="37"/>
    </row>
    <row r="138" spans="1:11" s="40" customFormat="1">
      <c r="A138" s="52"/>
      <c r="D138" s="334"/>
      <c r="F138" s="37"/>
      <c r="G138" s="37"/>
      <c r="H138" s="37"/>
      <c r="I138" s="37"/>
      <c r="J138" s="37"/>
      <c r="K138" s="37"/>
    </row>
    <row r="139" spans="1:11" s="40" customFormat="1">
      <c r="A139" s="52"/>
      <c r="D139" s="334"/>
      <c r="F139" s="37"/>
      <c r="G139" s="37"/>
      <c r="H139" s="37"/>
      <c r="I139" s="37"/>
      <c r="J139" s="37"/>
      <c r="K139" s="37"/>
    </row>
    <row r="140" spans="1:11" s="40" customFormat="1">
      <c r="A140" s="52"/>
      <c r="D140" s="334"/>
      <c r="F140" s="37"/>
      <c r="G140" s="37"/>
      <c r="H140" s="37"/>
      <c r="I140" s="37"/>
      <c r="J140" s="37"/>
      <c r="K140" s="37"/>
    </row>
    <row r="141" spans="1:11" s="40" customFormat="1">
      <c r="A141" s="52"/>
      <c r="D141" s="334"/>
      <c r="F141" s="37"/>
      <c r="G141" s="37"/>
      <c r="H141" s="37"/>
      <c r="I141" s="37"/>
      <c r="J141" s="37"/>
      <c r="K141" s="37"/>
    </row>
    <row r="142" spans="1:11" s="40" customFormat="1">
      <c r="A142" s="52"/>
      <c r="D142" s="334"/>
      <c r="F142" s="37"/>
      <c r="G142" s="37"/>
      <c r="H142" s="37"/>
      <c r="I142" s="37"/>
      <c r="J142" s="37"/>
      <c r="K142" s="37"/>
    </row>
    <row r="143" spans="1:11" s="40" customFormat="1">
      <c r="A143" s="52"/>
      <c r="D143" s="334"/>
      <c r="F143" s="37"/>
      <c r="G143" s="37"/>
      <c r="H143" s="37"/>
      <c r="I143" s="37"/>
      <c r="J143" s="37"/>
      <c r="K143" s="37"/>
    </row>
    <row r="144" spans="1:11" s="40" customFormat="1">
      <c r="A144" s="52"/>
      <c r="D144" s="334"/>
      <c r="F144" s="37"/>
      <c r="G144" s="37"/>
      <c r="H144" s="37"/>
      <c r="I144" s="37"/>
      <c r="J144" s="37"/>
      <c r="K144" s="37"/>
    </row>
    <row r="145" spans="1:11" s="40" customFormat="1">
      <c r="A145" s="52"/>
      <c r="D145" s="334"/>
      <c r="F145" s="37"/>
      <c r="G145" s="37"/>
      <c r="H145" s="37"/>
      <c r="I145" s="37"/>
      <c r="J145" s="37"/>
      <c r="K145" s="37"/>
    </row>
    <row r="146" spans="1:11" s="40" customFormat="1">
      <c r="A146" s="52"/>
      <c r="D146" s="334"/>
      <c r="F146" s="37"/>
      <c r="G146" s="37"/>
      <c r="H146" s="37"/>
      <c r="I146" s="37"/>
      <c r="J146" s="37"/>
      <c r="K146" s="37"/>
    </row>
    <row r="147" spans="1:11" s="40" customFormat="1">
      <c r="A147" s="52"/>
      <c r="D147" s="334"/>
      <c r="F147" s="37"/>
      <c r="G147" s="37"/>
      <c r="H147" s="37"/>
      <c r="I147" s="37"/>
      <c r="J147" s="37"/>
      <c r="K147" s="37"/>
    </row>
    <row r="148" spans="1:11" s="40" customFormat="1">
      <c r="A148" s="52"/>
      <c r="D148" s="334"/>
      <c r="F148" s="37"/>
      <c r="G148" s="37"/>
      <c r="H148" s="37"/>
      <c r="I148" s="37"/>
      <c r="J148" s="37"/>
      <c r="K148" s="37"/>
    </row>
    <row r="149" spans="1:11" s="40" customFormat="1">
      <c r="A149" s="52"/>
      <c r="D149" s="334"/>
      <c r="F149" s="37"/>
      <c r="G149" s="37"/>
      <c r="H149" s="37"/>
      <c r="I149" s="37"/>
      <c r="J149" s="37"/>
      <c r="K149" s="37"/>
    </row>
    <row r="150" spans="1:11" s="40" customFormat="1">
      <c r="A150" s="52"/>
      <c r="D150" s="334"/>
      <c r="F150" s="37"/>
      <c r="G150" s="37"/>
      <c r="H150" s="37"/>
      <c r="I150" s="37"/>
      <c r="J150" s="37"/>
      <c r="K150" s="37"/>
    </row>
    <row r="151" spans="1:11" s="40" customFormat="1">
      <c r="A151" s="52"/>
      <c r="D151" s="334"/>
      <c r="F151" s="37"/>
      <c r="G151" s="37"/>
      <c r="H151" s="37"/>
      <c r="I151" s="37"/>
      <c r="J151" s="37"/>
      <c r="K151" s="37"/>
    </row>
    <row r="152" spans="1:11" s="40" customFormat="1">
      <c r="A152" s="52"/>
      <c r="D152" s="334"/>
      <c r="F152" s="37"/>
      <c r="G152" s="37"/>
      <c r="H152" s="37"/>
      <c r="I152" s="37"/>
      <c r="J152" s="37"/>
      <c r="K152" s="37"/>
    </row>
    <row r="153" spans="1:11" s="40" customFormat="1">
      <c r="A153" s="52"/>
      <c r="D153" s="334"/>
      <c r="F153" s="37"/>
      <c r="G153" s="37"/>
      <c r="H153" s="37"/>
      <c r="I153" s="37"/>
      <c r="J153" s="37"/>
      <c r="K153" s="37"/>
    </row>
    <row r="154" spans="1:11" s="40" customFormat="1">
      <c r="A154" s="52"/>
      <c r="D154" s="334"/>
      <c r="F154" s="37"/>
      <c r="G154" s="37"/>
      <c r="H154" s="37"/>
      <c r="I154" s="37"/>
      <c r="J154" s="37"/>
      <c r="K154" s="37"/>
    </row>
    <row r="155" spans="1:11" s="40" customFormat="1">
      <c r="A155" s="52"/>
      <c r="D155" s="334"/>
      <c r="F155" s="37"/>
      <c r="G155" s="37"/>
      <c r="H155" s="37"/>
      <c r="I155" s="37"/>
      <c r="J155" s="37"/>
      <c r="K155" s="37"/>
    </row>
    <row r="156" spans="1:11" s="40" customFormat="1">
      <c r="A156" s="52"/>
      <c r="D156" s="334"/>
      <c r="F156" s="37"/>
      <c r="G156" s="37"/>
      <c r="H156" s="37"/>
      <c r="I156" s="37"/>
      <c r="J156" s="37"/>
      <c r="K156" s="37"/>
    </row>
    <row r="157" spans="1:11" s="40" customFormat="1">
      <c r="A157" s="52"/>
      <c r="D157" s="334"/>
      <c r="F157" s="37"/>
      <c r="G157" s="37"/>
      <c r="H157" s="37"/>
      <c r="I157" s="37"/>
      <c r="J157" s="37"/>
      <c r="K157" s="37"/>
    </row>
    <row r="158" spans="1:11" s="40" customFormat="1">
      <c r="A158" s="52"/>
      <c r="D158" s="334"/>
      <c r="F158" s="37"/>
      <c r="G158" s="37"/>
      <c r="H158" s="37"/>
      <c r="I158" s="37"/>
      <c r="J158" s="37"/>
      <c r="K158" s="37"/>
    </row>
    <row r="159" spans="1:11" s="40" customFormat="1">
      <c r="A159" s="52"/>
      <c r="D159" s="334"/>
      <c r="F159" s="37"/>
      <c r="G159" s="37"/>
      <c r="H159" s="37"/>
      <c r="I159" s="37"/>
      <c r="J159" s="37"/>
      <c r="K159" s="37"/>
    </row>
    <row r="160" spans="1:11" s="40" customFormat="1">
      <c r="A160" s="52"/>
      <c r="D160" s="334"/>
      <c r="F160" s="37"/>
      <c r="G160" s="37"/>
      <c r="H160" s="37"/>
      <c r="I160" s="37"/>
      <c r="J160" s="37"/>
      <c r="K160" s="37"/>
    </row>
    <row r="161" spans="1:11" s="40" customFormat="1">
      <c r="A161" s="52"/>
      <c r="D161" s="334"/>
      <c r="F161" s="37"/>
      <c r="G161" s="37"/>
      <c r="H161" s="37"/>
      <c r="I161" s="37"/>
      <c r="J161" s="37"/>
      <c r="K161" s="37"/>
    </row>
    <row r="162" spans="1:11" s="40" customFormat="1">
      <c r="A162" s="52"/>
      <c r="D162" s="334"/>
      <c r="F162" s="37"/>
      <c r="G162" s="37"/>
      <c r="H162" s="37"/>
      <c r="I162" s="37"/>
      <c r="J162" s="37"/>
      <c r="K162" s="37"/>
    </row>
    <row r="163" spans="1:11" s="40" customFormat="1">
      <c r="A163" s="52"/>
      <c r="D163" s="334"/>
      <c r="F163" s="37"/>
      <c r="G163" s="37"/>
      <c r="H163" s="37"/>
      <c r="I163" s="37"/>
      <c r="J163" s="37"/>
      <c r="K163" s="37"/>
    </row>
    <row r="164" spans="1:11" s="40" customFormat="1">
      <c r="A164" s="52"/>
      <c r="D164" s="334"/>
      <c r="F164" s="37"/>
      <c r="G164" s="37"/>
      <c r="H164" s="37"/>
      <c r="I164" s="37"/>
      <c r="J164" s="37"/>
      <c r="K164" s="37"/>
    </row>
    <row r="165" spans="1:11" s="40" customFormat="1">
      <c r="A165" s="52"/>
      <c r="D165" s="334"/>
      <c r="F165" s="37"/>
      <c r="G165" s="37"/>
      <c r="H165" s="37"/>
      <c r="I165" s="37"/>
      <c r="J165" s="37"/>
      <c r="K165" s="37"/>
    </row>
    <row r="166" spans="1:11" s="40" customFormat="1">
      <c r="A166" s="52"/>
      <c r="D166" s="334"/>
      <c r="F166" s="37"/>
      <c r="G166" s="37"/>
      <c r="H166" s="37"/>
      <c r="I166" s="37"/>
      <c r="J166" s="37"/>
      <c r="K166" s="37"/>
    </row>
    <row r="167" spans="1:11" s="40" customFormat="1">
      <c r="A167" s="52"/>
      <c r="D167" s="334"/>
      <c r="F167" s="37"/>
      <c r="G167" s="37"/>
      <c r="H167" s="37"/>
      <c r="I167" s="37"/>
      <c r="J167" s="37"/>
      <c r="K167" s="37"/>
    </row>
    <row r="168" spans="1:11" s="40" customFormat="1">
      <c r="A168" s="52"/>
      <c r="D168" s="334"/>
      <c r="F168" s="37"/>
      <c r="G168" s="37"/>
      <c r="H168" s="37"/>
      <c r="I168" s="37"/>
      <c r="J168" s="37"/>
      <c r="K168" s="37"/>
    </row>
    <row r="169" spans="1:11" s="40" customFormat="1">
      <c r="A169" s="52"/>
      <c r="D169" s="334"/>
      <c r="F169" s="37"/>
      <c r="G169" s="37"/>
      <c r="H169" s="37"/>
      <c r="I169" s="37"/>
      <c r="J169" s="37"/>
      <c r="K169" s="37"/>
    </row>
    <row r="170" spans="1:11" s="40" customFormat="1">
      <c r="A170" s="52"/>
      <c r="D170" s="334"/>
      <c r="F170" s="37"/>
      <c r="G170" s="37"/>
      <c r="H170" s="37"/>
      <c r="I170" s="37"/>
      <c r="J170" s="37"/>
      <c r="K170" s="37"/>
    </row>
    <row r="171" spans="1:11" s="40" customFormat="1">
      <c r="A171" s="52"/>
      <c r="D171" s="334"/>
      <c r="F171" s="37"/>
      <c r="G171" s="37"/>
      <c r="H171" s="37"/>
      <c r="I171" s="37"/>
      <c r="J171" s="37"/>
      <c r="K171" s="37"/>
    </row>
    <row r="172" spans="1:11" s="40" customFormat="1">
      <c r="A172" s="52"/>
      <c r="D172" s="334"/>
      <c r="F172" s="37"/>
      <c r="G172" s="37"/>
      <c r="H172" s="37"/>
      <c r="I172" s="37"/>
      <c r="J172" s="37"/>
      <c r="K172" s="37"/>
    </row>
    <row r="173" spans="1:11" s="40" customFormat="1">
      <c r="A173" s="52"/>
      <c r="D173" s="334"/>
      <c r="F173" s="37"/>
      <c r="G173" s="37"/>
      <c r="H173" s="37"/>
      <c r="I173" s="37"/>
      <c r="J173" s="37"/>
      <c r="K173" s="37"/>
    </row>
    <row r="174" spans="1:11" s="40" customFormat="1">
      <c r="A174" s="52"/>
      <c r="D174" s="334"/>
      <c r="F174" s="37"/>
      <c r="G174" s="37"/>
      <c r="H174" s="37"/>
      <c r="I174" s="37"/>
      <c r="J174" s="37"/>
      <c r="K174" s="37"/>
    </row>
    <row r="175" spans="1:11" s="40" customFormat="1">
      <c r="A175" s="52"/>
      <c r="D175" s="334"/>
      <c r="F175" s="37"/>
      <c r="G175" s="37"/>
      <c r="H175" s="37"/>
      <c r="I175" s="37"/>
      <c r="J175" s="37"/>
      <c r="K175" s="37"/>
    </row>
    <row r="176" spans="1:11" s="40" customFormat="1">
      <c r="A176" s="52"/>
      <c r="D176" s="334"/>
      <c r="F176" s="37"/>
      <c r="G176" s="37"/>
      <c r="H176" s="37"/>
      <c r="I176" s="37"/>
      <c r="J176" s="37"/>
      <c r="K176" s="37"/>
    </row>
    <row r="177" spans="1:11" s="40" customFormat="1">
      <c r="A177" s="52"/>
      <c r="D177" s="334"/>
      <c r="F177" s="37"/>
      <c r="G177" s="37"/>
      <c r="H177" s="37"/>
      <c r="I177" s="37"/>
      <c r="J177" s="37"/>
      <c r="K177" s="37"/>
    </row>
    <row r="178" spans="1:11" s="40" customFormat="1">
      <c r="A178" s="52"/>
      <c r="D178" s="334"/>
      <c r="F178" s="37"/>
      <c r="G178" s="37"/>
      <c r="H178" s="37"/>
      <c r="I178" s="37"/>
      <c r="J178" s="37"/>
      <c r="K178" s="37"/>
    </row>
    <row r="179" spans="1:11" s="40" customFormat="1">
      <c r="A179" s="52"/>
      <c r="D179" s="334"/>
      <c r="F179" s="37"/>
      <c r="G179" s="37"/>
      <c r="H179" s="37"/>
      <c r="I179" s="37"/>
      <c r="J179" s="37"/>
      <c r="K179" s="37"/>
    </row>
    <row r="180" spans="1:11" s="40" customFormat="1">
      <c r="A180" s="52"/>
      <c r="D180" s="334"/>
      <c r="F180" s="37"/>
      <c r="G180" s="37"/>
      <c r="H180" s="37"/>
      <c r="I180" s="37"/>
      <c r="J180" s="37"/>
      <c r="K180" s="37"/>
    </row>
    <row r="181" spans="1:11" s="40" customFormat="1">
      <c r="A181" s="52"/>
      <c r="D181" s="334"/>
      <c r="F181" s="37"/>
      <c r="G181" s="37"/>
      <c r="H181" s="37"/>
      <c r="I181" s="37"/>
      <c r="J181" s="37"/>
      <c r="K181" s="37"/>
    </row>
    <row r="182" spans="1:11" s="40" customFormat="1">
      <c r="A182" s="52"/>
      <c r="D182" s="334"/>
      <c r="F182" s="37"/>
      <c r="G182" s="37"/>
      <c r="H182" s="37"/>
      <c r="I182" s="37"/>
      <c r="J182" s="37"/>
      <c r="K182" s="37"/>
    </row>
    <row r="183" spans="1:11" s="40" customFormat="1">
      <c r="A183" s="52"/>
      <c r="D183" s="334"/>
      <c r="F183" s="37"/>
      <c r="G183" s="37"/>
      <c r="H183" s="37"/>
      <c r="I183" s="37"/>
      <c r="J183" s="37"/>
      <c r="K183" s="37"/>
    </row>
    <row r="184" spans="1:11" s="40" customFormat="1">
      <c r="A184" s="52"/>
      <c r="D184" s="334"/>
      <c r="F184" s="37"/>
      <c r="G184" s="37"/>
      <c r="H184" s="37"/>
      <c r="I184" s="37"/>
      <c r="J184" s="37"/>
      <c r="K184" s="37"/>
    </row>
    <row r="185" spans="1:11" s="40" customFormat="1">
      <c r="A185" s="52"/>
      <c r="D185" s="334"/>
      <c r="F185" s="37"/>
      <c r="G185" s="37"/>
      <c r="H185" s="37"/>
      <c r="I185" s="37"/>
      <c r="J185" s="37"/>
      <c r="K185" s="37"/>
    </row>
    <row r="186" spans="1:11" s="40" customFormat="1">
      <c r="A186" s="52"/>
      <c r="D186" s="334"/>
      <c r="F186" s="37"/>
      <c r="G186" s="37"/>
      <c r="H186" s="37"/>
      <c r="I186" s="37"/>
      <c r="J186" s="37"/>
      <c r="K186" s="37"/>
    </row>
    <row r="187" spans="1:11" s="40" customFormat="1">
      <c r="A187" s="52"/>
      <c r="D187" s="334"/>
      <c r="F187" s="37"/>
      <c r="G187" s="37"/>
      <c r="H187" s="37"/>
      <c r="I187" s="37"/>
      <c r="J187" s="37"/>
      <c r="K187" s="37"/>
    </row>
    <row r="188" spans="1:11" s="40" customFormat="1">
      <c r="A188" s="52"/>
      <c r="D188" s="334"/>
      <c r="F188" s="37"/>
      <c r="G188" s="37"/>
      <c r="H188" s="37"/>
      <c r="I188" s="37"/>
      <c r="J188" s="37"/>
      <c r="K188" s="37"/>
    </row>
    <row r="189" spans="1:11" s="40" customFormat="1">
      <c r="A189" s="52"/>
      <c r="D189" s="334"/>
      <c r="F189" s="37"/>
      <c r="G189" s="37"/>
      <c r="H189" s="37"/>
      <c r="I189" s="37"/>
      <c r="J189" s="37"/>
      <c r="K189" s="37"/>
    </row>
    <row r="190" spans="1:11" s="40" customFormat="1">
      <c r="A190" s="52"/>
      <c r="D190" s="334"/>
      <c r="F190" s="37"/>
      <c r="G190" s="37"/>
      <c r="H190" s="37"/>
      <c r="I190" s="37"/>
      <c r="J190" s="37"/>
      <c r="K190" s="37"/>
    </row>
    <row r="191" spans="1:11" s="40" customFormat="1">
      <c r="A191" s="52"/>
      <c r="D191" s="334"/>
      <c r="F191" s="37"/>
      <c r="G191" s="37"/>
      <c r="H191" s="37"/>
      <c r="I191" s="37"/>
      <c r="J191" s="37"/>
      <c r="K191" s="37"/>
    </row>
    <row r="192" spans="1:11" s="40" customFormat="1">
      <c r="A192" s="52"/>
      <c r="D192" s="334"/>
      <c r="F192" s="37"/>
      <c r="G192" s="37"/>
      <c r="H192" s="37"/>
      <c r="I192" s="37"/>
      <c r="J192" s="37"/>
      <c r="K192" s="37"/>
    </row>
  </sheetData>
  <sheetProtection password="C6FB" sheet="1" objects="1" scenarios="1" formatCells="0" formatColumns="0" formatRows="0" insertRows="0" deleteRows="0"/>
  <mergeCells count="13">
    <mergeCell ref="A1:I1"/>
    <mergeCell ref="A3:A4"/>
    <mergeCell ref="B3:B4"/>
    <mergeCell ref="C3:C4"/>
    <mergeCell ref="D3:D4"/>
    <mergeCell ref="E3:E4"/>
    <mergeCell ref="F3:I3"/>
    <mergeCell ref="C42:E42"/>
    <mergeCell ref="G42:I42"/>
    <mergeCell ref="A6:I6"/>
    <mergeCell ref="A18:I18"/>
    <mergeCell ref="C41:E41"/>
    <mergeCell ref="G41:I41"/>
  </mergeCells>
  <phoneticPr fontId="3" type="noConversion"/>
  <pageMargins left="0.78740157480314965" right="0.39370078740157483" top="0.59055118110236227" bottom="0.59055118110236227" header="0.19685039370078741" footer="0.11811023622047245"/>
  <pageSetup paperSize="9" scale="50" fitToHeight="2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P111"/>
  <sheetViews>
    <sheetView view="pageBreakPreview" zoomScale="75" zoomScaleNormal="75" zoomScaleSheetLayoutView="50" workbookViewId="0">
      <pane ySplit="5" topLeftCell="A72" activePane="bottomLeft" state="frozen"/>
      <selection pane="bottomLeft" activeCell="D75" sqref="D75"/>
    </sheetView>
  </sheetViews>
  <sheetFormatPr defaultRowHeight="18.75" outlineLevelRow="1"/>
  <cols>
    <col min="1" max="1" width="53.28515625" style="1" customWidth="1"/>
    <col min="2" max="2" width="13.7109375" style="1" customWidth="1"/>
    <col min="3" max="3" width="12.140625" style="1" customWidth="1"/>
    <col min="4" max="4" width="13.140625" style="286" customWidth="1"/>
    <col min="5" max="5" width="13.85546875" style="1" customWidth="1"/>
    <col min="6" max="6" width="12.42578125" style="1" bestFit="1" customWidth="1"/>
    <col min="7" max="7" width="10.7109375" style="1" bestFit="1" customWidth="1"/>
    <col min="8" max="8" width="11.42578125" style="1" bestFit="1" customWidth="1"/>
    <col min="9" max="9" width="10.7109375" style="1" bestFit="1" customWidth="1"/>
    <col min="10" max="16" width="9.140625" style="131"/>
    <col min="17" max="16384" width="9.140625" style="1"/>
  </cols>
  <sheetData>
    <row r="1" spans="1:16">
      <c r="A1" s="415" t="s">
        <v>355</v>
      </c>
      <c r="B1" s="415"/>
      <c r="C1" s="415"/>
      <c r="D1" s="415"/>
      <c r="E1" s="415"/>
      <c r="F1" s="415"/>
      <c r="G1" s="415"/>
      <c r="H1" s="415"/>
      <c r="I1" s="415"/>
    </row>
    <row r="2" spans="1:16" outlineLevel="1">
      <c r="A2" s="17"/>
      <c r="B2" s="17"/>
      <c r="C2" s="17"/>
      <c r="D2" s="343"/>
      <c r="E2" s="17"/>
      <c r="F2" s="17"/>
      <c r="G2" s="17"/>
      <c r="H2" s="17"/>
      <c r="I2" s="17"/>
    </row>
    <row r="3" spans="1:16" ht="48" customHeight="1">
      <c r="A3" s="449" t="s">
        <v>254</v>
      </c>
      <c r="B3" s="447" t="s">
        <v>0</v>
      </c>
      <c r="C3" s="447" t="s">
        <v>31</v>
      </c>
      <c r="D3" s="451" t="s">
        <v>56</v>
      </c>
      <c r="E3" s="447" t="s">
        <v>163</v>
      </c>
      <c r="F3" s="448" t="s">
        <v>347</v>
      </c>
      <c r="G3" s="448"/>
      <c r="H3" s="448"/>
      <c r="I3" s="448"/>
    </row>
    <row r="4" spans="1:16" ht="38.25" customHeight="1">
      <c r="A4" s="450"/>
      <c r="B4" s="447"/>
      <c r="C4" s="447"/>
      <c r="D4" s="451"/>
      <c r="E4" s="447"/>
      <c r="F4" s="10" t="s">
        <v>356</v>
      </c>
      <c r="G4" s="10" t="s">
        <v>349</v>
      </c>
      <c r="H4" s="10" t="s">
        <v>350</v>
      </c>
      <c r="I4" s="10" t="s">
        <v>71</v>
      </c>
    </row>
    <row r="5" spans="1:16" ht="18" customHeight="1">
      <c r="A5" s="6">
        <v>1</v>
      </c>
      <c r="B5" s="10">
        <v>2</v>
      </c>
      <c r="C5" s="10">
        <v>3</v>
      </c>
      <c r="D5" s="344">
        <v>4</v>
      </c>
      <c r="E5" s="10">
        <v>5</v>
      </c>
      <c r="F5" s="10">
        <v>6</v>
      </c>
      <c r="G5" s="10">
        <v>7</v>
      </c>
      <c r="H5" s="10">
        <v>8</v>
      </c>
      <c r="I5" s="10">
        <v>9</v>
      </c>
    </row>
    <row r="6" spans="1:16" s="50" customFormat="1" ht="20.100000000000001" customHeight="1">
      <c r="A6" s="439" t="s">
        <v>153</v>
      </c>
      <c r="B6" s="440"/>
      <c r="C6" s="440"/>
      <c r="D6" s="440"/>
      <c r="E6" s="440"/>
      <c r="F6" s="440"/>
      <c r="G6" s="440"/>
      <c r="H6" s="440"/>
      <c r="I6" s="441"/>
      <c r="J6" s="350"/>
      <c r="K6" s="350"/>
      <c r="L6" s="350"/>
      <c r="M6" s="350"/>
      <c r="N6" s="350"/>
      <c r="O6" s="350"/>
      <c r="P6" s="350"/>
    </row>
    <row r="7" spans="1:16" ht="37.5">
      <c r="A7" s="163" t="s">
        <v>173</v>
      </c>
      <c r="B7" s="148">
        <v>1170</v>
      </c>
      <c r="C7" s="258">
        <f>'I. Фін результат'!C71</f>
        <v>131</v>
      </c>
      <c r="D7" s="310">
        <f>'I. Фін результат'!D71</f>
        <v>110</v>
      </c>
      <c r="E7" s="258">
        <f>'I. Фін результат'!E71</f>
        <v>-255.60000000000002</v>
      </c>
      <c r="F7" s="258">
        <f>'I. Фін результат'!F71</f>
        <v>87</v>
      </c>
      <c r="G7" s="258">
        <f>'I. Фін результат'!G71</f>
        <v>175</v>
      </c>
      <c r="H7" s="258">
        <f>'I. Фін результат'!H71</f>
        <v>262</v>
      </c>
      <c r="I7" s="258">
        <f>'I. Фін результат'!I71</f>
        <v>349</v>
      </c>
    </row>
    <row r="8" spans="1:16" ht="20.100000000000001" customHeight="1">
      <c r="A8" s="163" t="s">
        <v>174</v>
      </c>
      <c r="B8" s="183"/>
      <c r="C8" s="168"/>
      <c r="D8" s="310"/>
      <c r="E8" s="168"/>
      <c r="F8" s="168"/>
      <c r="G8" s="168"/>
      <c r="H8" s="168"/>
      <c r="I8" s="168"/>
    </row>
    <row r="9" spans="1:16" ht="20.100000000000001" customHeight="1">
      <c r="A9" s="163" t="s">
        <v>177</v>
      </c>
      <c r="B9" s="166">
        <v>3000</v>
      </c>
      <c r="C9" s="258">
        <f>'I. Фін результат'!C97</f>
        <v>328</v>
      </c>
      <c r="D9" s="310">
        <f>'I. Фін результат'!D97</f>
        <v>404</v>
      </c>
      <c r="E9" s="258">
        <f>'I. Фін результат'!E97</f>
        <v>267</v>
      </c>
      <c r="F9" s="258">
        <f>'I. Фін результат'!F97</f>
        <v>101</v>
      </c>
      <c r="G9" s="258">
        <f>'I. Фін результат'!G97</f>
        <v>204</v>
      </c>
      <c r="H9" s="258">
        <f>'I. Фін результат'!H97</f>
        <v>307</v>
      </c>
      <c r="I9" s="258">
        <f>'I. Фін результат'!I97</f>
        <v>401</v>
      </c>
    </row>
    <row r="10" spans="1:16" ht="20.100000000000001" customHeight="1">
      <c r="A10" s="163" t="s">
        <v>178</v>
      </c>
      <c r="B10" s="166">
        <v>3010</v>
      </c>
      <c r="C10" s="172"/>
      <c r="D10" s="285"/>
      <c r="E10" s="172"/>
      <c r="F10" s="172"/>
      <c r="G10" s="172"/>
      <c r="H10" s="172"/>
      <c r="I10" s="172"/>
    </row>
    <row r="11" spans="1:16" ht="37.5">
      <c r="A11" s="163" t="s">
        <v>179</v>
      </c>
      <c r="B11" s="166">
        <v>3020</v>
      </c>
      <c r="C11" s="172"/>
      <c r="D11" s="285"/>
      <c r="E11" s="172"/>
      <c r="F11" s="172"/>
      <c r="G11" s="172"/>
      <c r="H11" s="172"/>
      <c r="I11" s="172"/>
    </row>
    <row r="12" spans="1:16" ht="56.25">
      <c r="A12" s="163" t="s">
        <v>180</v>
      </c>
      <c r="B12" s="166">
        <v>3030</v>
      </c>
      <c r="C12" s="172">
        <f>C13+C14</f>
        <v>-18</v>
      </c>
      <c r="D12" s="285">
        <v>0</v>
      </c>
      <c r="E12" s="172">
        <f t="shared" ref="E12:I12" si="0">E13+E14</f>
        <v>2</v>
      </c>
      <c r="F12" s="172">
        <f t="shared" si="0"/>
        <v>0</v>
      </c>
      <c r="G12" s="172">
        <f t="shared" si="0"/>
        <v>0</v>
      </c>
      <c r="H12" s="172">
        <f t="shared" si="0"/>
        <v>0</v>
      </c>
      <c r="I12" s="172">
        <f t="shared" si="0"/>
        <v>0</v>
      </c>
    </row>
    <row r="13" spans="1:16">
      <c r="A13" s="163" t="s">
        <v>512</v>
      </c>
      <c r="B13" s="166" t="s">
        <v>513</v>
      </c>
      <c r="C13" s="172">
        <v>-35</v>
      </c>
      <c r="D13" s="285"/>
      <c r="E13" s="285"/>
      <c r="F13" s="172"/>
      <c r="G13" s="172"/>
      <c r="H13" s="172"/>
      <c r="I13" s="172"/>
    </row>
    <row r="14" spans="1:16" ht="37.5">
      <c r="A14" s="163" t="s">
        <v>514</v>
      </c>
      <c r="B14" s="166" t="s">
        <v>515</v>
      </c>
      <c r="C14" s="172">
        <v>17</v>
      </c>
      <c r="D14" s="285"/>
      <c r="E14" s="285">
        <v>2</v>
      </c>
      <c r="F14" s="172"/>
      <c r="G14" s="172"/>
      <c r="H14" s="172"/>
      <c r="I14" s="172"/>
    </row>
    <row r="15" spans="1:16" ht="42.75" customHeight="1">
      <c r="A15" s="165" t="s">
        <v>237</v>
      </c>
      <c r="B15" s="184">
        <v>3040</v>
      </c>
      <c r="C15" s="259">
        <f t="shared" ref="C15:I15" si="1">SUM(C7:C12)</f>
        <v>441</v>
      </c>
      <c r="D15" s="311">
        <f t="shared" si="1"/>
        <v>514</v>
      </c>
      <c r="E15" s="259">
        <f t="shared" si="1"/>
        <v>13.399999999999977</v>
      </c>
      <c r="F15" s="259">
        <f t="shared" si="1"/>
        <v>188</v>
      </c>
      <c r="G15" s="259">
        <f t="shared" si="1"/>
        <v>379</v>
      </c>
      <c r="H15" s="259">
        <f t="shared" si="1"/>
        <v>569</v>
      </c>
      <c r="I15" s="259">
        <f t="shared" si="1"/>
        <v>750</v>
      </c>
    </row>
    <row r="16" spans="1:16" ht="56.25">
      <c r="A16" s="163" t="s">
        <v>401</v>
      </c>
      <c r="B16" s="166">
        <v>3050</v>
      </c>
      <c r="C16" s="172">
        <v>59</v>
      </c>
      <c r="D16" s="285"/>
      <c r="E16" s="167">
        <v>22</v>
      </c>
      <c r="F16" s="172"/>
      <c r="G16" s="172"/>
      <c r="H16" s="172"/>
      <c r="I16" s="172"/>
      <c r="J16" s="131" t="s">
        <v>545</v>
      </c>
    </row>
    <row r="17" spans="1:9" ht="37.5">
      <c r="A17" s="163" t="s">
        <v>400</v>
      </c>
      <c r="B17" s="166">
        <v>3060</v>
      </c>
      <c r="C17" s="172">
        <v>-260</v>
      </c>
      <c r="D17" s="285"/>
      <c r="E17" s="167">
        <v>-266</v>
      </c>
      <c r="F17" s="172"/>
      <c r="G17" s="172"/>
      <c r="H17" s="172"/>
      <c r="I17" s="172"/>
    </row>
    <row r="18" spans="1:9" ht="20.100000000000001" customHeight="1">
      <c r="A18" s="165" t="s">
        <v>175</v>
      </c>
      <c r="B18" s="184">
        <v>3070</v>
      </c>
      <c r="C18" s="259">
        <f t="shared" ref="C18:I18" si="2">SUM(C15:C17)</f>
        <v>240</v>
      </c>
      <c r="D18" s="311">
        <f t="shared" si="2"/>
        <v>514</v>
      </c>
      <c r="E18" s="259">
        <f t="shared" si="2"/>
        <v>-230.60000000000002</v>
      </c>
      <c r="F18" s="259">
        <f t="shared" si="2"/>
        <v>188</v>
      </c>
      <c r="G18" s="259">
        <f t="shared" si="2"/>
        <v>379</v>
      </c>
      <c r="H18" s="259">
        <f t="shared" si="2"/>
        <v>569</v>
      </c>
      <c r="I18" s="259">
        <f t="shared" si="2"/>
        <v>750</v>
      </c>
    </row>
    <row r="19" spans="1:9" ht="20.100000000000001" customHeight="1">
      <c r="A19" s="163" t="s">
        <v>176</v>
      </c>
      <c r="B19" s="166">
        <v>3080</v>
      </c>
      <c r="C19" s="258">
        <f>'I. Фін результат'!C72</f>
        <v>24</v>
      </c>
      <c r="D19" s="310">
        <f>'I. Фін результат'!D72</f>
        <v>20</v>
      </c>
      <c r="E19" s="258">
        <f>'I. Фін результат'!E72</f>
        <v>0</v>
      </c>
      <c r="F19" s="258">
        <f>'I. Фін результат'!F72</f>
        <v>0</v>
      </c>
      <c r="G19" s="258">
        <f>'I. Фін результат'!G72</f>
        <v>0</v>
      </c>
      <c r="H19" s="258">
        <f>'I. Фін результат'!H72</f>
        <v>0</v>
      </c>
      <c r="I19" s="258">
        <f>'I. Фін результат'!I72</f>
        <v>63</v>
      </c>
    </row>
    <row r="20" spans="1:9" ht="37.5">
      <c r="A20" s="322" t="s">
        <v>152</v>
      </c>
      <c r="B20" s="347">
        <v>3090</v>
      </c>
      <c r="C20" s="330">
        <f>C18-C19</f>
        <v>216</v>
      </c>
      <c r="D20" s="330">
        <f t="shared" ref="D20:I20" si="3">D18-D19</f>
        <v>494</v>
      </c>
      <c r="E20" s="330">
        <f t="shared" si="3"/>
        <v>-230.60000000000002</v>
      </c>
      <c r="F20" s="330">
        <f t="shared" si="3"/>
        <v>188</v>
      </c>
      <c r="G20" s="330">
        <f t="shared" si="3"/>
        <v>379</v>
      </c>
      <c r="H20" s="330">
        <f t="shared" si="3"/>
        <v>569</v>
      </c>
      <c r="I20" s="330">
        <f t="shared" si="3"/>
        <v>687</v>
      </c>
    </row>
    <row r="21" spans="1:9" ht="20.100000000000001" customHeight="1">
      <c r="A21" s="439" t="s">
        <v>154</v>
      </c>
      <c r="B21" s="440"/>
      <c r="C21" s="440"/>
      <c r="D21" s="440"/>
      <c r="E21" s="440"/>
      <c r="F21" s="440"/>
      <c r="G21" s="440"/>
      <c r="H21" s="440"/>
      <c r="I21" s="441"/>
    </row>
    <row r="22" spans="1:9" ht="20.100000000000001" customHeight="1">
      <c r="A22" s="165" t="s">
        <v>267</v>
      </c>
      <c r="B22" s="148"/>
      <c r="C22" s="167"/>
      <c r="D22" s="285"/>
      <c r="E22" s="167"/>
      <c r="F22" s="167"/>
      <c r="G22" s="167"/>
      <c r="H22" s="167"/>
      <c r="I22" s="167"/>
    </row>
    <row r="23" spans="1:9" ht="20.100000000000001" customHeight="1">
      <c r="A23" s="63" t="s">
        <v>32</v>
      </c>
      <c r="B23" s="148">
        <v>3200</v>
      </c>
      <c r="C23" s="167"/>
      <c r="D23" s="285"/>
      <c r="E23" s="167"/>
      <c r="F23" s="167"/>
      <c r="G23" s="167"/>
      <c r="H23" s="167"/>
      <c r="I23" s="167"/>
    </row>
    <row r="24" spans="1:9" ht="20.100000000000001" customHeight="1">
      <c r="A24" s="63" t="s">
        <v>33</v>
      </c>
      <c r="B24" s="148">
        <v>3210</v>
      </c>
      <c r="C24" s="167"/>
      <c r="D24" s="285"/>
      <c r="E24" s="167"/>
      <c r="F24" s="167"/>
      <c r="G24" s="167"/>
      <c r="H24" s="167"/>
      <c r="I24" s="167"/>
    </row>
    <row r="25" spans="1:9" ht="20.100000000000001" customHeight="1">
      <c r="A25" s="63" t="s">
        <v>46</v>
      </c>
      <c r="B25" s="148">
        <v>3220</v>
      </c>
      <c r="C25" s="167"/>
      <c r="D25" s="285"/>
      <c r="E25" s="167"/>
      <c r="F25" s="167"/>
      <c r="G25" s="167"/>
      <c r="H25" s="167"/>
      <c r="I25" s="167"/>
    </row>
    <row r="26" spans="1:9" ht="20.100000000000001" customHeight="1">
      <c r="A26" s="163" t="s">
        <v>158</v>
      </c>
      <c r="B26" s="148"/>
      <c r="C26" s="167"/>
      <c r="D26" s="285"/>
      <c r="E26" s="167"/>
      <c r="F26" s="167"/>
      <c r="G26" s="167"/>
      <c r="H26" s="167"/>
      <c r="I26" s="167"/>
    </row>
    <row r="27" spans="1:9" ht="20.100000000000001" customHeight="1">
      <c r="A27" s="63" t="s">
        <v>159</v>
      </c>
      <c r="B27" s="148">
        <v>3230</v>
      </c>
      <c r="C27" s="167"/>
      <c r="D27" s="285"/>
      <c r="E27" s="167"/>
      <c r="F27" s="167"/>
      <c r="G27" s="167"/>
      <c r="H27" s="167"/>
      <c r="I27" s="167"/>
    </row>
    <row r="28" spans="1:9" ht="20.100000000000001" customHeight="1">
      <c r="A28" s="63" t="s">
        <v>160</v>
      </c>
      <c r="B28" s="148">
        <v>3240</v>
      </c>
      <c r="C28" s="167"/>
      <c r="D28" s="285"/>
      <c r="E28" s="167"/>
      <c r="F28" s="167"/>
      <c r="G28" s="167"/>
      <c r="H28" s="167"/>
      <c r="I28" s="167"/>
    </row>
    <row r="29" spans="1:9" ht="20.100000000000001" customHeight="1">
      <c r="A29" s="163" t="s">
        <v>161</v>
      </c>
      <c r="B29" s="148">
        <v>3250</v>
      </c>
      <c r="C29" s="167"/>
      <c r="D29" s="285"/>
      <c r="E29" s="167"/>
      <c r="F29" s="167"/>
      <c r="G29" s="167"/>
      <c r="H29" s="167"/>
      <c r="I29" s="167"/>
    </row>
    <row r="30" spans="1:9" ht="20.100000000000001" customHeight="1">
      <c r="A30" s="63" t="s">
        <v>112</v>
      </c>
      <c r="B30" s="148">
        <v>3260</v>
      </c>
      <c r="C30" s="172"/>
      <c r="D30" s="285"/>
      <c r="E30" s="167"/>
      <c r="F30" s="167"/>
      <c r="G30" s="167"/>
      <c r="H30" s="167"/>
      <c r="I30" s="167"/>
    </row>
    <row r="31" spans="1:9" ht="20.100000000000001" customHeight="1">
      <c r="A31" s="165" t="s">
        <v>269</v>
      </c>
      <c r="B31" s="148"/>
      <c r="C31" s="172"/>
      <c r="D31" s="285"/>
      <c r="E31" s="167"/>
      <c r="F31" s="167"/>
      <c r="G31" s="167"/>
      <c r="H31" s="167"/>
      <c r="I31" s="167"/>
    </row>
    <row r="32" spans="1:9" ht="37.5">
      <c r="A32" s="186" t="s">
        <v>113</v>
      </c>
      <c r="B32" s="148">
        <v>3270</v>
      </c>
      <c r="C32" s="172"/>
      <c r="D32" s="285"/>
      <c r="E32" s="285"/>
      <c r="F32" s="167"/>
      <c r="G32" s="167"/>
      <c r="H32" s="167"/>
      <c r="I32" s="167"/>
    </row>
    <row r="33" spans="1:9">
      <c r="A33" s="187" t="s">
        <v>416</v>
      </c>
      <c r="B33" s="166" t="s">
        <v>418</v>
      </c>
      <c r="C33" s="167"/>
      <c r="D33" s="285"/>
      <c r="E33" s="167"/>
      <c r="F33" s="167"/>
      <c r="G33" s="167"/>
      <c r="H33" s="167"/>
      <c r="I33" s="167"/>
    </row>
    <row r="34" spans="1:9" ht="20.100000000000001" customHeight="1">
      <c r="A34" s="186" t="s">
        <v>114</v>
      </c>
      <c r="B34" s="148">
        <v>3280</v>
      </c>
      <c r="C34" s="167"/>
      <c r="D34" s="285"/>
      <c r="E34" s="167"/>
      <c r="F34" s="167"/>
      <c r="G34" s="167"/>
      <c r="H34" s="167"/>
      <c r="I34" s="167"/>
    </row>
    <row r="35" spans="1:9" ht="20.100000000000001" customHeight="1">
      <c r="A35" s="187" t="s">
        <v>417</v>
      </c>
      <c r="B35" s="166" t="s">
        <v>419</v>
      </c>
      <c r="C35" s="167"/>
      <c r="D35" s="285"/>
      <c r="E35" s="167"/>
      <c r="F35" s="167"/>
      <c r="G35" s="167"/>
      <c r="H35" s="167"/>
      <c r="I35" s="167"/>
    </row>
    <row r="36" spans="1:9" ht="37.5">
      <c r="A36" s="63" t="s">
        <v>115</v>
      </c>
      <c r="B36" s="148">
        <v>3290</v>
      </c>
      <c r="C36" s="167"/>
      <c r="D36" s="285"/>
      <c r="E36" s="285"/>
      <c r="F36" s="167"/>
      <c r="G36" s="167"/>
      <c r="H36" s="167"/>
      <c r="I36" s="167"/>
    </row>
    <row r="37" spans="1:9" ht="20.100000000000001" customHeight="1">
      <c r="A37" s="63" t="s">
        <v>47</v>
      </c>
      <c r="B37" s="148">
        <v>3300</v>
      </c>
      <c r="C37" s="167"/>
      <c r="D37" s="285"/>
      <c r="E37" s="167"/>
      <c r="F37" s="167"/>
      <c r="G37" s="167"/>
      <c r="H37" s="167"/>
      <c r="I37" s="167"/>
    </row>
    <row r="38" spans="1:9" ht="20.100000000000001" customHeight="1">
      <c r="A38" s="63" t="s">
        <v>107</v>
      </c>
      <c r="B38" s="148">
        <v>3310</v>
      </c>
      <c r="C38" s="172"/>
      <c r="D38" s="285"/>
      <c r="E38" s="172"/>
      <c r="F38" s="172"/>
      <c r="G38" s="172"/>
      <c r="H38" s="172"/>
      <c r="I38" s="172"/>
    </row>
    <row r="39" spans="1:9" ht="37.5">
      <c r="A39" s="63" t="s">
        <v>403</v>
      </c>
      <c r="B39" s="166" t="s">
        <v>404</v>
      </c>
      <c r="C39" s="172"/>
      <c r="D39" s="285"/>
      <c r="E39" s="172"/>
      <c r="F39" s="172"/>
      <c r="G39" s="172"/>
      <c r="H39" s="172"/>
      <c r="I39" s="172"/>
    </row>
    <row r="40" spans="1:9" ht="37.5">
      <c r="A40" s="339" t="s">
        <v>155</v>
      </c>
      <c r="B40" s="323">
        <v>3320</v>
      </c>
      <c r="C40" s="330">
        <f>(C23+C24+C25+C27+C28+C29+C30)-(C32+C34+C36+C37+C38)</f>
        <v>0</v>
      </c>
      <c r="D40" s="330">
        <f t="shared" ref="D40:I40" si="4">(D23+D24+D25+D27+D28+D29+D30)-(D32+D34+D36+D37+D38)</f>
        <v>0</v>
      </c>
      <c r="E40" s="330">
        <f t="shared" si="4"/>
        <v>0</v>
      </c>
      <c r="F40" s="330">
        <f t="shared" si="4"/>
        <v>0</v>
      </c>
      <c r="G40" s="330">
        <f t="shared" si="4"/>
        <v>0</v>
      </c>
      <c r="H40" s="330">
        <f t="shared" si="4"/>
        <v>0</v>
      </c>
      <c r="I40" s="330">
        <f t="shared" si="4"/>
        <v>0</v>
      </c>
    </row>
    <row r="41" spans="1:9" ht="20.100000000000001" customHeight="1">
      <c r="A41" s="439" t="s">
        <v>156</v>
      </c>
      <c r="B41" s="440"/>
      <c r="C41" s="440"/>
      <c r="D41" s="440"/>
      <c r="E41" s="440"/>
      <c r="F41" s="440"/>
      <c r="G41" s="440"/>
      <c r="H41" s="440"/>
      <c r="I41" s="441"/>
    </row>
    <row r="42" spans="1:9" ht="20.100000000000001" customHeight="1">
      <c r="A42" s="165" t="s">
        <v>268</v>
      </c>
      <c r="B42" s="148"/>
      <c r="C42" s="167"/>
      <c r="D42" s="285"/>
      <c r="E42" s="167"/>
      <c r="F42" s="167"/>
      <c r="G42" s="167"/>
      <c r="H42" s="167"/>
      <c r="I42" s="167"/>
    </row>
    <row r="43" spans="1:9" ht="20.100000000000001" customHeight="1">
      <c r="A43" s="163" t="s">
        <v>162</v>
      </c>
      <c r="B43" s="148">
        <v>3400</v>
      </c>
      <c r="C43" s="172"/>
      <c r="D43" s="285"/>
      <c r="E43" s="167"/>
      <c r="F43" s="167"/>
      <c r="G43" s="167"/>
      <c r="H43" s="167"/>
      <c r="I43" s="167"/>
    </row>
    <row r="44" spans="1:9" ht="37.5">
      <c r="A44" s="63" t="s">
        <v>85</v>
      </c>
      <c r="B44" s="131"/>
      <c r="C44" s="167"/>
      <c r="D44" s="285"/>
      <c r="E44" s="167"/>
      <c r="F44" s="167"/>
      <c r="G44" s="167"/>
      <c r="H44" s="167"/>
      <c r="I44" s="167"/>
    </row>
    <row r="45" spans="1:9" ht="20.100000000000001" customHeight="1">
      <c r="A45" s="63" t="s">
        <v>84</v>
      </c>
      <c r="B45" s="148">
        <v>3410</v>
      </c>
      <c r="C45" s="167"/>
      <c r="D45" s="285"/>
      <c r="E45" s="167"/>
      <c r="F45" s="167"/>
      <c r="G45" s="167"/>
      <c r="H45" s="167"/>
      <c r="I45" s="167"/>
    </row>
    <row r="46" spans="1:9" ht="20.100000000000001" customHeight="1">
      <c r="A46" s="63" t="s">
        <v>89</v>
      </c>
      <c r="B46" s="166">
        <v>3420</v>
      </c>
      <c r="C46" s="167"/>
      <c r="D46" s="285"/>
      <c r="E46" s="167"/>
      <c r="F46" s="167"/>
      <c r="G46" s="167"/>
      <c r="H46" s="167"/>
      <c r="I46" s="167"/>
    </row>
    <row r="47" spans="1:9" ht="20.100000000000001" customHeight="1">
      <c r="A47" s="63" t="s">
        <v>116</v>
      </c>
      <c r="B47" s="148">
        <v>3430</v>
      </c>
      <c r="C47" s="167"/>
      <c r="D47" s="285"/>
      <c r="E47" s="167"/>
      <c r="F47" s="167"/>
      <c r="G47" s="167"/>
      <c r="H47" s="167"/>
      <c r="I47" s="167"/>
    </row>
    <row r="48" spans="1:9" ht="37.5">
      <c r="A48" s="63" t="s">
        <v>87</v>
      </c>
      <c r="B48" s="148"/>
      <c r="C48" s="167"/>
      <c r="D48" s="285"/>
      <c r="E48" s="167"/>
      <c r="F48" s="167"/>
      <c r="G48" s="167"/>
      <c r="H48" s="167"/>
      <c r="I48" s="167"/>
    </row>
    <row r="49" spans="1:9" ht="20.100000000000001" customHeight="1">
      <c r="A49" s="63" t="s">
        <v>84</v>
      </c>
      <c r="B49" s="166">
        <v>3440</v>
      </c>
      <c r="C49" s="167"/>
      <c r="D49" s="285"/>
      <c r="E49" s="167"/>
      <c r="F49" s="167"/>
      <c r="G49" s="167"/>
      <c r="H49" s="167"/>
      <c r="I49" s="167"/>
    </row>
    <row r="50" spans="1:9" ht="20.100000000000001" customHeight="1">
      <c r="A50" s="63" t="s">
        <v>89</v>
      </c>
      <c r="B50" s="166">
        <v>3450</v>
      </c>
      <c r="C50" s="167"/>
      <c r="D50" s="285"/>
      <c r="E50" s="167"/>
      <c r="F50" s="167"/>
      <c r="G50" s="167"/>
      <c r="H50" s="167"/>
      <c r="I50" s="167"/>
    </row>
    <row r="51" spans="1:9" ht="20.100000000000001" customHeight="1">
      <c r="A51" s="63" t="s">
        <v>116</v>
      </c>
      <c r="B51" s="166">
        <v>3460</v>
      </c>
      <c r="C51" s="167"/>
      <c r="D51" s="285"/>
      <c r="E51" s="167"/>
      <c r="F51" s="167"/>
      <c r="G51" s="167"/>
      <c r="H51" s="167"/>
      <c r="I51" s="167"/>
    </row>
    <row r="52" spans="1:9" ht="20.100000000000001" customHeight="1">
      <c r="A52" s="63" t="s">
        <v>111</v>
      </c>
      <c r="B52" s="166">
        <v>3470</v>
      </c>
      <c r="C52" s="167"/>
      <c r="D52" s="285"/>
      <c r="E52" s="167"/>
      <c r="F52" s="167"/>
      <c r="G52" s="167"/>
      <c r="H52" s="167"/>
      <c r="I52" s="167"/>
    </row>
    <row r="53" spans="1:9" ht="32.25" customHeight="1">
      <c r="A53" s="185" t="s">
        <v>411</v>
      </c>
      <c r="B53" s="166" t="s">
        <v>410</v>
      </c>
      <c r="C53" s="167"/>
      <c r="D53" s="285"/>
      <c r="E53" s="167"/>
      <c r="F53" s="167"/>
      <c r="G53" s="167"/>
      <c r="H53" s="167"/>
      <c r="I53" s="167"/>
    </row>
    <row r="54" spans="1:9" ht="20.100000000000001" customHeight="1">
      <c r="A54" s="63" t="s">
        <v>112</v>
      </c>
      <c r="B54" s="166">
        <v>3480</v>
      </c>
      <c r="C54" s="167"/>
      <c r="D54" s="285"/>
      <c r="E54" s="167"/>
      <c r="F54" s="167"/>
      <c r="G54" s="167"/>
      <c r="H54" s="167"/>
      <c r="I54" s="167"/>
    </row>
    <row r="55" spans="1:9" ht="37.5">
      <c r="A55" s="63" t="s">
        <v>405</v>
      </c>
      <c r="B55" s="166" t="s">
        <v>406</v>
      </c>
      <c r="C55" s="167"/>
      <c r="D55" s="285"/>
      <c r="E55" s="167"/>
      <c r="F55" s="167"/>
      <c r="G55" s="167"/>
      <c r="H55" s="167"/>
      <c r="I55" s="167"/>
    </row>
    <row r="56" spans="1:9" ht="20.100000000000001" customHeight="1">
      <c r="A56" s="165" t="s">
        <v>269</v>
      </c>
      <c r="B56" s="148"/>
      <c r="C56" s="167"/>
      <c r="D56" s="285"/>
      <c r="E56" s="167"/>
      <c r="F56" s="167"/>
      <c r="G56" s="167"/>
      <c r="H56" s="167"/>
      <c r="I56" s="167"/>
    </row>
    <row r="57" spans="1:9" ht="37.5">
      <c r="A57" s="63" t="s">
        <v>353</v>
      </c>
      <c r="B57" s="148">
        <v>3490</v>
      </c>
      <c r="C57" s="258">
        <f>'ІІ. Розр. з бюджетом'!C9</f>
        <v>19</v>
      </c>
      <c r="D57" s="310">
        <f>'ІІ. Розр. з бюджетом'!D9</f>
        <v>21</v>
      </c>
      <c r="E57" s="258">
        <f>'ІІ. Розр. з бюджетом'!E9</f>
        <v>0</v>
      </c>
      <c r="F57" s="258">
        <f>'ІІ. Розр. з бюджетом'!F9</f>
        <v>13</v>
      </c>
      <c r="G57" s="258">
        <f>'ІІ. Розр. з бюджетом'!G9</f>
        <v>26</v>
      </c>
      <c r="H57" s="258">
        <f>'ІІ. Розр. з бюджетом'!H9</f>
        <v>39</v>
      </c>
      <c r="I57" s="258">
        <f>'ІІ. Розр. з бюджетом'!I9</f>
        <v>43</v>
      </c>
    </row>
    <row r="58" spans="1:9" ht="112.5">
      <c r="A58" s="63" t="s">
        <v>354</v>
      </c>
      <c r="B58" s="148">
        <v>3500</v>
      </c>
      <c r="C58" s="258">
        <f>'ІІ. Розр. з бюджетом'!C10</f>
        <v>55</v>
      </c>
      <c r="D58" s="310">
        <f>'ІІ. Розр. з бюджетом'!D10</f>
        <v>71</v>
      </c>
      <c r="E58" s="258">
        <f>'ІІ. Розр. з бюджетом'!E10</f>
        <v>0</v>
      </c>
      <c r="F58" s="258">
        <f>'ІІ. Розр. з бюджетом'!F10</f>
        <v>44</v>
      </c>
      <c r="G58" s="258">
        <f>'ІІ. Розр. з бюджетом'!G10</f>
        <v>89</v>
      </c>
      <c r="H58" s="258">
        <f>'ІІ. Розр. з бюджетом'!H10</f>
        <v>134</v>
      </c>
      <c r="I58" s="258">
        <f>'ІІ. Розр. з бюджетом'!I10</f>
        <v>146</v>
      </c>
    </row>
    <row r="59" spans="1:9" ht="37.5">
      <c r="A59" s="63" t="s">
        <v>88</v>
      </c>
      <c r="B59" s="148"/>
      <c r="C59" s="167"/>
      <c r="D59" s="285"/>
      <c r="E59" s="167"/>
      <c r="F59" s="167"/>
      <c r="G59" s="167"/>
      <c r="H59" s="167"/>
      <c r="I59" s="167"/>
    </row>
    <row r="60" spans="1:9" ht="20.100000000000001" customHeight="1">
      <c r="A60" s="63" t="s">
        <v>84</v>
      </c>
      <c r="B60" s="166">
        <v>3510</v>
      </c>
      <c r="C60" s="167"/>
      <c r="D60" s="285"/>
      <c r="E60" s="167"/>
      <c r="F60" s="167"/>
      <c r="G60" s="167"/>
      <c r="H60" s="167"/>
      <c r="I60" s="167"/>
    </row>
    <row r="61" spans="1:9" ht="20.100000000000001" customHeight="1">
      <c r="A61" s="63" t="s">
        <v>89</v>
      </c>
      <c r="B61" s="166">
        <v>3520</v>
      </c>
      <c r="C61" s="167"/>
      <c r="D61" s="285"/>
      <c r="E61" s="167"/>
      <c r="F61" s="167"/>
      <c r="G61" s="167"/>
      <c r="H61" s="167"/>
      <c r="I61" s="167"/>
    </row>
    <row r="62" spans="1:9" ht="20.100000000000001" customHeight="1">
      <c r="A62" s="63" t="s">
        <v>116</v>
      </c>
      <c r="B62" s="166">
        <v>3530</v>
      </c>
      <c r="C62" s="167"/>
      <c r="D62" s="285"/>
      <c r="E62" s="167"/>
      <c r="F62" s="167"/>
      <c r="G62" s="167"/>
      <c r="H62" s="167"/>
      <c r="I62" s="167"/>
    </row>
    <row r="63" spans="1:9" ht="37.5">
      <c r="A63" s="63" t="s">
        <v>86</v>
      </c>
      <c r="B63" s="148"/>
      <c r="C63" s="167"/>
      <c r="D63" s="285"/>
      <c r="E63" s="167"/>
      <c r="F63" s="167"/>
      <c r="G63" s="167"/>
      <c r="H63" s="167"/>
      <c r="I63" s="167"/>
    </row>
    <row r="64" spans="1:9" ht="20.100000000000001" customHeight="1">
      <c r="A64" s="63" t="s">
        <v>84</v>
      </c>
      <c r="B64" s="166">
        <v>3540</v>
      </c>
      <c r="C64" s="167"/>
      <c r="D64" s="285"/>
      <c r="E64" s="167"/>
      <c r="F64" s="167"/>
      <c r="G64" s="167"/>
      <c r="H64" s="167"/>
      <c r="I64" s="167"/>
    </row>
    <row r="65" spans="1:16" ht="20.100000000000001" customHeight="1">
      <c r="A65" s="63" t="s">
        <v>89</v>
      </c>
      <c r="B65" s="166">
        <v>3550</v>
      </c>
      <c r="C65" s="167"/>
      <c r="D65" s="285"/>
      <c r="E65" s="167"/>
      <c r="F65" s="167"/>
      <c r="G65" s="167"/>
      <c r="H65" s="167"/>
      <c r="I65" s="167"/>
    </row>
    <row r="66" spans="1:16" ht="20.100000000000001" customHeight="1">
      <c r="A66" s="63" t="s">
        <v>116</v>
      </c>
      <c r="B66" s="166">
        <v>3560</v>
      </c>
      <c r="C66" s="167"/>
      <c r="D66" s="285"/>
      <c r="E66" s="167"/>
      <c r="F66" s="167"/>
      <c r="G66" s="167"/>
      <c r="H66" s="167"/>
      <c r="I66" s="167"/>
    </row>
    <row r="67" spans="1:16" ht="20.100000000000001" customHeight="1">
      <c r="A67" s="63" t="s">
        <v>107</v>
      </c>
      <c r="B67" s="166">
        <v>3570</v>
      </c>
      <c r="C67" s="172"/>
      <c r="D67" s="285"/>
      <c r="E67" s="172"/>
      <c r="F67" s="172"/>
      <c r="G67" s="172"/>
      <c r="H67" s="172"/>
      <c r="I67" s="172"/>
    </row>
    <row r="68" spans="1:16" ht="20.100000000000001" customHeight="1">
      <c r="A68" s="63" t="s">
        <v>412</v>
      </c>
      <c r="B68" s="166" t="s">
        <v>414</v>
      </c>
      <c r="C68" s="172"/>
      <c r="D68" s="285"/>
      <c r="E68" s="172"/>
      <c r="F68" s="172"/>
      <c r="G68" s="172"/>
      <c r="H68" s="172"/>
      <c r="I68" s="172"/>
    </row>
    <row r="69" spans="1:16" ht="20.100000000000001" customHeight="1">
      <c r="A69" s="63" t="s">
        <v>413</v>
      </c>
      <c r="B69" s="166" t="s">
        <v>415</v>
      </c>
      <c r="C69" s="172"/>
      <c r="D69" s="285"/>
      <c r="E69" s="172"/>
      <c r="F69" s="172"/>
      <c r="G69" s="172"/>
      <c r="H69" s="172"/>
      <c r="I69" s="172"/>
    </row>
    <row r="70" spans="1:16" ht="37.5">
      <c r="A70" s="335" t="s">
        <v>157</v>
      </c>
      <c r="B70" s="348">
        <v>3580</v>
      </c>
      <c r="C70" s="330">
        <f t="shared" ref="C70:I70" si="5">(C43+C45+C46+C47+C49+C50+C51+C52+C54)-(C57+C58+C60+C61+C62+C64+C65+C66+C67)</f>
        <v>-74</v>
      </c>
      <c r="D70" s="330">
        <f t="shared" si="5"/>
        <v>-92</v>
      </c>
      <c r="E70" s="330">
        <f t="shared" si="5"/>
        <v>0</v>
      </c>
      <c r="F70" s="330">
        <f t="shared" si="5"/>
        <v>-57</v>
      </c>
      <c r="G70" s="330">
        <f t="shared" si="5"/>
        <v>-115</v>
      </c>
      <c r="H70" s="330">
        <f t="shared" si="5"/>
        <v>-173</v>
      </c>
      <c r="I70" s="330">
        <f t="shared" si="5"/>
        <v>-189</v>
      </c>
    </row>
    <row r="71" spans="1:16" s="11" customFormat="1" ht="20.100000000000001" customHeight="1">
      <c r="A71" s="7" t="s">
        <v>34</v>
      </c>
      <c r="B71" s="5"/>
      <c r="C71" s="258"/>
      <c r="D71" s="310"/>
      <c r="E71" s="258"/>
      <c r="F71" s="258"/>
      <c r="G71" s="258"/>
      <c r="H71" s="258"/>
      <c r="I71" s="258"/>
      <c r="J71" s="351"/>
      <c r="K71" s="351"/>
      <c r="L71" s="351"/>
      <c r="M71" s="351"/>
      <c r="N71" s="351"/>
      <c r="O71" s="351"/>
      <c r="P71" s="351"/>
    </row>
    <row r="72" spans="1:16" s="11" customFormat="1" ht="20.100000000000001" customHeight="1">
      <c r="A72" s="329" t="s">
        <v>35</v>
      </c>
      <c r="B72" s="349">
        <v>3600</v>
      </c>
      <c r="C72" s="326">
        <v>91</v>
      </c>
      <c r="D72" s="326">
        <v>302</v>
      </c>
      <c r="E72" s="324">
        <f>C74</f>
        <v>233</v>
      </c>
      <c r="F72" s="324">
        <f>E74</f>
        <v>2.3999999999999773</v>
      </c>
      <c r="G72" s="324">
        <f>E74</f>
        <v>2.3999999999999773</v>
      </c>
      <c r="H72" s="324">
        <f>E74</f>
        <v>2.3999999999999773</v>
      </c>
      <c r="I72" s="324">
        <f>E74</f>
        <v>2.3999999999999773</v>
      </c>
      <c r="J72" s="351"/>
      <c r="K72" s="351"/>
      <c r="L72" s="351"/>
      <c r="M72" s="351"/>
      <c r="N72" s="351"/>
      <c r="O72" s="351"/>
      <c r="P72" s="351"/>
    </row>
    <row r="73" spans="1:16" s="11" customFormat="1" ht="37.5">
      <c r="A73" s="63" t="s">
        <v>166</v>
      </c>
      <c r="B73" s="5">
        <v>3610</v>
      </c>
      <c r="C73" s="172"/>
      <c r="D73" s="285"/>
      <c r="E73" s="172"/>
      <c r="F73" s="172"/>
      <c r="G73" s="172"/>
      <c r="H73" s="172"/>
      <c r="I73" s="172"/>
      <c r="J73" s="351"/>
      <c r="K73" s="351"/>
      <c r="L73" s="351"/>
      <c r="M73" s="351"/>
      <c r="N73" s="351"/>
      <c r="O73" s="351"/>
      <c r="P73" s="351"/>
    </row>
    <row r="74" spans="1:16" s="11" customFormat="1" ht="20.100000000000001" customHeight="1">
      <c r="A74" s="329" t="s">
        <v>48</v>
      </c>
      <c r="B74" s="349">
        <v>3620</v>
      </c>
      <c r="C74" s="330">
        <f t="shared" ref="C74:I74" si="6">C72+C20+C40+C70</f>
        <v>233</v>
      </c>
      <c r="D74" s="330">
        <f t="shared" si="6"/>
        <v>704</v>
      </c>
      <c r="E74" s="330">
        <f t="shared" si="6"/>
        <v>2.3999999999999773</v>
      </c>
      <c r="F74" s="330">
        <f t="shared" si="6"/>
        <v>133.39999999999998</v>
      </c>
      <c r="G74" s="330">
        <f t="shared" si="6"/>
        <v>266.39999999999998</v>
      </c>
      <c r="H74" s="330">
        <f t="shared" si="6"/>
        <v>398.4</v>
      </c>
      <c r="I74" s="330">
        <f t="shared" si="6"/>
        <v>500.4</v>
      </c>
      <c r="J74" s="351"/>
      <c r="K74" s="351"/>
      <c r="L74" s="351"/>
      <c r="M74" s="351"/>
      <c r="N74" s="351"/>
      <c r="O74" s="351"/>
      <c r="P74" s="351"/>
    </row>
    <row r="75" spans="1:16" s="11" customFormat="1" ht="20.100000000000001" customHeight="1">
      <c r="A75" s="8" t="s">
        <v>36</v>
      </c>
      <c r="B75" s="5">
        <v>3630</v>
      </c>
      <c r="C75" s="259">
        <f t="shared" ref="C75:I75" si="7">SUM(C20,C40,C70)</f>
        <v>142</v>
      </c>
      <c r="D75" s="311">
        <f t="shared" si="7"/>
        <v>402</v>
      </c>
      <c r="E75" s="259">
        <f t="shared" si="7"/>
        <v>-230.60000000000002</v>
      </c>
      <c r="F75" s="259">
        <f t="shared" si="7"/>
        <v>131</v>
      </c>
      <c r="G75" s="259">
        <f t="shared" si="7"/>
        <v>264</v>
      </c>
      <c r="H75" s="259">
        <f t="shared" si="7"/>
        <v>396</v>
      </c>
      <c r="I75" s="259">
        <f t="shared" si="7"/>
        <v>498</v>
      </c>
      <c r="J75" s="351"/>
      <c r="K75" s="351"/>
      <c r="L75" s="351"/>
      <c r="M75" s="351"/>
      <c r="N75" s="351"/>
      <c r="O75" s="351"/>
      <c r="P75" s="351"/>
    </row>
    <row r="76" spans="1:16" s="11" customFormat="1" ht="20.100000000000001" customHeight="1">
      <c r="A76" s="131"/>
      <c r="B76" s="137"/>
      <c r="C76" s="138"/>
      <c r="D76" s="345"/>
      <c r="E76" s="346"/>
      <c r="F76" s="139"/>
      <c r="G76" s="139"/>
      <c r="H76" s="139"/>
      <c r="I76" s="139"/>
      <c r="J76" s="351"/>
      <c r="K76" s="351"/>
      <c r="L76" s="351"/>
      <c r="M76" s="351"/>
      <c r="N76" s="351"/>
      <c r="O76" s="351"/>
      <c r="P76" s="351"/>
    </row>
    <row r="77" spans="1:16" s="11" customFormat="1" ht="20.100000000000001" customHeight="1">
      <c r="A77" s="131"/>
      <c r="B77" s="137"/>
      <c r="C77" s="138"/>
      <c r="D77" s="346"/>
      <c r="E77" s="139"/>
      <c r="F77" s="139"/>
      <c r="G77" s="139"/>
      <c r="H77" s="139"/>
      <c r="I77" s="139"/>
      <c r="J77" s="351"/>
      <c r="K77" s="351"/>
      <c r="L77" s="351"/>
      <c r="M77" s="351"/>
      <c r="N77" s="351"/>
      <c r="O77" s="351"/>
      <c r="P77" s="351"/>
    </row>
    <row r="78" spans="1:16" s="11" customFormat="1" ht="20.100000000000001" customHeight="1">
      <c r="A78" s="131"/>
      <c r="B78" s="137"/>
      <c r="C78" s="138"/>
      <c r="D78" s="346"/>
      <c r="E78" s="139"/>
      <c r="F78" s="139"/>
      <c r="G78" s="139"/>
      <c r="H78" s="139"/>
      <c r="I78" s="139"/>
      <c r="J78" s="351"/>
      <c r="K78" s="351"/>
      <c r="L78" s="351"/>
      <c r="M78" s="351"/>
      <c r="N78" s="351"/>
      <c r="O78" s="351"/>
      <c r="P78" s="351"/>
    </row>
    <row r="79" spans="1:16" s="2" customFormat="1">
      <c r="A79" s="123" t="s">
        <v>397</v>
      </c>
      <c r="B79" s="124"/>
      <c r="C79" s="398" t="s">
        <v>104</v>
      </c>
      <c r="D79" s="399"/>
      <c r="E79" s="399"/>
      <c r="F79" s="125"/>
      <c r="G79" s="400" t="s">
        <v>398</v>
      </c>
      <c r="H79" s="400"/>
      <c r="I79" s="400"/>
      <c r="J79" s="296"/>
      <c r="K79" s="296"/>
      <c r="L79" s="296"/>
      <c r="M79" s="296"/>
      <c r="N79" s="296"/>
      <c r="O79" s="296"/>
      <c r="P79" s="296"/>
    </row>
    <row r="80" spans="1:16" ht="20.100000000000001" customHeight="1">
      <c r="A80" s="82" t="s">
        <v>367</v>
      </c>
      <c r="B80" s="95"/>
      <c r="C80" s="387" t="s">
        <v>70</v>
      </c>
      <c r="D80" s="387"/>
      <c r="E80" s="387"/>
      <c r="F80" s="126"/>
      <c r="G80" s="388" t="s">
        <v>100</v>
      </c>
      <c r="H80" s="388"/>
      <c r="I80" s="388"/>
    </row>
    <row r="81" spans="3:3">
      <c r="C81" s="3"/>
    </row>
    <row r="82" spans="3:3">
      <c r="C82" s="3"/>
    </row>
    <row r="83" spans="3:3">
      <c r="C83" s="3"/>
    </row>
    <row r="84" spans="3:3">
      <c r="C84" s="3"/>
    </row>
    <row r="85" spans="3:3">
      <c r="C85" s="3"/>
    </row>
    <row r="86" spans="3:3">
      <c r="C86" s="3"/>
    </row>
    <row r="87" spans="3:3">
      <c r="C87" s="3"/>
    </row>
    <row r="88" spans="3:3">
      <c r="C88" s="3"/>
    </row>
    <row r="89" spans="3:3">
      <c r="C89" s="3"/>
    </row>
    <row r="90" spans="3:3">
      <c r="C90" s="3"/>
    </row>
    <row r="91" spans="3:3">
      <c r="C91" s="3"/>
    </row>
    <row r="92" spans="3:3">
      <c r="C92" s="3"/>
    </row>
    <row r="93" spans="3:3">
      <c r="C93" s="3"/>
    </row>
    <row r="94" spans="3:3">
      <c r="C94" s="3"/>
    </row>
    <row r="95" spans="3:3">
      <c r="C95" s="3"/>
    </row>
    <row r="96" spans="3:3">
      <c r="C96" s="3"/>
    </row>
    <row r="97" spans="3:3">
      <c r="C97" s="3"/>
    </row>
    <row r="98" spans="3:3">
      <c r="C98" s="3"/>
    </row>
    <row r="99" spans="3:3">
      <c r="C99" s="3"/>
    </row>
    <row r="100" spans="3:3">
      <c r="C100" s="3"/>
    </row>
    <row r="101" spans="3:3">
      <c r="C101" s="3"/>
    </row>
    <row r="102" spans="3:3">
      <c r="C102" s="3"/>
    </row>
    <row r="103" spans="3:3">
      <c r="C103" s="3"/>
    </row>
    <row r="104" spans="3:3">
      <c r="C104" s="3"/>
    </row>
    <row r="105" spans="3:3">
      <c r="C105" s="3"/>
    </row>
    <row r="106" spans="3:3">
      <c r="C106" s="3"/>
    </row>
    <row r="107" spans="3:3">
      <c r="C107" s="3"/>
    </row>
    <row r="108" spans="3:3">
      <c r="C108" s="3"/>
    </row>
    <row r="109" spans="3:3">
      <c r="C109" s="3"/>
    </row>
    <row r="110" spans="3:3">
      <c r="C110" s="3"/>
    </row>
    <row r="111" spans="3:3">
      <c r="C111" s="3"/>
    </row>
  </sheetData>
  <sheetProtection password="C6FB" sheet="1" objects="1" scenarios="1" formatCells="0" formatColumns="0" formatRows="0" insertRows="0"/>
  <mergeCells count="14">
    <mergeCell ref="A1:I1"/>
    <mergeCell ref="A3:A4"/>
    <mergeCell ref="B3:B4"/>
    <mergeCell ref="C3:C4"/>
    <mergeCell ref="D3:D4"/>
    <mergeCell ref="E3:E4"/>
    <mergeCell ref="F3:I3"/>
    <mergeCell ref="C80:E80"/>
    <mergeCell ref="G80:I80"/>
    <mergeCell ref="A21:I21"/>
    <mergeCell ref="A6:I6"/>
    <mergeCell ref="A41:I41"/>
    <mergeCell ref="C79:E79"/>
    <mergeCell ref="G79:I79"/>
  </mergeCells>
  <phoneticPr fontId="3" type="noConversion"/>
  <pageMargins left="0.78740157480314965" right="0.39370078740157483" top="0.59055118110236227" bottom="0.59055118110236227" header="0.19685039370078741" footer="0.23622047244094491"/>
  <pageSetup paperSize="9" scale="5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P182"/>
  <sheetViews>
    <sheetView topLeftCell="A5" zoomScale="75" zoomScaleSheetLayoutView="50" workbookViewId="0">
      <selection activeCell="G15" sqref="G15:I15"/>
    </sheetView>
  </sheetViews>
  <sheetFormatPr defaultRowHeight="18.75"/>
  <cols>
    <col min="1" max="1" width="45" style="2" customWidth="1"/>
    <col min="2" max="2" width="11.7109375" style="21" customWidth="1"/>
    <col min="3" max="4" width="16" style="21" customWidth="1"/>
    <col min="5" max="5" width="15.28515625" style="21" customWidth="1"/>
    <col min="6" max="7" width="16.28515625" style="2" customWidth="1"/>
    <col min="8" max="8" width="15.85546875" style="2" customWidth="1"/>
    <col min="9" max="9" width="15.28515625" style="2" customWidth="1"/>
    <col min="10" max="10" width="9.5703125" style="2" customWidth="1"/>
    <col min="11" max="11" width="9.85546875" style="2" customWidth="1"/>
    <col min="12" max="16384" width="9.140625" style="2"/>
  </cols>
  <sheetData>
    <row r="1" spans="1:16">
      <c r="A1" s="415" t="s">
        <v>208</v>
      </c>
      <c r="B1" s="415"/>
      <c r="C1" s="415"/>
      <c r="D1" s="415"/>
      <c r="E1" s="415"/>
      <c r="F1" s="415"/>
      <c r="G1" s="415"/>
      <c r="H1" s="415"/>
      <c r="I1" s="415"/>
    </row>
    <row r="2" spans="1:16">
      <c r="A2" s="452"/>
      <c r="B2" s="452"/>
      <c r="C2" s="452"/>
      <c r="D2" s="452"/>
      <c r="E2" s="452"/>
      <c r="F2" s="452"/>
      <c r="G2" s="452"/>
      <c r="H2" s="452"/>
      <c r="I2" s="452"/>
    </row>
    <row r="3" spans="1:16" ht="43.5" customHeight="1">
      <c r="A3" s="444" t="s">
        <v>254</v>
      </c>
      <c r="B3" s="448" t="s">
        <v>18</v>
      </c>
      <c r="C3" s="448" t="s">
        <v>31</v>
      </c>
      <c r="D3" s="448" t="s">
        <v>39</v>
      </c>
      <c r="E3" s="447" t="s">
        <v>163</v>
      </c>
      <c r="F3" s="448" t="s">
        <v>347</v>
      </c>
      <c r="G3" s="448"/>
      <c r="H3" s="448"/>
      <c r="I3" s="448"/>
    </row>
    <row r="4" spans="1:16" ht="56.25" customHeight="1">
      <c r="A4" s="444"/>
      <c r="B4" s="448"/>
      <c r="C4" s="448"/>
      <c r="D4" s="448"/>
      <c r="E4" s="447"/>
      <c r="F4" s="10" t="s">
        <v>356</v>
      </c>
      <c r="G4" s="10" t="s">
        <v>349</v>
      </c>
      <c r="H4" s="10" t="s">
        <v>350</v>
      </c>
      <c r="I4" s="10" t="s">
        <v>71</v>
      </c>
    </row>
    <row r="5" spans="1:16" ht="18" customHeight="1">
      <c r="A5" s="5">
        <v>1</v>
      </c>
      <c r="B5" s="6">
        <v>2</v>
      </c>
      <c r="C5" s="260">
        <v>3</v>
      </c>
      <c r="D5" s="260">
        <v>4</v>
      </c>
      <c r="E5" s="260">
        <v>5</v>
      </c>
      <c r="F5" s="260">
        <v>6</v>
      </c>
      <c r="G5" s="260">
        <v>7</v>
      </c>
      <c r="H5" s="260">
        <v>8</v>
      </c>
      <c r="I5" s="260">
        <v>9</v>
      </c>
    </row>
    <row r="6" spans="1:16" s="4" customFormat="1" ht="42.75" customHeight="1">
      <c r="A6" s="7" t="s">
        <v>73</v>
      </c>
      <c r="B6" s="64">
        <v>4000</v>
      </c>
      <c r="C6" s="258">
        <f t="shared" ref="C6:I6" si="0">SUM(C7:C11)</f>
        <v>0</v>
      </c>
      <c r="D6" s="258">
        <f t="shared" si="0"/>
        <v>0</v>
      </c>
      <c r="E6" s="258">
        <f t="shared" si="0"/>
        <v>0</v>
      </c>
      <c r="F6" s="258">
        <f t="shared" si="0"/>
        <v>0</v>
      </c>
      <c r="G6" s="258">
        <f t="shared" si="0"/>
        <v>0</v>
      </c>
      <c r="H6" s="258">
        <f t="shared" si="0"/>
        <v>0</v>
      </c>
      <c r="I6" s="258">
        <f t="shared" si="0"/>
        <v>0</v>
      </c>
    </row>
    <row r="7" spans="1:16" ht="20.100000000000001" customHeight="1">
      <c r="A7" s="7" t="s">
        <v>1</v>
      </c>
      <c r="B7" s="65" t="s">
        <v>218</v>
      </c>
      <c r="C7" s="172"/>
      <c r="D7" s="172"/>
      <c r="E7" s="172"/>
      <c r="F7" s="172"/>
      <c r="G7" s="172"/>
      <c r="H7" s="172"/>
      <c r="I7" s="172"/>
    </row>
    <row r="8" spans="1:16" ht="37.5">
      <c r="A8" s="7" t="s">
        <v>2</v>
      </c>
      <c r="B8" s="64">
        <v>4020</v>
      </c>
      <c r="C8" s="172"/>
      <c r="D8" s="172"/>
      <c r="E8" s="172"/>
      <c r="F8" s="172"/>
      <c r="G8" s="172"/>
      <c r="H8" s="172"/>
      <c r="I8" s="172"/>
      <c r="P8" s="17"/>
    </row>
    <row r="9" spans="1:16" ht="37.5">
      <c r="A9" s="7" t="s">
        <v>30</v>
      </c>
      <c r="B9" s="65">
        <v>4030</v>
      </c>
      <c r="C9" s="172"/>
      <c r="D9" s="172"/>
      <c r="E9" s="172"/>
      <c r="F9" s="172"/>
      <c r="G9" s="172"/>
      <c r="H9" s="172"/>
      <c r="I9" s="172"/>
      <c r="O9" s="17"/>
    </row>
    <row r="10" spans="1:16" ht="37.5">
      <c r="A10" s="7" t="s">
        <v>3</v>
      </c>
      <c r="B10" s="64">
        <v>4040</v>
      </c>
      <c r="C10" s="172"/>
      <c r="D10" s="172"/>
      <c r="E10" s="172"/>
      <c r="F10" s="172"/>
      <c r="G10" s="172"/>
      <c r="H10" s="172"/>
      <c r="I10" s="172"/>
    </row>
    <row r="11" spans="1:16" ht="56.25">
      <c r="A11" s="7" t="s">
        <v>60</v>
      </c>
      <c r="B11" s="65">
        <v>4050</v>
      </c>
      <c r="C11" s="172"/>
      <c r="D11" s="172"/>
      <c r="E11" s="172"/>
      <c r="F11" s="172"/>
      <c r="G11" s="172"/>
      <c r="H11" s="172"/>
      <c r="I11" s="172"/>
    </row>
    <row r="12" spans="1:16" ht="20.100000000000001" customHeight="1">
      <c r="A12" s="95"/>
      <c r="B12" s="95"/>
      <c r="C12" s="95"/>
      <c r="D12" s="95"/>
      <c r="E12" s="95"/>
      <c r="F12" s="140"/>
      <c r="G12" s="140"/>
      <c r="H12" s="140"/>
      <c r="I12" s="140"/>
    </row>
    <row r="13" spans="1:16" ht="20.100000000000001" customHeight="1">
      <c r="A13" s="95"/>
      <c r="B13" s="95"/>
      <c r="C13" s="95"/>
      <c r="D13" s="95"/>
      <c r="E13" s="95"/>
      <c r="F13" s="140"/>
      <c r="G13" s="140"/>
      <c r="H13" s="140"/>
      <c r="I13" s="140"/>
    </row>
    <row r="14" spans="1:16" s="1" customFormat="1">
      <c r="A14" s="116"/>
      <c r="B14" s="131"/>
      <c r="C14" s="95"/>
      <c r="D14" s="95"/>
      <c r="E14" s="95"/>
      <c r="F14" s="95"/>
      <c r="G14" s="95"/>
      <c r="H14" s="95"/>
      <c r="I14" s="95"/>
      <c r="J14" s="2"/>
    </row>
    <row r="15" spans="1:16">
      <c r="A15" s="123" t="s">
        <v>397</v>
      </c>
      <c r="B15" s="124"/>
      <c r="C15" s="398" t="s">
        <v>104</v>
      </c>
      <c r="D15" s="399"/>
      <c r="E15" s="399"/>
      <c r="F15" s="125"/>
      <c r="G15" s="400" t="s">
        <v>398</v>
      </c>
      <c r="H15" s="400"/>
      <c r="I15" s="400"/>
    </row>
    <row r="16" spans="1:16" s="1" customFormat="1" ht="20.100000000000001" customHeight="1">
      <c r="A16" s="96" t="s">
        <v>69</v>
      </c>
      <c r="B16" s="95"/>
      <c r="C16" s="387" t="s">
        <v>70</v>
      </c>
      <c r="D16" s="387"/>
      <c r="E16" s="387"/>
      <c r="F16" s="126"/>
      <c r="G16" s="388" t="s">
        <v>100</v>
      </c>
      <c r="H16" s="388"/>
      <c r="I16" s="388"/>
    </row>
    <row r="17" spans="1:9">
      <c r="A17" s="141"/>
      <c r="B17" s="96"/>
      <c r="C17" s="96"/>
      <c r="D17" s="96"/>
      <c r="E17" s="96"/>
      <c r="F17" s="95"/>
      <c r="G17" s="95"/>
      <c r="H17" s="95"/>
      <c r="I17" s="95"/>
    </row>
    <row r="18" spans="1:9">
      <c r="A18" s="141"/>
      <c r="B18" s="96"/>
      <c r="C18" s="96"/>
      <c r="D18" s="96"/>
      <c r="E18" s="96"/>
      <c r="F18" s="95"/>
      <c r="G18" s="95"/>
      <c r="H18" s="95"/>
      <c r="I18" s="95"/>
    </row>
    <row r="19" spans="1:9">
      <c r="A19" s="42"/>
    </row>
    <row r="20" spans="1:9">
      <c r="A20" s="42"/>
    </row>
    <row r="21" spans="1:9">
      <c r="A21" s="42"/>
    </row>
    <row r="22" spans="1:9">
      <c r="A22" s="42"/>
    </row>
    <row r="23" spans="1:9">
      <c r="A23" s="42"/>
    </row>
    <row r="24" spans="1:9">
      <c r="A24" s="42"/>
    </row>
    <row r="25" spans="1:9">
      <c r="A25" s="42"/>
    </row>
    <row r="26" spans="1:9">
      <c r="A26" s="42"/>
    </row>
    <row r="27" spans="1:9">
      <c r="A27" s="42"/>
    </row>
    <row r="28" spans="1:9">
      <c r="A28" s="42"/>
    </row>
    <row r="29" spans="1:9">
      <c r="A29" s="42"/>
    </row>
    <row r="30" spans="1:9">
      <c r="A30" s="42"/>
    </row>
    <row r="31" spans="1:9">
      <c r="A31" s="42"/>
    </row>
    <row r="32" spans="1:9">
      <c r="A32" s="42"/>
    </row>
    <row r="33" spans="1:1">
      <c r="A33" s="42"/>
    </row>
    <row r="34" spans="1:1">
      <c r="A34" s="42"/>
    </row>
    <row r="35" spans="1:1">
      <c r="A35" s="42"/>
    </row>
    <row r="36" spans="1:1">
      <c r="A36" s="42"/>
    </row>
    <row r="37" spans="1:1">
      <c r="A37" s="42"/>
    </row>
    <row r="38" spans="1:1">
      <c r="A38" s="42"/>
    </row>
    <row r="39" spans="1:1">
      <c r="A39" s="42"/>
    </row>
    <row r="40" spans="1:1">
      <c r="A40" s="42"/>
    </row>
    <row r="41" spans="1:1">
      <c r="A41" s="42"/>
    </row>
    <row r="42" spans="1:1">
      <c r="A42" s="42"/>
    </row>
    <row r="43" spans="1:1">
      <c r="A43" s="42"/>
    </row>
    <row r="44" spans="1:1">
      <c r="A44" s="42"/>
    </row>
    <row r="45" spans="1:1">
      <c r="A45" s="42"/>
    </row>
    <row r="46" spans="1:1">
      <c r="A46" s="42"/>
    </row>
    <row r="47" spans="1:1">
      <c r="A47" s="42"/>
    </row>
    <row r="48" spans="1:1">
      <c r="A48" s="42"/>
    </row>
    <row r="49" spans="1:1">
      <c r="A49" s="42"/>
    </row>
    <row r="50" spans="1:1">
      <c r="A50" s="42"/>
    </row>
    <row r="51" spans="1:1">
      <c r="A51" s="42"/>
    </row>
    <row r="52" spans="1:1">
      <c r="A52" s="42"/>
    </row>
    <row r="53" spans="1:1">
      <c r="A53" s="42"/>
    </row>
    <row r="54" spans="1:1">
      <c r="A54" s="42"/>
    </row>
    <row r="55" spans="1:1">
      <c r="A55" s="42"/>
    </row>
    <row r="56" spans="1:1">
      <c r="A56" s="42"/>
    </row>
    <row r="57" spans="1:1">
      <c r="A57" s="42"/>
    </row>
    <row r="58" spans="1:1">
      <c r="A58" s="42"/>
    </row>
    <row r="59" spans="1:1">
      <c r="A59" s="42"/>
    </row>
    <row r="60" spans="1:1">
      <c r="A60" s="42"/>
    </row>
    <row r="61" spans="1:1">
      <c r="A61" s="42"/>
    </row>
    <row r="62" spans="1:1">
      <c r="A62" s="42"/>
    </row>
    <row r="63" spans="1:1">
      <c r="A63" s="42"/>
    </row>
    <row r="64" spans="1:1">
      <c r="A64" s="42"/>
    </row>
    <row r="65" spans="1:1">
      <c r="A65" s="42"/>
    </row>
    <row r="66" spans="1:1">
      <c r="A66" s="42"/>
    </row>
    <row r="67" spans="1:1">
      <c r="A67" s="42"/>
    </row>
    <row r="68" spans="1:1">
      <c r="A68" s="42"/>
    </row>
    <row r="69" spans="1:1">
      <c r="A69" s="42"/>
    </row>
    <row r="70" spans="1:1">
      <c r="A70" s="42"/>
    </row>
    <row r="71" spans="1:1">
      <c r="A71" s="42"/>
    </row>
    <row r="72" spans="1:1">
      <c r="A72" s="42"/>
    </row>
    <row r="73" spans="1:1">
      <c r="A73" s="42"/>
    </row>
    <row r="74" spans="1:1">
      <c r="A74" s="42"/>
    </row>
    <row r="75" spans="1:1">
      <c r="A75" s="42"/>
    </row>
    <row r="76" spans="1:1">
      <c r="A76" s="42"/>
    </row>
    <row r="77" spans="1:1">
      <c r="A77" s="42"/>
    </row>
    <row r="78" spans="1:1">
      <c r="A78" s="42"/>
    </row>
    <row r="79" spans="1:1">
      <c r="A79" s="42"/>
    </row>
    <row r="80" spans="1:1">
      <c r="A80" s="42"/>
    </row>
    <row r="81" spans="1:1">
      <c r="A81" s="42"/>
    </row>
    <row r="82" spans="1:1">
      <c r="A82" s="42"/>
    </row>
    <row r="83" spans="1:1">
      <c r="A83" s="42"/>
    </row>
    <row r="84" spans="1:1">
      <c r="A84" s="42"/>
    </row>
    <row r="85" spans="1:1">
      <c r="A85" s="42"/>
    </row>
    <row r="86" spans="1:1">
      <c r="A86" s="42"/>
    </row>
    <row r="87" spans="1:1">
      <c r="A87" s="42"/>
    </row>
    <row r="88" spans="1:1">
      <c r="A88" s="42"/>
    </row>
    <row r="89" spans="1:1">
      <c r="A89" s="42"/>
    </row>
    <row r="90" spans="1:1">
      <c r="A90" s="42"/>
    </row>
    <row r="91" spans="1:1">
      <c r="A91" s="42"/>
    </row>
    <row r="92" spans="1:1">
      <c r="A92" s="42"/>
    </row>
    <row r="93" spans="1:1">
      <c r="A93" s="42"/>
    </row>
    <row r="94" spans="1:1">
      <c r="A94" s="42"/>
    </row>
    <row r="95" spans="1:1">
      <c r="A95" s="42"/>
    </row>
    <row r="96" spans="1:1">
      <c r="A96" s="42"/>
    </row>
    <row r="97" spans="1:1">
      <c r="A97" s="42"/>
    </row>
    <row r="98" spans="1:1">
      <c r="A98" s="42"/>
    </row>
    <row r="99" spans="1:1">
      <c r="A99" s="42"/>
    </row>
    <row r="100" spans="1:1">
      <c r="A100" s="42"/>
    </row>
    <row r="101" spans="1:1">
      <c r="A101" s="42"/>
    </row>
    <row r="102" spans="1:1">
      <c r="A102" s="42"/>
    </row>
    <row r="103" spans="1:1">
      <c r="A103" s="42"/>
    </row>
    <row r="104" spans="1:1">
      <c r="A104" s="42"/>
    </row>
    <row r="105" spans="1:1">
      <c r="A105" s="42"/>
    </row>
    <row r="106" spans="1:1">
      <c r="A106" s="42"/>
    </row>
    <row r="107" spans="1:1">
      <c r="A107" s="42"/>
    </row>
    <row r="108" spans="1:1">
      <c r="A108" s="42"/>
    </row>
    <row r="109" spans="1:1">
      <c r="A109" s="42"/>
    </row>
    <row r="110" spans="1:1">
      <c r="A110" s="42"/>
    </row>
    <row r="111" spans="1:1">
      <c r="A111" s="42"/>
    </row>
    <row r="112" spans="1:1">
      <c r="A112" s="42"/>
    </row>
    <row r="113" spans="1:1">
      <c r="A113" s="42"/>
    </row>
    <row r="114" spans="1:1">
      <c r="A114" s="42"/>
    </row>
    <row r="115" spans="1:1">
      <c r="A115" s="42"/>
    </row>
    <row r="116" spans="1:1">
      <c r="A116" s="42"/>
    </row>
    <row r="117" spans="1:1">
      <c r="A117" s="42"/>
    </row>
    <row r="118" spans="1:1">
      <c r="A118" s="42"/>
    </row>
    <row r="119" spans="1:1">
      <c r="A119" s="42"/>
    </row>
    <row r="120" spans="1:1">
      <c r="A120" s="42"/>
    </row>
    <row r="121" spans="1:1">
      <c r="A121" s="42"/>
    </row>
    <row r="122" spans="1:1">
      <c r="A122" s="42"/>
    </row>
    <row r="123" spans="1:1">
      <c r="A123" s="42"/>
    </row>
    <row r="124" spans="1:1">
      <c r="A124" s="42"/>
    </row>
    <row r="125" spans="1:1">
      <c r="A125" s="42"/>
    </row>
    <row r="126" spans="1:1">
      <c r="A126" s="42"/>
    </row>
    <row r="127" spans="1:1">
      <c r="A127" s="42"/>
    </row>
    <row r="128" spans="1:1">
      <c r="A128" s="42"/>
    </row>
    <row r="129" spans="1:1">
      <c r="A129" s="42"/>
    </row>
    <row r="130" spans="1:1">
      <c r="A130" s="42"/>
    </row>
    <row r="131" spans="1:1">
      <c r="A131" s="42"/>
    </row>
    <row r="132" spans="1:1">
      <c r="A132" s="42"/>
    </row>
    <row r="133" spans="1:1">
      <c r="A133" s="42"/>
    </row>
    <row r="134" spans="1:1">
      <c r="A134" s="42"/>
    </row>
    <row r="135" spans="1:1">
      <c r="A135" s="42"/>
    </row>
    <row r="136" spans="1:1">
      <c r="A136" s="42"/>
    </row>
    <row r="137" spans="1:1">
      <c r="A137" s="42"/>
    </row>
    <row r="138" spans="1:1">
      <c r="A138" s="42"/>
    </row>
    <row r="139" spans="1:1">
      <c r="A139" s="42"/>
    </row>
    <row r="140" spans="1:1">
      <c r="A140" s="42"/>
    </row>
    <row r="141" spans="1:1">
      <c r="A141" s="42"/>
    </row>
    <row r="142" spans="1:1">
      <c r="A142" s="42"/>
    </row>
    <row r="143" spans="1:1">
      <c r="A143" s="42"/>
    </row>
    <row r="144" spans="1:1">
      <c r="A144" s="42"/>
    </row>
    <row r="145" spans="1:1">
      <c r="A145" s="42"/>
    </row>
    <row r="146" spans="1:1">
      <c r="A146" s="42"/>
    </row>
    <row r="147" spans="1:1">
      <c r="A147" s="42"/>
    </row>
    <row r="148" spans="1:1">
      <c r="A148" s="42"/>
    </row>
    <row r="149" spans="1:1">
      <c r="A149" s="42"/>
    </row>
    <row r="150" spans="1:1">
      <c r="A150" s="42"/>
    </row>
    <row r="151" spans="1:1">
      <c r="A151" s="42"/>
    </row>
    <row r="152" spans="1:1">
      <c r="A152" s="42"/>
    </row>
    <row r="153" spans="1:1">
      <c r="A153" s="42"/>
    </row>
    <row r="154" spans="1:1">
      <c r="A154" s="42"/>
    </row>
    <row r="155" spans="1:1">
      <c r="A155" s="42"/>
    </row>
    <row r="156" spans="1:1">
      <c r="A156" s="42"/>
    </row>
    <row r="157" spans="1:1">
      <c r="A157" s="42"/>
    </row>
    <row r="158" spans="1:1">
      <c r="A158" s="42"/>
    </row>
    <row r="159" spans="1:1">
      <c r="A159" s="42"/>
    </row>
    <row r="160" spans="1:1">
      <c r="A160" s="42"/>
    </row>
    <row r="161" spans="1:1">
      <c r="A161" s="42"/>
    </row>
    <row r="162" spans="1:1">
      <c r="A162" s="42"/>
    </row>
    <row r="163" spans="1:1">
      <c r="A163" s="42"/>
    </row>
    <row r="164" spans="1:1">
      <c r="A164" s="42"/>
    </row>
    <row r="165" spans="1:1">
      <c r="A165" s="42"/>
    </row>
    <row r="166" spans="1:1">
      <c r="A166" s="42"/>
    </row>
    <row r="167" spans="1:1">
      <c r="A167" s="42"/>
    </row>
    <row r="168" spans="1:1">
      <c r="A168" s="42"/>
    </row>
    <row r="169" spans="1:1">
      <c r="A169" s="42"/>
    </row>
    <row r="170" spans="1:1">
      <c r="A170" s="42"/>
    </row>
    <row r="171" spans="1:1">
      <c r="A171" s="42"/>
    </row>
    <row r="172" spans="1:1">
      <c r="A172" s="42"/>
    </row>
    <row r="173" spans="1:1">
      <c r="A173" s="42"/>
    </row>
    <row r="174" spans="1:1">
      <c r="A174" s="42"/>
    </row>
    <row r="175" spans="1:1">
      <c r="A175" s="42"/>
    </row>
    <row r="176" spans="1:1">
      <c r="A176" s="42"/>
    </row>
    <row r="177" spans="1:1">
      <c r="A177" s="42"/>
    </row>
    <row r="178" spans="1:1">
      <c r="A178" s="42"/>
    </row>
    <row r="179" spans="1:1">
      <c r="A179" s="42"/>
    </row>
    <row r="180" spans="1:1">
      <c r="A180" s="42"/>
    </row>
    <row r="181" spans="1:1">
      <c r="A181" s="42"/>
    </row>
    <row r="182" spans="1:1">
      <c r="A182" s="42"/>
    </row>
  </sheetData>
  <sheetProtection password="C6FB" sheet="1" formatCells="0" formatColumns="0" formatRows="0"/>
  <mergeCells count="12">
    <mergeCell ref="C15:E15"/>
    <mergeCell ref="G15:I15"/>
    <mergeCell ref="C16:E16"/>
    <mergeCell ref="G16:I16"/>
    <mergeCell ref="A1:I1"/>
    <mergeCell ref="B3:B4"/>
    <mergeCell ref="C3:C4"/>
    <mergeCell ref="D3:D4"/>
    <mergeCell ref="A2:I2"/>
    <mergeCell ref="F3:I3"/>
    <mergeCell ref="E3:E4"/>
    <mergeCell ref="A3:A4"/>
  </mergeCells>
  <phoneticPr fontId="0" type="noConversion"/>
  <pageMargins left="0.78740157480314965" right="0.39370078740157483" top="0.59055118110236227" bottom="0.59055118110236227" header="0.27559055118110237" footer="0.31496062992125984"/>
  <pageSetup paperSize="9" scale="50" firstPageNumber="9" orientation="portrait" useFirstPageNumber="1" r:id="rId1"/>
  <headerFooter alignWithMargins="0"/>
  <ignoredErrors>
    <ignoredError sqref="B7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J31"/>
  <sheetViews>
    <sheetView zoomScale="75" zoomScaleNormal="75" zoomScaleSheetLayoutView="75" workbookViewId="0">
      <pane ySplit="5" topLeftCell="A22" activePane="bottomLeft" state="frozen"/>
      <selection pane="bottomLeft" activeCell="H25" sqref="H25"/>
    </sheetView>
  </sheetViews>
  <sheetFormatPr defaultRowHeight="12.75"/>
  <cols>
    <col min="1" max="1" width="44" style="26" customWidth="1"/>
    <col min="2" max="2" width="11.140625" style="26" customWidth="1"/>
    <col min="3" max="3" width="15" style="26" customWidth="1"/>
    <col min="4" max="4" width="14.140625" style="26" customWidth="1"/>
    <col min="5" max="5" width="14.5703125" style="239" customWidth="1"/>
    <col min="6" max="7" width="15.28515625" style="26" customWidth="1"/>
    <col min="8" max="8" width="37.42578125" style="26" customWidth="1"/>
    <col min="9" max="9" width="9.5703125" style="26" customWidth="1"/>
    <col min="10" max="16384" width="9.140625" style="26"/>
  </cols>
  <sheetData>
    <row r="1" spans="1:8" ht="25.5" customHeight="1">
      <c r="A1" s="453" t="s">
        <v>210</v>
      </c>
      <c r="B1" s="453"/>
      <c r="C1" s="453"/>
      <c r="D1" s="453"/>
      <c r="E1" s="453"/>
      <c r="F1" s="453"/>
      <c r="G1" s="453"/>
      <c r="H1" s="453"/>
    </row>
    <row r="2" spans="1:8" ht="0.75" customHeight="1"/>
    <row r="3" spans="1:8" ht="45" customHeight="1">
      <c r="A3" s="454" t="s">
        <v>254</v>
      </c>
      <c r="B3" s="454" t="s">
        <v>0</v>
      </c>
      <c r="C3" s="454" t="s">
        <v>95</v>
      </c>
      <c r="D3" s="454" t="s">
        <v>31</v>
      </c>
      <c r="E3" s="456" t="s">
        <v>96</v>
      </c>
      <c r="F3" s="458" t="s">
        <v>163</v>
      </c>
      <c r="G3" s="454" t="s">
        <v>97</v>
      </c>
      <c r="H3" s="454" t="s">
        <v>98</v>
      </c>
    </row>
    <row r="4" spans="1:8" ht="62.25" customHeight="1">
      <c r="A4" s="455"/>
      <c r="B4" s="455"/>
      <c r="C4" s="455"/>
      <c r="D4" s="455"/>
      <c r="E4" s="457"/>
      <c r="F4" s="459"/>
      <c r="G4" s="455"/>
      <c r="H4" s="455"/>
    </row>
    <row r="5" spans="1:8" s="54" customFormat="1" ht="18" customHeight="1">
      <c r="A5" s="34">
        <v>1</v>
      </c>
      <c r="B5" s="34">
        <v>2</v>
      </c>
      <c r="C5" s="34">
        <v>3</v>
      </c>
      <c r="D5" s="287">
        <v>4</v>
      </c>
      <c r="E5" s="287">
        <v>5</v>
      </c>
      <c r="F5" s="240">
        <v>6</v>
      </c>
      <c r="G5" s="240">
        <v>7</v>
      </c>
      <c r="H5" s="34">
        <v>8</v>
      </c>
    </row>
    <row r="6" spans="1:8" s="54" customFormat="1" ht="20.100000000000001" customHeight="1">
      <c r="A6" s="66" t="s">
        <v>183</v>
      </c>
      <c r="B6" s="53"/>
      <c r="C6" s="34"/>
      <c r="D6" s="240"/>
      <c r="E6" s="240"/>
      <c r="F6" s="240"/>
      <c r="G6" s="240"/>
      <c r="H6" s="34"/>
    </row>
    <row r="7" spans="1:8" ht="93.75">
      <c r="A7" s="7" t="s">
        <v>332</v>
      </c>
      <c r="B7" s="6">
        <v>5000</v>
      </c>
      <c r="C7" s="68" t="s">
        <v>320</v>
      </c>
      <c r="D7" s="261">
        <f>'Осн. фін. пок.'!C40*100/'Осн. фін. пок.'!C38</f>
        <v>27.108686529584556</v>
      </c>
      <c r="E7" s="241">
        <v>15.17</v>
      </c>
      <c r="F7" s="261">
        <f>'Осн. фін. пок.'!F40*100/'Осн. фін. пок.'!F38</f>
        <v>8.4656084656084651</v>
      </c>
      <c r="G7" s="261">
        <f>'Осн. фін. пок.'!E40*100/'Осн. фін. пок.'!E38</f>
        <v>34.755244755244753</v>
      </c>
      <c r="H7" s="76"/>
    </row>
    <row r="8" spans="1:8" ht="93.75">
      <c r="A8" s="7" t="s">
        <v>333</v>
      </c>
      <c r="B8" s="6">
        <v>5010</v>
      </c>
      <c r="C8" s="68" t="s">
        <v>320</v>
      </c>
      <c r="D8" s="261">
        <f>'Осн. фін. пок.'!C45*100/'Осн. фін. пок.'!C38</f>
        <v>7.4695761644985312</v>
      </c>
      <c r="E8" s="241">
        <v>4.6500000000000004</v>
      </c>
      <c r="F8" s="261">
        <f>'Осн. фін. пок.'!F45*100/'Осн. фін. пок.'!F38</f>
        <v>-31.428571428571434</v>
      </c>
      <c r="G8" s="261">
        <f>'Осн. фін. пок.'!E45*100/'Осн. фін. пок.'!E38</f>
        <v>13.671328671328672</v>
      </c>
      <c r="H8" s="76"/>
    </row>
    <row r="9" spans="1:8" ht="75">
      <c r="A9" s="77" t="s">
        <v>339</v>
      </c>
      <c r="B9" s="6">
        <v>5020</v>
      </c>
      <c r="C9" s="68" t="s">
        <v>320</v>
      </c>
      <c r="D9" s="261">
        <f>'Осн. фін. пок.'!C51/'Осн. фін. пок.'!C77</f>
        <v>7.9613095238095233E-2</v>
      </c>
      <c r="E9" s="241">
        <v>2E-3</v>
      </c>
      <c r="F9" s="261">
        <f>'Осн. фін. пок.'!F51/'Осн. фін. пок.'!F77</f>
        <v>-0.31094890510948908</v>
      </c>
      <c r="G9" s="261">
        <f>'Осн. фін. пок.'!E51/'Осн. фін. пок.'!E77</f>
        <v>0.23636363636363636</v>
      </c>
      <c r="H9" s="76" t="s">
        <v>321</v>
      </c>
    </row>
    <row r="10" spans="1:8" ht="93.75">
      <c r="A10" s="77" t="s">
        <v>340</v>
      </c>
      <c r="B10" s="6">
        <v>5030</v>
      </c>
      <c r="C10" s="68" t="s">
        <v>320</v>
      </c>
      <c r="D10" s="261">
        <f>'Осн. фін. пок.'!C51/'Осн. фін. пок.'!C83</f>
        <v>0.20656370656370657</v>
      </c>
      <c r="E10" s="241">
        <v>2E-3</v>
      </c>
      <c r="F10" s="261">
        <f>'Осн. фін. пок.'!F51/'Осн. фін. пок.'!F83</f>
        <v>-0.97557251908396958</v>
      </c>
      <c r="G10" s="261">
        <f>'Осн. фін. пок.'!E51/'Осн. фін. пок.'!E83</f>
        <v>0.79665738161559885</v>
      </c>
      <c r="H10" s="76"/>
    </row>
    <row r="11" spans="1:8" ht="112.5">
      <c r="A11" s="77" t="s">
        <v>341</v>
      </c>
      <c r="B11" s="6">
        <v>5040</v>
      </c>
      <c r="C11" s="68" t="s">
        <v>99</v>
      </c>
      <c r="D11" s="261">
        <f>'Осн. фін. пок.'!C51/'Осн. фін. пок.'!C38</f>
        <v>4.4901384809064207E-2</v>
      </c>
      <c r="E11" s="241">
        <v>0.01</v>
      </c>
      <c r="F11" s="261">
        <f>'Осн. фін. пок.'!F51/'Осн. фін. пок.'!F38</f>
        <v>-0.33809523809523812</v>
      </c>
      <c r="G11" s="261">
        <f>'Осн. фін. пок.'!E51/'Осн. фін. пок.'!E38</f>
        <v>0.1</v>
      </c>
      <c r="H11" s="76" t="s">
        <v>322</v>
      </c>
    </row>
    <row r="12" spans="1:8" ht="20.100000000000001" customHeight="1">
      <c r="A12" s="66" t="s">
        <v>185</v>
      </c>
      <c r="B12" s="6"/>
      <c r="C12" s="69"/>
      <c r="D12" s="262"/>
      <c r="E12" s="242"/>
      <c r="F12" s="262"/>
      <c r="G12" s="262"/>
      <c r="H12" s="76"/>
    </row>
    <row r="13" spans="1:8" ht="93.75">
      <c r="A13" s="67" t="s">
        <v>290</v>
      </c>
      <c r="B13" s="6">
        <v>5100</v>
      </c>
      <c r="C13" s="68"/>
      <c r="D13" s="261">
        <f>('Осн. фін. пок.'!C78+'Осн. фін. пок.'!C79)/'Осн. фін. пок.'!C45</f>
        <v>4.6404494382022472</v>
      </c>
      <c r="E13" s="241">
        <v>1.07</v>
      </c>
      <c r="F13" s="261">
        <f>('Осн. фін. пок.'!F78+'Осн. фін. пок.'!F79)/'Осн. фін. пок.'!F45</f>
        <v>-2.3569023569023568</v>
      </c>
      <c r="G13" s="261">
        <f>('Осн. фін. пок.'!E78+'Осн. фін. пок.'!E79)/'Осн. фін. пок.'!E45</f>
        <v>2.1764705882352939</v>
      </c>
      <c r="H13" s="76"/>
    </row>
    <row r="14" spans="1:8" s="54" customFormat="1" ht="93.75">
      <c r="A14" s="67" t="s">
        <v>291</v>
      </c>
      <c r="B14" s="6">
        <v>5110</v>
      </c>
      <c r="C14" s="68" t="s">
        <v>172</v>
      </c>
      <c r="D14" s="261">
        <f>'Осн. фін. пок.'!C83/('Осн. фін. пок.'!C78+'Осн. фін. пок.'!C79)</f>
        <v>0.6271186440677966</v>
      </c>
      <c r="E14" s="241">
        <v>77.62</v>
      </c>
      <c r="F14" s="261">
        <f>'Осн. фін. пок.'!F83/('Осн. фін. пок.'!F78+'Осн. фін. пок.'!F79)</f>
        <v>0.46785714285714286</v>
      </c>
      <c r="G14" s="261">
        <f>'Осн. фін. пок.'!E83/('Осн. фін. пок.'!E78+'Осн. фін. пок.'!E79)</f>
        <v>0.42185663924794359</v>
      </c>
      <c r="H14" s="76" t="s">
        <v>323</v>
      </c>
    </row>
    <row r="15" spans="1:8" s="54" customFormat="1" ht="112.5">
      <c r="A15" s="67" t="s">
        <v>292</v>
      </c>
      <c r="B15" s="6">
        <v>5120</v>
      </c>
      <c r="C15" s="68" t="s">
        <v>172</v>
      </c>
      <c r="D15" s="261">
        <f>'Осн. фін. пок.'!C75/'Осн. фін. пок.'!C79</f>
        <v>0.35956416464891039</v>
      </c>
      <c r="E15" s="241">
        <v>13.24</v>
      </c>
      <c r="F15" s="261">
        <f>'Осн. фін. пок.'!F75/'Осн. фін. пок.'!F79</f>
        <v>7.857142857142857E-2</v>
      </c>
      <c r="G15" s="261">
        <f>'Осн. фін. пок.'!E75/'Осн. фін. пок.'!E79</f>
        <v>0.97884841363102237</v>
      </c>
      <c r="H15" s="76" t="s">
        <v>325</v>
      </c>
    </row>
    <row r="16" spans="1:8" ht="20.100000000000001" customHeight="1">
      <c r="A16" s="66" t="s">
        <v>184</v>
      </c>
      <c r="B16" s="6"/>
      <c r="C16" s="68"/>
      <c r="D16" s="261"/>
      <c r="E16" s="241"/>
      <c r="F16" s="261"/>
      <c r="G16" s="261"/>
      <c r="H16" s="76"/>
    </row>
    <row r="17" spans="1:10" ht="56.25">
      <c r="A17" s="67" t="s">
        <v>293</v>
      </c>
      <c r="B17" s="6">
        <v>5200</v>
      </c>
      <c r="C17" s="68"/>
      <c r="D17" s="261">
        <f>'Осн. фін. пок.'!C68/'I. Фін результат'!C97</f>
        <v>0</v>
      </c>
      <c r="E17" s="241">
        <v>0</v>
      </c>
      <c r="F17" s="261">
        <f>'Осн. фін. пок.'!F68/'I. Фін результат'!E97</f>
        <v>0</v>
      </c>
      <c r="G17" s="261">
        <f>'Осн. фін. пок.'!E68/'I. Фін результат'!I97</f>
        <v>0</v>
      </c>
      <c r="H17" s="76"/>
    </row>
    <row r="18" spans="1:10" ht="93.75">
      <c r="A18" s="67" t="s">
        <v>294</v>
      </c>
      <c r="B18" s="6">
        <v>5210</v>
      </c>
      <c r="C18" s="68"/>
      <c r="D18" s="261">
        <f>'Осн. фін. пок.'!C68/'Осн. фін. пок.'!C38</f>
        <v>0</v>
      </c>
      <c r="E18" s="241">
        <v>0</v>
      </c>
      <c r="F18" s="261">
        <f>'Осн. фін. пок.'!F68/'Осн. фін. пок.'!F38</f>
        <v>0</v>
      </c>
      <c r="G18" s="261">
        <f>'Осн. фін. пок.'!E68/'Осн. фін. пок.'!E38</f>
        <v>0</v>
      </c>
      <c r="H18" s="76"/>
    </row>
    <row r="19" spans="1:10" ht="93.75">
      <c r="A19" s="67" t="s">
        <v>334</v>
      </c>
      <c r="B19" s="6">
        <v>5220</v>
      </c>
      <c r="C19" s="68" t="s">
        <v>320</v>
      </c>
      <c r="D19" s="241">
        <v>0.03</v>
      </c>
      <c r="E19" s="241">
        <v>0.16200000000000001</v>
      </c>
      <c r="F19" s="241">
        <v>0.16</v>
      </c>
      <c r="G19" s="241">
        <f>(71+'I. Фін результат'!I97)/(2436+'IV. Кап. інвестиції'!I6)</f>
        <v>0.19376026272577998</v>
      </c>
      <c r="H19" s="76" t="s">
        <v>324</v>
      </c>
    </row>
    <row r="20" spans="1:10" ht="20.100000000000001" customHeight="1">
      <c r="A20" s="53" t="s">
        <v>270</v>
      </c>
      <c r="B20" s="6"/>
      <c r="C20" s="68"/>
      <c r="D20" s="261"/>
      <c r="E20" s="241"/>
      <c r="F20" s="261"/>
      <c r="G20" s="261"/>
      <c r="H20" s="76"/>
    </row>
    <row r="21" spans="1:10" ht="153.75" customHeight="1">
      <c r="A21" s="77" t="s">
        <v>335</v>
      </c>
      <c r="B21" s="6">
        <v>5300</v>
      </c>
      <c r="C21" s="68"/>
      <c r="D21" s="241"/>
      <c r="E21" s="241"/>
      <c r="F21" s="241"/>
      <c r="G21" s="241"/>
      <c r="H21" s="142"/>
    </row>
    <row r="22" spans="1:10" ht="20.100000000000001" customHeight="1">
      <c r="A22" s="143"/>
      <c r="B22" s="143"/>
      <c r="C22" s="143"/>
      <c r="D22" s="143"/>
      <c r="E22" s="243"/>
      <c r="F22" s="143"/>
      <c r="G22" s="143"/>
      <c r="H22" s="143"/>
    </row>
    <row r="23" spans="1:10" ht="20.100000000000001" customHeight="1">
      <c r="A23" s="143"/>
      <c r="B23" s="143"/>
      <c r="C23" s="143"/>
      <c r="D23" s="143"/>
      <c r="E23" s="243"/>
      <c r="F23" s="143"/>
      <c r="G23" s="143"/>
      <c r="H23" s="143"/>
    </row>
    <row r="24" spans="1:10" ht="20.100000000000001" customHeight="1">
      <c r="A24" s="143"/>
      <c r="B24" s="143"/>
      <c r="C24" s="143"/>
      <c r="D24" s="143"/>
      <c r="E24" s="243"/>
      <c r="F24" s="143"/>
      <c r="G24" s="143"/>
      <c r="H24" s="143"/>
    </row>
    <row r="25" spans="1:10" s="2" customFormat="1" ht="20.100000000000001" customHeight="1">
      <c r="A25" s="123" t="s">
        <v>399</v>
      </c>
      <c r="B25" s="123"/>
      <c r="C25" s="124"/>
      <c r="D25" s="398" t="s">
        <v>104</v>
      </c>
      <c r="E25" s="399"/>
      <c r="F25" s="399"/>
      <c r="G25" s="399"/>
      <c r="H25" s="384" t="s">
        <v>398</v>
      </c>
    </row>
    <row r="26" spans="1:10" s="1" customFormat="1" ht="20.100000000000001" customHeight="1">
      <c r="A26" s="82" t="s">
        <v>250</v>
      </c>
      <c r="B26" s="144"/>
      <c r="C26" s="95"/>
      <c r="D26" s="387" t="s">
        <v>70</v>
      </c>
      <c r="E26" s="387"/>
      <c r="F26" s="387"/>
      <c r="G26" s="387"/>
      <c r="H26" s="131" t="s">
        <v>251</v>
      </c>
      <c r="I26" s="51"/>
      <c r="J26" s="51"/>
    </row>
    <row r="27" spans="1:10">
      <c r="A27" s="143"/>
      <c r="B27" s="143"/>
      <c r="C27" s="143"/>
      <c r="D27" s="143"/>
      <c r="E27" s="243"/>
      <c r="F27" s="143"/>
      <c r="G27" s="143"/>
      <c r="H27" s="143"/>
    </row>
    <row r="28" spans="1:10">
      <c r="A28" s="143"/>
      <c r="B28" s="143"/>
      <c r="C28" s="143"/>
      <c r="D28" s="143"/>
      <c r="E28" s="243"/>
      <c r="F28" s="143"/>
      <c r="G28" s="143"/>
      <c r="H28" s="143"/>
    </row>
    <row r="29" spans="1:10">
      <c r="A29" s="143"/>
      <c r="B29" s="143"/>
      <c r="C29" s="143"/>
      <c r="D29" s="143"/>
      <c r="E29" s="243"/>
      <c r="F29" s="143"/>
      <c r="G29" s="143"/>
      <c r="H29" s="143"/>
    </row>
    <row r="30" spans="1:10">
      <c r="A30" s="143"/>
      <c r="B30" s="143"/>
      <c r="C30" s="143"/>
      <c r="D30" s="143"/>
      <c r="E30" s="243"/>
      <c r="F30" s="143"/>
      <c r="G30" s="143"/>
      <c r="H30" s="143"/>
    </row>
    <row r="31" spans="1:10">
      <c r="A31" s="143"/>
      <c r="B31" s="143"/>
      <c r="C31" s="143"/>
      <c r="D31" s="143"/>
      <c r="E31" s="243"/>
      <c r="F31" s="143"/>
      <c r="G31" s="143"/>
      <c r="H31" s="143"/>
    </row>
  </sheetData>
  <sheetProtection password="C6FB" sheet="1" formatCells="0" formatColumns="0" formatRows="0"/>
  <mergeCells count="11">
    <mergeCell ref="A1:H1"/>
    <mergeCell ref="H3:H4"/>
    <mergeCell ref="D25:G25"/>
    <mergeCell ref="D26:G26"/>
    <mergeCell ref="A3:A4"/>
    <mergeCell ref="B3:B4"/>
    <mergeCell ref="C3:C4"/>
    <mergeCell ref="D3:D4"/>
    <mergeCell ref="E3:E4"/>
    <mergeCell ref="F3:F4"/>
    <mergeCell ref="G3:G4"/>
  </mergeCells>
  <phoneticPr fontId="3" type="noConversion"/>
  <pageMargins left="0.78740157480314965" right="0.39370078740157483" top="0.59055118110236227" bottom="0.59055118110236227" header="0.27559055118110237" footer="0.31496062992125984"/>
  <pageSetup paperSize="9" scale="5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R85"/>
  <sheetViews>
    <sheetView topLeftCell="A44" zoomScale="60" zoomScaleNormal="75" zoomScaleSheetLayoutView="75" workbookViewId="0">
      <selection activeCell="M58" sqref="M58"/>
    </sheetView>
  </sheetViews>
  <sheetFormatPr defaultRowHeight="18.75"/>
  <cols>
    <col min="1" max="1" width="44.85546875" style="1" customWidth="1"/>
    <col min="2" max="2" width="13.5703125" style="16" customWidth="1"/>
    <col min="3" max="3" width="12.7109375" style="1" customWidth="1"/>
    <col min="4" max="4" width="16.140625" style="1" customWidth="1"/>
    <col min="5" max="5" width="15.42578125" style="1" customWidth="1"/>
    <col min="6" max="6" width="16.5703125" style="1" customWidth="1"/>
    <col min="7" max="7" width="15.28515625" style="1" customWidth="1"/>
    <col min="8" max="8" width="16.5703125" style="1" customWidth="1"/>
    <col min="9" max="9" width="16.140625" style="1" customWidth="1"/>
    <col min="10" max="10" width="16.42578125" style="1" customWidth="1"/>
    <col min="11" max="11" width="16.5703125" style="1" customWidth="1"/>
    <col min="12" max="12" width="16.85546875" style="1" customWidth="1"/>
    <col min="13" max="15" width="16.7109375" style="1" customWidth="1"/>
    <col min="16" max="16" width="9.140625" style="1"/>
    <col min="17" max="17" width="16.85546875" style="1" bestFit="1" customWidth="1"/>
    <col min="18" max="16384" width="9.140625" style="1"/>
  </cols>
  <sheetData>
    <row r="1" spans="1:17">
      <c r="A1" s="506" t="s">
        <v>117</v>
      </c>
      <c r="B1" s="506"/>
      <c r="C1" s="506"/>
      <c r="D1" s="506"/>
      <c r="E1" s="506"/>
      <c r="F1" s="506"/>
      <c r="G1" s="506"/>
      <c r="H1" s="506"/>
      <c r="I1" s="506"/>
      <c r="J1" s="506"/>
      <c r="K1" s="506"/>
      <c r="L1" s="506"/>
      <c r="M1" s="506"/>
      <c r="N1" s="506"/>
      <c r="O1" s="506"/>
    </row>
    <row r="2" spans="1:17">
      <c r="A2" s="506" t="s">
        <v>500</v>
      </c>
      <c r="B2" s="506"/>
      <c r="C2" s="506"/>
      <c r="D2" s="506"/>
      <c r="E2" s="506"/>
      <c r="F2" s="506"/>
      <c r="G2" s="506"/>
      <c r="H2" s="506"/>
      <c r="I2" s="506"/>
      <c r="J2" s="506"/>
      <c r="K2" s="506"/>
      <c r="L2" s="506"/>
      <c r="M2" s="506"/>
      <c r="N2" s="506"/>
      <c r="O2" s="506"/>
    </row>
    <row r="3" spans="1:17">
      <c r="A3" s="387" t="s">
        <v>407</v>
      </c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387"/>
      <c r="O3" s="387"/>
    </row>
    <row r="4" spans="1:17" ht="20.100000000000001" customHeight="1">
      <c r="A4" s="507" t="s">
        <v>128</v>
      </c>
      <c r="B4" s="507"/>
      <c r="C4" s="507"/>
      <c r="D4" s="507"/>
      <c r="E4" s="507"/>
      <c r="F4" s="507"/>
      <c r="G4" s="507"/>
      <c r="H4" s="507"/>
      <c r="I4" s="507"/>
      <c r="J4" s="507"/>
      <c r="K4" s="507"/>
      <c r="L4" s="507"/>
      <c r="M4" s="507"/>
      <c r="N4" s="507"/>
      <c r="O4" s="507"/>
    </row>
    <row r="5" spans="1:17" ht="21.95" customHeight="1">
      <c r="A5" s="509" t="s">
        <v>83</v>
      </c>
      <c r="B5" s="509"/>
      <c r="C5" s="509"/>
      <c r="D5" s="509"/>
      <c r="E5" s="509"/>
      <c r="F5" s="509"/>
      <c r="G5" s="509"/>
      <c r="H5" s="509"/>
      <c r="I5" s="509"/>
      <c r="J5" s="509"/>
      <c r="K5" s="509"/>
      <c r="L5" s="509"/>
      <c r="M5" s="509"/>
      <c r="N5" s="509"/>
      <c r="O5" s="509"/>
    </row>
    <row r="6" spans="1:17" ht="10.5" customHeight="1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</row>
    <row r="7" spans="1:17" ht="16.5" customHeight="1">
      <c r="A7" s="508" t="s">
        <v>326</v>
      </c>
      <c r="B7" s="508"/>
      <c r="C7" s="508"/>
      <c r="D7" s="508"/>
      <c r="E7" s="508"/>
      <c r="F7" s="508"/>
      <c r="G7" s="508"/>
      <c r="H7" s="508"/>
      <c r="I7" s="508"/>
      <c r="J7" s="508"/>
      <c r="K7" s="508"/>
      <c r="L7" s="508"/>
      <c r="M7" s="508"/>
      <c r="N7" s="508"/>
      <c r="O7" s="508"/>
    </row>
    <row r="8" spans="1:17" ht="10.5" customHeight="1">
      <c r="A8" s="72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</row>
    <row r="9" spans="1:17" s="2" customFormat="1" ht="40.5" customHeight="1">
      <c r="A9" s="407" t="s">
        <v>254</v>
      </c>
      <c r="B9" s="407"/>
      <c r="C9" s="407"/>
      <c r="D9" s="408" t="s">
        <v>130</v>
      </c>
      <c r="E9" s="408"/>
      <c r="F9" s="408" t="s">
        <v>31</v>
      </c>
      <c r="G9" s="408"/>
      <c r="H9" s="408" t="s">
        <v>56</v>
      </c>
      <c r="I9" s="408"/>
      <c r="J9" s="408" t="s">
        <v>131</v>
      </c>
      <c r="K9" s="408"/>
      <c r="L9" s="408" t="s">
        <v>273</v>
      </c>
      <c r="M9" s="408"/>
      <c r="N9" s="408" t="s">
        <v>274</v>
      </c>
      <c r="O9" s="408"/>
    </row>
    <row r="10" spans="1:17" s="2" customFormat="1" ht="18" customHeight="1">
      <c r="A10" s="407">
        <v>1</v>
      </c>
      <c r="B10" s="407"/>
      <c r="C10" s="407"/>
      <c r="D10" s="408">
        <v>2</v>
      </c>
      <c r="E10" s="408"/>
      <c r="F10" s="408">
        <v>3</v>
      </c>
      <c r="G10" s="408"/>
      <c r="H10" s="511">
        <v>4</v>
      </c>
      <c r="I10" s="511"/>
      <c r="J10" s="408">
        <v>5</v>
      </c>
      <c r="K10" s="408"/>
      <c r="L10" s="408">
        <v>6</v>
      </c>
      <c r="M10" s="408"/>
      <c r="N10" s="408">
        <v>7</v>
      </c>
      <c r="O10" s="408"/>
      <c r="Q10" s="2" t="s">
        <v>481</v>
      </c>
    </row>
    <row r="11" spans="1:17" s="2" customFormat="1" ht="20.100000000000001" customHeight="1">
      <c r="A11" s="401" t="s">
        <v>129</v>
      </c>
      <c r="B11" s="402"/>
      <c r="C11" s="402"/>
      <c r="D11" s="402"/>
      <c r="E11" s="402"/>
      <c r="F11" s="402"/>
      <c r="G11" s="402"/>
      <c r="H11" s="402"/>
      <c r="I11" s="402"/>
      <c r="J11" s="402"/>
      <c r="K11" s="403"/>
      <c r="L11" s="512"/>
      <c r="M11" s="513"/>
      <c r="N11" s="512"/>
      <c r="O11" s="513"/>
    </row>
    <row r="12" spans="1:17" s="2" customFormat="1" ht="20.100000000000001" customHeight="1">
      <c r="A12" s="501" t="s">
        <v>295</v>
      </c>
      <c r="B12" s="501"/>
      <c r="C12" s="501"/>
      <c r="D12" s="461">
        <v>2</v>
      </c>
      <c r="E12" s="463"/>
      <c r="F12" s="461">
        <v>2</v>
      </c>
      <c r="G12" s="463"/>
      <c r="H12" s="461">
        <v>2</v>
      </c>
      <c r="I12" s="463"/>
      <c r="J12" s="461">
        <v>2</v>
      </c>
      <c r="K12" s="463"/>
      <c r="L12" s="490">
        <f>J12/H12*100%</f>
        <v>1</v>
      </c>
      <c r="M12" s="491"/>
      <c r="N12" s="490">
        <f>J12/F12*100%</f>
        <v>1</v>
      </c>
      <c r="O12" s="491"/>
    </row>
    <row r="13" spans="1:17" s="2" customFormat="1" ht="20.100000000000001" customHeight="1">
      <c r="A13" s="501" t="s">
        <v>296</v>
      </c>
      <c r="B13" s="501"/>
      <c r="C13" s="501"/>
      <c r="D13" s="461"/>
      <c r="E13" s="463"/>
      <c r="F13" s="461"/>
      <c r="G13" s="463"/>
      <c r="H13" s="461"/>
      <c r="I13" s="463"/>
      <c r="J13" s="461"/>
      <c r="K13" s="463"/>
      <c r="L13" s="490"/>
      <c r="M13" s="491"/>
      <c r="N13" s="490"/>
      <c r="O13" s="491"/>
    </row>
    <row r="14" spans="1:17" s="2" customFormat="1" ht="20.100000000000001" customHeight="1">
      <c r="A14" s="501" t="s">
        <v>297</v>
      </c>
      <c r="B14" s="501"/>
      <c r="C14" s="501"/>
      <c r="D14" s="461">
        <v>12</v>
      </c>
      <c r="E14" s="463"/>
      <c r="F14" s="461">
        <v>12</v>
      </c>
      <c r="G14" s="463"/>
      <c r="H14" s="461">
        <v>12</v>
      </c>
      <c r="I14" s="463"/>
      <c r="J14" s="461">
        <v>8</v>
      </c>
      <c r="K14" s="463"/>
      <c r="L14" s="490">
        <f t="shared" ref="L14:L33" si="0">J14/H14*100%</f>
        <v>0.66666666666666663</v>
      </c>
      <c r="M14" s="491"/>
      <c r="N14" s="490">
        <f t="shared" ref="N14:N33" si="1">J14/F14*100%</f>
        <v>0.66666666666666663</v>
      </c>
      <c r="O14" s="491"/>
    </row>
    <row r="15" spans="1:17" s="2" customFormat="1" ht="20.100000000000001" customHeight="1">
      <c r="A15" s="501" t="s">
        <v>298</v>
      </c>
      <c r="B15" s="501"/>
      <c r="C15" s="501"/>
      <c r="D15" s="461">
        <v>2</v>
      </c>
      <c r="E15" s="463"/>
      <c r="F15" s="461">
        <v>3</v>
      </c>
      <c r="G15" s="463"/>
      <c r="H15" s="461">
        <v>3</v>
      </c>
      <c r="I15" s="463"/>
      <c r="J15" s="461">
        <v>1</v>
      </c>
      <c r="K15" s="463"/>
      <c r="L15" s="490">
        <f t="shared" si="0"/>
        <v>0.33333333333333331</v>
      </c>
      <c r="M15" s="491"/>
      <c r="N15" s="490">
        <f t="shared" si="1"/>
        <v>0.33333333333333331</v>
      </c>
      <c r="O15" s="491"/>
    </row>
    <row r="16" spans="1:17" s="2" customFormat="1" ht="20.100000000000001" customHeight="1">
      <c r="A16" s="501" t="s">
        <v>299</v>
      </c>
      <c r="B16" s="501"/>
      <c r="C16" s="501"/>
      <c r="D16" s="461">
        <v>1</v>
      </c>
      <c r="E16" s="463"/>
      <c r="F16" s="461">
        <v>1</v>
      </c>
      <c r="G16" s="463"/>
      <c r="H16" s="461">
        <v>1</v>
      </c>
      <c r="I16" s="463"/>
      <c r="J16" s="461">
        <v>1</v>
      </c>
      <c r="K16" s="463"/>
      <c r="L16" s="490">
        <f t="shared" si="0"/>
        <v>1</v>
      </c>
      <c r="M16" s="491"/>
      <c r="N16" s="490">
        <f t="shared" si="1"/>
        <v>1</v>
      </c>
      <c r="O16" s="491"/>
    </row>
    <row r="17" spans="1:17" s="2" customFormat="1" ht="20.100000000000001" customHeight="1">
      <c r="A17" s="501" t="s">
        <v>300</v>
      </c>
      <c r="B17" s="501"/>
      <c r="C17" s="501"/>
      <c r="D17" s="461"/>
      <c r="E17" s="463"/>
      <c r="F17" s="461">
        <v>0</v>
      </c>
      <c r="G17" s="463"/>
      <c r="H17" s="461">
        <v>0</v>
      </c>
      <c r="I17" s="463"/>
      <c r="J17" s="461">
        <v>0</v>
      </c>
      <c r="K17" s="463"/>
      <c r="L17" s="490"/>
      <c r="M17" s="491"/>
      <c r="N17" s="490"/>
      <c r="O17" s="491"/>
    </row>
    <row r="18" spans="1:17" s="2" customFormat="1" ht="20.100000000000001" customHeight="1">
      <c r="A18" s="401" t="s">
        <v>271</v>
      </c>
      <c r="B18" s="402"/>
      <c r="C18" s="402"/>
      <c r="D18" s="402"/>
      <c r="E18" s="402"/>
      <c r="F18" s="402"/>
      <c r="G18" s="402"/>
      <c r="H18" s="402"/>
      <c r="I18" s="402"/>
      <c r="J18" s="402"/>
      <c r="K18" s="403"/>
      <c r="L18" s="490"/>
      <c r="M18" s="491"/>
      <c r="N18" s="490"/>
      <c r="O18" s="491"/>
    </row>
    <row r="19" spans="1:17" s="2" customFormat="1" ht="20.100000000000001" customHeight="1">
      <c r="A19" s="500" t="s">
        <v>252</v>
      </c>
      <c r="B19" s="500"/>
      <c r="C19" s="500"/>
      <c r="D19" s="504">
        <v>123</v>
      </c>
      <c r="E19" s="505"/>
      <c r="F19" s="504">
        <v>146</v>
      </c>
      <c r="G19" s="505"/>
      <c r="H19" s="504">
        <v>180</v>
      </c>
      <c r="I19" s="505"/>
      <c r="J19" s="504">
        <v>216</v>
      </c>
      <c r="K19" s="505"/>
      <c r="L19" s="490">
        <f t="shared" si="0"/>
        <v>1.2</v>
      </c>
      <c r="M19" s="491"/>
      <c r="N19" s="490">
        <f t="shared" si="1"/>
        <v>1.4794520547945205</v>
      </c>
      <c r="O19" s="491"/>
      <c r="Q19" s="249">
        <f>штатка!J51</f>
        <v>216000</v>
      </c>
    </row>
    <row r="20" spans="1:17" s="2" customFormat="1" ht="20.100000000000001" customHeight="1">
      <c r="A20" s="500" t="s">
        <v>275</v>
      </c>
      <c r="B20" s="500"/>
      <c r="C20" s="500"/>
      <c r="D20" s="504">
        <v>183</v>
      </c>
      <c r="E20" s="505"/>
      <c r="F20" s="504">
        <v>136</v>
      </c>
      <c r="G20" s="505"/>
      <c r="H20" s="504">
        <v>155</v>
      </c>
      <c r="I20" s="505"/>
      <c r="J20" s="504">
        <v>201</v>
      </c>
      <c r="K20" s="505"/>
      <c r="L20" s="490">
        <f t="shared" si="0"/>
        <v>1.2967741935483872</v>
      </c>
      <c r="M20" s="491"/>
      <c r="N20" s="490">
        <f t="shared" si="1"/>
        <v>1.4779411764705883</v>
      </c>
      <c r="O20" s="491"/>
      <c r="Q20" s="249">
        <f>штатка!J52</f>
        <v>201360</v>
      </c>
    </row>
    <row r="21" spans="1:17" s="2" customFormat="1" ht="20.100000000000001" customHeight="1">
      <c r="A21" s="500" t="s">
        <v>253</v>
      </c>
      <c r="B21" s="500"/>
      <c r="C21" s="500"/>
      <c r="D21" s="504">
        <v>672</v>
      </c>
      <c r="E21" s="505"/>
      <c r="F21" s="504">
        <v>585</v>
      </c>
      <c r="G21" s="505"/>
      <c r="H21" s="504">
        <v>896</v>
      </c>
      <c r="I21" s="505"/>
      <c r="J21" s="504">
        <v>523</v>
      </c>
      <c r="K21" s="505"/>
      <c r="L21" s="490">
        <f t="shared" si="0"/>
        <v>0.5837053571428571</v>
      </c>
      <c r="M21" s="491"/>
      <c r="N21" s="490">
        <f t="shared" si="1"/>
        <v>0.89401709401709406</v>
      </c>
      <c r="O21" s="491"/>
      <c r="Q21" s="249">
        <f>штатка!J53</f>
        <v>523440</v>
      </c>
    </row>
    <row r="22" spans="1:17" s="2" customFormat="1" ht="20.100000000000001" customHeight="1">
      <c r="A22" s="497" t="s">
        <v>272</v>
      </c>
      <c r="B22" s="498"/>
      <c r="C22" s="498"/>
      <c r="D22" s="498"/>
      <c r="E22" s="498"/>
      <c r="F22" s="498"/>
      <c r="G22" s="498"/>
      <c r="H22" s="498"/>
      <c r="I22" s="498"/>
      <c r="J22" s="498"/>
      <c r="K22" s="499"/>
      <c r="L22" s="490"/>
      <c r="M22" s="491"/>
      <c r="N22" s="490"/>
      <c r="O22" s="491"/>
      <c r="Q22" s="263">
        <f>Q19+Q20+Q21</f>
        <v>940800</v>
      </c>
    </row>
    <row r="23" spans="1:17" s="2" customFormat="1" ht="20.100000000000001" customHeight="1">
      <c r="A23" s="500" t="s">
        <v>252</v>
      </c>
      <c r="B23" s="500"/>
      <c r="C23" s="500"/>
      <c r="D23" s="493">
        <v>149</v>
      </c>
      <c r="E23" s="494"/>
      <c r="F23" s="493">
        <v>178</v>
      </c>
      <c r="G23" s="494"/>
      <c r="H23" s="493">
        <v>220</v>
      </c>
      <c r="I23" s="494"/>
      <c r="J23" s="493">
        <v>263</v>
      </c>
      <c r="K23" s="494"/>
      <c r="L23" s="490">
        <f t="shared" si="0"/>
        <v>1.1954545454545455</v>
      </c>
      <c r="M23" s="491"/>
      <c r="N23" s="490">
        <f t="shared" si="1"/>
        <v>1.4775280898876404</v>
      </c>
      <c r="O23" s="491"/>
      <c r="Q23" s="249">
        <f>штатка!J56</f>
        <v>263520</v>
      </c>
    </row>
    <row r="24" spans="1:17" s="2" customFormat="1" ht="20.100000000000001" customHeight="1">
      <c r="A24" s="500" t="s">
        <v>275</v>
      </c>
      <c r="B24" s="500"/>
      <c r="C24" s="500"/>
      <c r="D24" s="493">
        <v>224</v>
      </c>
      <c r="E24" s="494"/>
      <c r="F24" s="493">
        <v>166</v>
      </c>
      <c r="G24" s="494"/>
      <c r="H24" s="493">
        <v>189</v>
      </c>
      <c r="I24" s="494"/>
      <c r="J24" s="493">
        <v>245</v>
      </c>
      <c r="K24" s="494"/>
      <c r="L24" s="490">
        <f t="shared" si="0"/>
        <v>1.2962962962962963</v>
      </c>
      <c r="M24" s="491"/>
      <c r="N24" s="490">
        <f t="shared" si="1"/>
        <v>1.4759036144578312</v>
      </c>
      <c r="O24" s="491"/>
      <c r="Q24" s="249">
        <f>штатка!J57</f>
        <v>245659.19999999998</v>
      </c>
    </row>
    <row r="25" spans="1:17" s="2" customFormat="1" ht="20.100000000000001" customHeight="1">
      <c r="A25" s="500" t="s">
        <v>253</v>
      </c>
      <c r="B25" s="500"/>
      <c r="C25" s="500"/>
      <c r="D25" s="493">
        <v>813</v>
      </c>
      <c r="E25" s="494"/>
      <c r="F25" s="493">
        <v>698</v>
      </c>
      <c r="G25" s="494"/>
      <c r="H25" s="493">
        <v>1086</v>
      </c>
      <c r="I25" s="494"/>
      <c r="J25" s="493">
        <v>628</v>
      </c>
      <c r="K25" s="494"/>
      <c r="L25" s="490">
        <f t="shared" si="0"/>
        <v>0.57826887661141801</v>
      </c>
      <c r="M25" s="491"/>
      <c r="N25" s="490">
        <f t="shared" si="1"/>
        <v>0.89971346704871058</v>
      </c>
      <c r="O25" s="491"/>
      <c r="Q25" s="249">
        <f>штатка!J58</f>
        <v>628812</v>
      </c>
    </row>
    <row r="26" spans="1:17" s="2" customFormat="1" ht="38.25" customHeight="1">
      <c r="A26" s="401" t="s">
        <v>301</v>
      </c>
      <c r="B26" s="402"/>
      <c r="C26" s="402"/>
      <c r="D26" s="402"/>
      <c r="E26" s="402"/>
      <c r="F26" s="402"/>
      <c r="G26" s="402"/>
      <c r="H26" s="402"/>
      <c r="I26" s="402"/>
      <c r="J26" s="402"/>
      <c r="K26" s="403"/>
      <c r="L26" s="490"/>
      <c r="M26" s="491"/>
      <c r="N26" s="490"/>
      <c r="O26" s="491"/>
      <c r="Q26" s="263">
        <f>Q23+Q24+Q25</f>
        <v>1137991.2</v>
      </c>
    </row>
    <row r="27" spans="1:17" s="2" customFormat="1" ht="20.100000000000001" customHeight="1">
      <c r="A27" s="501" t="s">
        <v>252</v>
      </c>
      <c r="B27" s="501"/>
      <c r="C27" s="501"/>
      <c r="D27" s="461">
        <v>10232</v>
      </c>
      <c r="E27" s="463"/>
      <c r="F27" s="461">
        <v>12166</v>
      </c>
      <c r="G27" s="463"/>
      <c r="H27" s="502">
        <v>15015</v>
      </c>
      <c r="I27" s="503"/>
      <c r="J27" s="461">
        <v>18000</v>
      </c>
      <c r="K27" s="463"/>
      <c r="L27" s="490">
        <f t="shared" si="0"/>
        <v>1.1988011988011988</v>
      </c>
      <c r="M27" s="491"/>
      <c r="N27" s="490">
        <f t="shared" si="1"/>
        <v>1.4795331251027453</v>
      </c>
      <c r="O27" s="491"/>
      <c r="Q27" s="249">
        <f>штатка!J61</f>
        <v>18000</v>
      </c>
    </row>
    <row r="28" spans="1:17" s="2" customFormat="1" ht="20.100000000000001" customHeight="1">
      <c r="A28" s="500" t="s">
        <v>275</v>
      </c>
      <c r="B28" s="500"/>
      <c r="C28" s="500"/>
      <c r="D28" s="493">
        <v>4417</v>
      </c>
      <c r="E28" s="494"/>
      <c r="F28" s="493">
        <v>4533</v>
      </c>
      <c r="G28" s="494"/>
      <c r="H28" s="493">
        <v>6097</v>
      </c>
      <c r="I28" s="494"/>
      <c r="J28" s="493">
        <f>штатка!J62</f>
        <v>6712</v>
      </c>
      <c r="K28" s="494"/>
      <c r="L28" s="490">
        <f t="shared" si="0"/>
        <v>1.1008692799737576</v>
      </c>
      <c r="M28" s="491"/>
      <c r="N28" s="490">
        <f t="shared" si="1"/>
        <v>1.4806971100816237</v>
      </c>
      <c r="O28" s="491"/>
      <c r="Q28" s="249">
        <f>штатка!J62</f>
        <v>6712</v>
      </c>
    </row>
    <row r="29" spans="1:17" s="2" customFormat="1" ht="20.100000000000001" customHeight="1">
      <c r="A29" s="500" t="s">
        <v>253</v>
      </c>
      <c r="B29" s="500"/>
      <c r="C29" s="500"/>
      <c r="D29" s="493">
        <v>4312</v>
      </c>
      <c r="E29" s="494"/>
      <c r="F29" s="493">
        <v>4056</v>
      </c>
      <c r="G29" s="494"/>
      <c r="H29" s="493">
        <v>4979</v>
      </c>
      <c r="I29" s="494"/>
      <c r="J29" s="493">
        <f>штатка!J63</f>
        <v>6231.4285714285716</v>
      </c>
      <c r="K29" s="494"/>
      <c r="L29" s="490">
        <f t="shared" si="0"/>
        <v>1.2515421914899723</v>
      </c>
      <c r="M29" s="491"/>
      <c r="N29" s="490">
        <f t="shared" si="1"/>
        <v>1.5363482671174979</v>
      </c>
      <c r="O29" s="491"/>
      <c r="Q29" s="249">
        <f>штатка!J63</f>
        <v>6231.4285714285716</v>
      </c>
    </row>
    <row r="30" spans="1:17" s="2" customFormat="1" ht="20.100000000000001" customHeight="1">
      <c r="A30" s="497" t="s">
        <v>302</v>
      </c>
      <c r="B30" s="498"/>
      <c r="C30" s="498"/>
      <c r="D30" s="498"/>
      <c r="E30" s="498"/>
      <c r="F30" s="498"/>
      <c r="G30" s="498"/>
      <c r="H30" s="498"/>
      <c r="I30" s="498"/>
      <c r="J30" s="498"/>
      <c r="K30" s="499"/>
      <c r="L30" s="490"/>
      <c r="M30" s="491"/>
      <c r="N30" s="490"/>
      <c r="O30" s="491"/>
    </row>
    <row r="31" spans="1:17" s="2" customFormat="1" ht="20.100000000000001" customHeight="1">
      <c r="A31" s="500" t="s">
        <v>252</v>
      </c>
      <c r="B31" s="500"/>
      <c r="C31" s="500"/>
      <c r="D31" s="493">
        <v>10232</v>
      </c>
      <c r="E31" s="494"/>
      <c r="F31" s="493">
        <v>12166</v>
      </c>
      <c r="G31" s="494"/>
      <c r="H31" s="493">
        <f>H27</f>
        <v>15015</v>
      </c>
      <c r="I31" s="494"/>
      <c r="J31" s="493">
        <f>штатка!J66</f>
        <v>18000</v>
      </c>
      <c r="K31" s="494"/>
      <c r="L31" s="490">
        <f t="shared" si="0"/>
        <v>1.1988011988011988</v>
      </c>
      <c r="M31" s="491"/>
      <c r="N31" s="490">
        <f t="shared" si="1"/>
        <v>1.4795331251027453</v>
      </c>
      <c r="O31" s="491"/>
      <c r="Q31" s="249">
        <f>штатка!J66</f>
        <v>18000</v>
      </c>
    </row>
    <row r="32" spans="1:17" s="2" customFormat="1" ht="20.100000000000001" customHeight="1">
      <c r="A32" s="500" t="s">
        <v>275</v>
      </c>
      <c r="B32" s="500"/>
      <c r="C32" s="500"/>
      <c r="D32" s="493">
        <v>4417</v>
      </c>
      <c r="E32" s="494"/>
      <c r="F32" s="493">
        <v>4566</v>
      </c>
      <c r="G32" s="494"/>
      <c r="H32" s="493">
        <f>H28</f>
        <v>6097</v>
      </c>
      <c r="I32" s="494"/>
      <c r="J32" s="493">
        <f>штатка!J67</f>
        <v>6712</v>
      </c>
      <c r="K32" s="494"/>
      <c r="L32" s="490">
        <f t="shared" si="0"/>
        <v>1.1008692799737576</v>
      </c>
      <c r="M32" s="491"/>
      <c r="N32" s="490">
        <f t="shared" si="1"/>
        <v>1.4699956197985107</v>
      </c>
      <c r="O32" s="491"/>
      <c r="Q32" s="249">
        <f>штатка!J67</f>
        <v>6712</v>
      </c>
    </row>
    <row r="33" spans="1:17" s="2" customFormat="1" ht="20.100000000000001" customHeight="1">
      <c r="A33" s="500" t="s">
        <v>253</v>
      </c>
      <c r="B33" s="500"/>
      <c r="C33" s="500"/>
      <c r="D33" s="493">
        <v>4312</v>
      </c>
      <c r="E33" s="494"/>
      <c r="F33" s="493">
        <v>4056</v>
      </c>
      <c r="G33" s="494"/>
      <c r="H33" s="493">
        <f>H29</f>
        <v>4979</v>
      </c>
      <c r="I33" s="494"/>
      <c r="J33" s="493">
        <f>штатка!J68</f>
        <v>6231.4285714285716</v>
      </c>
      <c r="K33" s="494"/>
      <c r="L33" s="490">
        <f t="shared" si="0"/>
        <v>1.2515421914899723</v>
      </c>
      <c r="M33" s="491"/>
      <c r="N33" s="490">
        <f t="shared" si="1"/>
        <v>1.5363482671174979</v>
      </c>
      <c r="O33" s="491"/>
      <c r="Q33" s="249">
        <f>штатка!J68</f>
        <v>6231.4285714285716</v>
      </c>
    </row>
    <row r="34" spans="1:17" ht="10.5" customHeight="1">
      <c r="A34" s="19"/>
      <c r="B34" s="19"/>
      <c r="C34" s="19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</row>
    <row r="35" spans="1:17" ht="20.100000000000001" customHeight="1">
      <c r="A35" s="492" t="s">
        <v>303</v>
      </c>
      <c r="B35" s="492"/>
      <c r="C35" s="492"/>
      <c r="D35" s="492"/>
      <c r="E35" s="492"/>
      <c r="F35" s="492"/>
      <c r="G35" s="492"/>
      <c r="H35" s="492"/>
      <c r="I35" s="492"/>
      <c r="J35" s="492"/>
      <c r="K35" s="492"/>
      <c r="L35" s="492"/>
      <c r="M35" s="492"/>
      <c r="N35" s="492"/>
      <c r="O35" s="492"/>
    </row>
    <row r="36" spans="1:17" ht="15" customHeight="1">
      <c r="A36" s="20"/>
      <c r="B36" s="20"/>
      <c r="C36" s="20"/>
      <c r="D36" s="20"/>
      <c r="E36" s="20"/>
      <c r="F36" s="20"/>
      <c r="G36" s="20"/>
      <c r="H36" s="20"/>
      <c r="I36" s="20"/>
    </row>
    <row r="37" spans="1:17" ht="21.95" customHeight="1">
      <c r="A37" s="471" t="s">
        <v>304</v>
      </c>
      <c r="B37" s="471"/>
      <c r="C37" s="471"/>
      <c r="D37" s="471"/>
      <c r="E37" s="471"/>
      <c r="F37" s="471"/>
      <c r="G37" s="471"/>
      <c r="H37" s="471"/>
      <c r="I37" s="471"/>
      <c r="J37" s="471"/>
      <c r="K37" s="471"/>
      <c r="L37" s="471"/>
      <c r="M37" s="471"/>
      <c r="N37" s="471"/>
      <c r="O37" s="471"/>
    </row>
    <row r="38" spans="1:17" ht="10.5" customHeight="1"/>
    <row r="39" spans="1:17" ht="60" customHeight="1">
      <c r="A39" s="32" t="s">
        <v>132</v>
      </c>
      <c r="B39" s="480" t="s">
        <v>305</v>
      </c>
      <c r="C39" s="481"/>
      <c r="D39" s="481"/>
      <c r="E39" s="481"/>
      <c r="F39" s="444" t="s">
        <v>77</v>
      </c>
      <c r="G39" s="444"/>
      <c r="H39" s="444"/>
      <c r="I39" s="444"/>
      <c r="J39" s="444"/>
      <c r="K39" s="444"/>
      <c r="L39" s="444"/>
      <c r="M39" s="444"/>
      <c r="N39" s="444"/>
      <c r="O39" s="444"/>
    </row>
    <row r="40" spans="1:17" ht="18" customHeight="1">
      <c r="A40" s="32">
        <v>1</v>
      </c>
      <c r="B40" s="480">
        <v>2</v>
      </c>
      <c r="C40" s="481"/>
      <c r="D40" s="481"/>
      <c r="E40" s="481"/>
      <c r="F40" s="444">
        <v>3</v>
      </c>
      <c r="G40" s="444"/>
      <c r="H40" s="444"/>
      <c r="I40" s="444"/>
      <c r="J40" s="444"/>
      <c r="K40" s="444"/>
      <c r="L40" s="444"/>
      <c r="M40" s="444"/>
      <c r="N40" s="444"/>
      <c r="O40" s="444"/>
    </row>
    <row r="41" spans="1:17" ht="20.100000000000001" customHeight="1">
      <c r="A41" s="145"/>
      <c r="B41" s="476"/>
      <c r="C41" s="477"/>
      <c r="D41" s="477"/>
      <c r="E41" s="477"/>
      <c r="F41" s="479"/>
      <c r="G41" s="479"/>
      <c r="H41" s="479"/>
      <c r="I41" s="479"/>
      <c r="J41" s="479"/>
      <c r="K41" s="479"/>
      <c r="L41" s="479"/>
      <c r="M41" s="479"/>
      <c r="N41" s="479"/>
      <c r="O41" s="479"/>
    </row>
    <row r="42" spans="1:17" ht="20.100000000000001" customHeight="1">
      <c r="A42" s="145"/>
      <c r="B42" s="476"/>
      <c r="C42" s="477"/>
      <c r="D42" s="477"/>
      <c r="E42" s="477"/>
      <c r="F42" s="479"/>
      <c r="G42" s="479"/>
      <c r="H42" s="479"/>
      <c r="I42" s="479"/>
      <c r="J42" s="479"/>
      <c r="K42" s="479"/>
      <c r="L42" s="479"/>
      <c r="M42" s="479"/>
      <c r="N42" s="479"/>
      <c r="O42" s="479"/>
    </row>
    <row r="43" spans="1:17" ht="20.100000000000001" customHeight="1">
      <c r="A43" s="145"/>
      <c r="B43" s="476"/>
      <c r="C43" s="477"/>
      <c r="D43" s="477"/>
      <c r="E43" s="477"/>
      <c r="F43" s="479"/>
      <c r="G43" s="479"/>
      <c r="H43" s="479"/>
      <c r="I43" s="479"/>
      <c r="J43" s="479"/>
      <c r="K43" s="479"/>
      <c r="L43" s="479"/>
      <c r="M43" s="479"/>
      <c r="N43" s="479"/>
      <c r="O43" s="479"/>
    </row>
    <row r="44" spans="1:17" ht="20.100000000000001" customHeight="1">
      <c r="A44" s="145"/>
      <c r="B44" s="476"/>
      <c r="C44" s="477"/>
      <c r="D44" s="477"/>
      <c r="E44" s="477"/>
      <c r="F44" s="479"/>
      <c r="G44" s="479"/>
      <c r="H44" s="479"/>
      <c r="I44" s="479"/>
      <c r="J44" s="479"/>
      <c r="K44" s="479"/>
      <c r="L44" s="479"/>
      <c r="M44" s="479"/>
      <c r="N44" s="479"/>
      <c r="O44" s="479"/>
    </row>
    <row r="45" spans="1:17" ht="20.100000000000001" customHeight="1">
      <c r="A45" s="145"/>
      <c r="B45" s="476"/>
      <c r="C45" s="477"/>
      <c r="D45" s="477"/>
      <c r="E45" s="477"/>
      <c r="F45" s="479"/>
      <c r="G45" s="479"/>
      <c r="H45" s="479"/>
      <c r="I45" s="479"/>
      <c r="J45" s="479"/>
      <c r="K45" s="479"/>
      <c r="L45" s="479"/>
      <c r="M45" s="479"/>
      <c r="N45" s="479"/>
      <c r="O45" s="479"/>
    </row>
    <row r="46" spans="1:17" ht="20.100000000000001" customHeight="1">
      <c r="A46" s="145"/>
      <c r="B46" s="476"/>
      <c r="C46" s="477"/>
      <c r="D46" s="477"/>
      <c r="E46" s="477"/>
      <c r="F46" s="479"/>
      <c r="G46" s="479"/>
      <c r="H46" s="479"/>
      <c r="I46" s="479"/>
      <c r="J46" s="479"/>
      <c r="K46" s="479"/>
      <c r="L46" s="479"/>
      <c r="M46" s="479"/>
      <c r="N46" s="479"/>
      <c r="O46" s="479"/>
    </row>
    <row r="47" spans="1:17" ht="20.100000000000001" customHeight="1">
      <c r="A47" s="145"/>
      <c r="B47" s="476"/>
      <c r="C47" s="477"/>
      <c r="D47" s="477"/>
      <c r="E47" s="477"/>
      <c r="F47" s="479"/>
      <c r="G47" s="479"/>
      <c r="H47" s="479"/>
      <c r="I47" s="479"/>
      <c r="J47" s="479"/>
      <c r="K47" s="479"/>
      <c r="L47" s="479"/>
      <c r="M47" s="479"/>
      <c r="N47" s="479"/>
      <c r="O47" s="479"/>
    </row>
    <row r="48" spans="1:17" ht="20.100000000000001" customHeight="1">
      <c r="A48" s="145"/>
      <c r="B48" s="476"/>
      <c r="C48" s="477"/>
      <c r="D48" s="477"/>
      <c r="E48" s="477"/>
      <c r="F48" s="476"/>
      <c r="G48" s="477"/>
      <c r="H48" s="477"/>
      <c r="I48" s="477"/>
      <c r="J48" s="477"/>
      <c r="K48" s="477"/>
      <c r="L48" s="477"/>
      <c r="M48" s="477"/>
      <c r="N48" s="477"/>
      <c r="O48" s="478"/>
    </row>
    <row r="49" spans="1:18" ht="20.100000000000001" customHeight="1">
      <c r="A49" s="145"/>
      <c r="B49" s="476"/>
      <c r="C49" s="477"/>
      <c r="D49" s="477"/>
      <c r="E49" s="478"/>
      <c r="F49" s="476"/>
      <c r="G49" s="477"/>
      <c r="H49" s="477"/>
      <c r="I49" s="477"/>
      <c r="J49" s="477"/>
      <c r="K49" s="477"/>
      <c r="L49" s="477"/>
      <c r="M49" s="477"/>
      <c r="N49" s="477"/>
      <c r="O49" s="478"/>
    </row>
    <row r="50" spans="1:18" ht="20.100000000000001" customHeight="1">
      <c r="A50" s="62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</row>
    <row r="51" spans="1:18" ht="21.95" customHeight="1">
      <c r="A51" s="495" t="s">
        <v>232</v>
      </c>
      <c r="B51" s="495"/>
      <c r="C51" s="495"/>
      <c r="D51" s="495"/>
      <c r="E51" s="495"/>
      <c r="F51" s="495"/>
      <c r="G51" s="495"/>
      <c r="H51" s="495"/>
      <c r="I51" s="495"/>
      <c r="J51" s="495"/>
    </row>
    <row r="52" spans="1:18" ht="20.100000000000001" customHeight="1">
      <c r="A52" s="15"/>
      <c r="F52" s="11"/>
    </row>
    <row r="53" spans="1:18" ht="63.95" customHeight="1">
      <c r="A53" s="448" t="s">
        <v>254</v>
      </c>
      <c r="B53" s="448" t="s">
        <v>306</v>
      </c>
      <c r="C53" s="448"/>
      <c r="D53" s="427" t="s">
        <v>546</v>
      </c>
      <c r="E53" s="427"/>
      <c r="F53" s="427"/>
      <c r="G53" s="427" t="s">
        <v>520</v>
      </c>
      <c r="H53" s="427"/>
      <c r="I53" s="427"/>
      <c r="J53" s="487" t="s">
        <v>501</v>
      </c>
      <c r="K53" s="488"/>
      <c r="L53" s="489"/>
      <c r="M53" s="431" t="s">
        <v>502</v>
      </c>
      <c r="N53" s="431"/>
      <c r="O53" s="431"/>
    </row>
    <row r="54" spans="1:18" ht="168.75">
      <c r="A54" s="448"/>
      <c r="B54" s="6" t="s">
        <v>64</v>
      </c>
      <c r="C54" s="6" t="s">
        <v>65</v>
      </c>
      <c r="D54" s="372" t="s">
        <v>307</v>
      </c>
      <c r="E54" s="372" t="s">
        <v>308</v>
      </c>
      <c r="F54" s="372" t="s">
        <v>309</v>
      </c>
      <c r="G54" s="372" t="s">
        <v>307</v>
      </c>
      <c r="H54" s="372" t="s">
        <v>308</v>
      </c>
      <c r="I54" s="372" t="s">
        <v>309</v>
      </c>
      <c r="J54" s="372" t="s">
        <v>307</v>
      </c>
      <c r="K54" s="372" t="s">
        <v>308</v>
      </c>
      <c r="L54" s="372" t="s">
        <v>309</v>
      </c>
      <c r="M54" s="6" t="s">
        <v>307</v>
      </c>
      <c r="N54" s="6" t="s">
        <v>308</v>
      </c>
      <c r="O54" s="6" t="s">
        <v>309</v>
      </c>
      <c r="Q54" s="28" t="s">
        <v>484</v>
      </c>
    </row>
    <row r="55" spans="1:18" ht="18" customHeight="1">
      <c r="A55" s="6">
        <v>1</v>
      </c>
      <c r="B55" s="6">
        <v>2</v>
      </c>
      <c r="C55" s="6">
        <v>3</v>
      </c>
      <c r="D55" s="372">
        <v>4</v>
      </c>
      <c r="E55" s="372">
        <v>5</v>
      </c>
      <c r="F55" s="372">
        <v>6</v>
      </c>
      <c r="G55" s="372">
        <v>7</v>
      </c>
      <c r="H55" s="373">
        <v>8</v>
      </c>
      <c r="I55" s="373">
        <v>9</v>
      </c>
      <c r="J55" s="373">
        <v>10</v>
      </c>
      <c r="K55" s="373">
        <v>11</v>
      </c>
      <c r="L55" s="373">
        <v>12</v>
      </c>
      <c r="M55" s="5">
        <v>13</v>
      </c>
      <c r="N55" s="5">
        <v>14</v>
      </c>
      <c r="O55" s="5">
        <v>15</v>
      </c>
    </row>
    <row r="56" spans="1:18" ht="20.100000000000001" customHeight="1">
      <c r="A56" s="185" t="s">
        <v>381</v>
      </c>
      <c r="B56" s="94">
        <v>100</v>
      </c>
      <c r="C56" s="94">
        <v>100</v>
      </c>
      <c r="D56" s="285">
        <v>2383</v>
      </c>
      <c r="E56" s="285">
        <f>D56*1000/F56</f>
        <v>47660</v>
      </c>
      <c r="F56" s="285">
        <v>50</v>
      </c>
      <c r="G56" s="285">
        <v>2915</v>
      </c>
      <c r="H56" s="285">
        <f>G56*1000/I56</f>
        <v>84492.753623188401</v>
      </c>
      <c r="I56" s="285">
        <v>34.5</v>
      </c>
      <c r="J56" s="285">
        <f>'I. Фін результат'!E7</f>
        <v>756</v>
      </c>
      <c r="K56" s="285">
        <f>J56*1000/L56</f>
        <v>35162.79069767442</v>
      </c>
      <c r="L56" s="285">
        <v>21.5</v>
      </c>
      <c r="M56" s="167">
        <f>'I. Фін результат'!I8</f>
        <v>2860</v>
      </c>
      <c r="N56" s="172">
        <f>M56*1000/O56</f>
        <v>81418.851595638684</v>
      </c>
      <c r="O56" s="285">
        <v>35.127000000000002</v>
      </c>
      <c r="P56" s="286"/>
      <c r="Q56" s="286" t="s">
        <v>482</v>
      </c>
      <c r="R56" s="286"/>
    </row>
    <row r="57" spans="1:18" ht="20.100000000000001" customHeight="1">
      <c r="A57" s="146"/>
      <c r="B57" s="94"/>
      <c r="C57" s="94"/>
      <c r="D57" s="374"/>
      <c r="E57" s="374"/>
      <c r="F57" s="374"/>
      <c r="G57" s="374"/>
      <c r="H57" s="374"/>
      <c r="I57" s="374"/>
      <c r="J57" s="374"/>
      <c r="K57" s="374"/>
      <c r="L57" s="374"/>
      <c r="M57" s="94"/>
      <c r="N57" s="94"/>
      <c r="O57" s="94"/>
      <c r="Q57" s="510" t="s">
        <v>483</v>
      </c>
      <c r="R57" s="510"/>
    </row>
    <row r="58" spans="1:18" ht="20.100000000000001" customHeight="1">
      <c r="A58" s="147" t="s">
        <v>50</v>
      </c>
      <c r="B58" s="65">
        <v>100</v>
      </c>
      <c r="C58" s="65">
        <v>100</v>
      </c>
      <c r="D58" s="78">
        <f>SUM(D56:D57)</f>
        <v>2383</v>
      </c>
      <c r="E58" s="94"/>
      <c r="F58" s="132"/>
      <c r="G58" s="78">
        <f>SUM(G56:G57)</f>
        <v>2915</v>
      </c>
      <c r="H58" s="132"/>
      <c r="I58" s="132"/>
      <c r="J58" s="78">
        <f>SUM(J56:J57)</f>
        <v>756</v>
      </c>
      <c r="K58" s="132"/>
      <c r="L58" s="132"/>
      <c r="M58" s="78">
        <f>SUM(M56:M57)</f>
        <v>2860</v>
      </c>
      <c r="N58" s="132"/>
      <c r="O58" s="132"/>
      <c r="Q58" s="510"/>
      <c r="R58" s="510"/>
    </row>
    <row r="59" spans="1:18" ht="20.100000000000001" customHeight="1">
      <c r="A59" s="17"/>
      <c r="B59" s="18"/>
      <c r="C59" s="18"/>
      <c r="D59" s="18"/>
      <c r="E59" s="18"/>
      <c r="F59" s="9"/>
      <c r="G59" s="9"/>
      <c r="H59" s="9"/>
      <c r="I59" s="4"/>
      <c r="J59" s="4"/>
      <c r="K59" s="4"/>
      <c r="L59" s="4"/>
      <c r="M59" s="4"/>
      <c r="N59" s="4"/>
      <c r="O59" s="4"/>
    </row>
    <row r="60" spans="1:18" ht="21.95" customHeight="1">
      <c r="A60" s="471" t="s">
        <v>66</v>
      </c>
      <c r="B60" s="471"/>
      <c r="C60" s="471"/>
      <c r="D60" s="471"/>
      <c r="E60" s="471"/>
      <c r="F60" s="471"/>
      <c r="G60" s="471"/>
      <c r="H60" s="471"/>
      <c r="I60" s="471"/>
      <c r="J60" s="471"/>
      <c r="K60" s="471"/>
      <c r="L60" s="471"/>
      <c r="M60" s="471"/>
      <c r="N60" s="471"/>
      <c r="O60" s="471"/>
    </row>
    <row r="61" spans="1:18" ht="20.100000000000001" customHeight="1">
      <c r="A61" s="15"/>
    </row>
    <row r="62" spans="1:18" ht="63.95" customHeight="1">
      <c r="A62" s="6" t="s">
        <v>121</v>
      </c>
      <c r="B62" s="448" t="s">
        <v>63</v>
      </c>
      <c r="C62" s="448"/>
      <c r="D62" s="448" t="s">
        <v>58</v>
      </c>
      <c r="E62" s="448"/>
      <c r="F62" s="448" t="s">
        <v>59</v>
      </c>
      <c r="G62" s="448"/>
      <c r="H62" s="448" t="s">
        <v>310</v>
      </c>
      <c r="I62" s="448"/>
      <c r="J62" s="448"/>
      <c r="K62" s="484" t="s">
        <v>78</v>
      </c>
      <c r="L62" s="486"/>
      <c r="M62" s="484" t="s">
        <v>37</v>
      </c>
      <c r="N62" s="485"/>
      <c r="O62" s="486"/>
    </row>
    <row r="63" spans="1:18" ht="18" customHeight="1">
      <c r="A63" s="5">
        <v>1</v>
      </c>
      <c r="B63" s="444">
        <v>2</v>
      </c>
      <c r="C63" s="444"/>
      <c r="D63" s="444">
        <v>3</v>
      </c>
      <c r="E63" s="444"/>
      <c r="F63" s="483">
        <v>4</v>
      </c>
      <c r="G63" s="483"/>
      <c r="H63" s="444">
        <v>5</v>
      </c>
      <c r="I63" s="444"/>
      <c r="J63" s="444"/>
      <c r="K63" s="444">
        <v>6</v>
      </c>
      <c r="L63" s="444"/>
      <c r="M63" s="480">
        <v>7</v>
      </c>
      <c r="N63" s="481"/>
      <c r="O63" s="482"/>
    </row>
    <row r="64" spans="1:18" ht="20.100000000000001" customHeight="1">
      <c r="A64" s="146"/>
      <c r="B64" s="473"/>
      <c r="C64" s="473"/>
      <c r="D64" s="473"/>
      <c r="E64" s="473"/>
      <c r="F64" s="473"/>
      <c r="G64" s="473"/>
      <c r="H64" s="473"/>
      <c r="I64" s="473"/>
      <c r="J64" s="473"/>
      <c r="K64" s="474"/>
      <c r="L64" s="475"/>
      <c r="M64" s="473"/>
      <c r="N64" s="473"/>
      <c r="O64" s="473"/>
    </row>
    <row r="65" spans="1:15" ht="20.100000000000001" customHeight="1">
      <c r="A65" s="146"/>
      <c r="B65" s="474"/>
      <c r="C65" s="475"/>
      <c r="D65" s="474"/>
      <c r="E65" s="475"/>
      <c r="F65" s="474"/>
      <c r="G65" s="475"/>
      <c r="H65" s="474"/>
      <c r="I65" s="496"/>
      <c r="J65" s="475"/>
      <c r="K65" s="474"/>
      <c r="L65" s="475"/>
      <c r="M65" s="474"/>
      <c r="N65" s="496"/>
      <c r="O65" s="475"/>
    </row>
    <row r="66" spans="1:15" ht="20.100000000000001" customHeight="1">
      <c r="A66" s="146"/>
      <c r="B66" s="473"/>
      <c r="C66" s="473"/>
      <c r="D66" s="473"/>
      <c r="E66" s="473"/>
      <c r="F66" s="473"/>
      <c r="G66" s="473"/>
      <c r="H66" s="473"/>
      <c r="I66" s="473"/>
      <c r="J66" s="473"/>
      <c r="K66" s="474"/>
      <c r="L66" s="475"/>
      <c r="M66" s="473"/>
      <c r="N66" s="473"/>
      <c r="O66" s="473"/>
    </row>
    <row r="67" spans="1:15" ht="20.100000000000001" customHeight="1">
      <c r="A67" s="147" t="s">
        <v>50</v>
      </c>
      <c r="B67" s="472" t="s">
        <v>38</v>
      </c>
      <c r="C67" s="472"/>
      <c r="D67" s="472" t="s">
        <v>38</v>
      </c>
      <c r="E67" s="472"/>
      <c r="F67" s="472" t="s">
        <v>38</v>
      </c>
      <c r="G67" s="472"/>
      <c r="H67" s="473"/>
      <c r="I67" s="473"/>
      <c r="J67" s="473"/>
      <c r="K67" s="469">
        <f>SUM(K64:L66)</f>
        <v>0</v>
      </c>
      <c r="L67" s="470"/>
      <c r="M67" s="473"/>
      <c r="N67" s="473"/>
      <c r="O67" s="473"/>
    </row>
    <row r="68" spans="1:15" ht="20.100000000000001" customHeight="1">
      <c r="A68" s="9"/>
      <c r="B68" s="21"/>
      <c r="C68" s="21"/>
      <c r="D68" s="21"/>
      <c r="E68" s="21"/>
      <c r="F68" s="21"/>
      <c r="G68" s="21"/>
      <c r="H68" s="21"/>
      <c r="I68" s="21"/>
      <c r="J68" s="21"/>
      <c r="K68" s="2"/>
      <c r="L68" s="2"/>
      <c r="M68" s="2"/>
      <c r="N68" s="2"/>
      <c r="O68" s="2"/>
    </row>
    <row r="69" spans="1:15" ht="21.95" customHeight="1">
      <c r="A69" s="471" t="s">
        <v>67</v>
      </c>
      <c r="B69" s="471"/>
      <c r="C69" s="471"/>
      <c r="D69" s="471"/>
      <c r="E69" s="471"/>
      <c r="F69" s="471"/>
      <c r="G69" s="471"/>
      <c r="H69" s="471"/>
      <c r="I69" s="471"/>
      <c r="J69" s="471"/>
      <c r="K69" s="471"/>
      <c r="L69" s="471"/>
      <c r="M69" s="471"/>
      <c r="N69" s="471"/>
      <c r="O69" s="471"/>
    </row>
    <row r="70" spans="1:15" ht="20.100000000000001" customHeight="1">
      <c r="A70" s="4"/>
      <c r="B70" s="13"/>
      <c r="C70" s="4"/>
      <c r="D70" s="4"/>
      <c r="E70" s="4"/>
      <c r="F70" s="4"/>
      <c r="G70" s="4"/>
      <c r="H70" s="4"/>
      <c r="I70" s="12"/>
    </row>
    <row r="71" spans="1:15" ht="63.95" customHeight="1">
      <c r="A71" s="431" t="s">
        <v>57</v>
      </c>
      <c r="B71" s="431"/>
      <c r="C71" s="431"/>
      <c r="D71" s="431" t="s">
        <v>79</v>
      </c>
      <c r="E71" s="431"/>
      <c r="F71" s="431"/>
      <c r="G71" s="431" t="s">
        <v>336</v>
      </c>
      <c r="H71" s="431"/>
      <c r="I71" s="431"/>
      <c r="J71" s="431" t="s">
        <v>331</v>
      </c>
      <c r="K71" s="431"/>
      <c r="L71" s="431"/>
      <c r="M71" s="431" t="s">
        <v>80</v>
      </c>
      <c r="N71" s="431"/>
      <c r="O71" s="431"/>
    </row>
    <row r="72" spans="1:15" ht="18" customHeight="1">
      <c r="A72" s="431">
        <v>1</v>
      </c>
      <c r="B72" s="431"/>
      <c r="C72" s="431"/>
      <c r="D72" s="431">
        <v>2</v>
      </c>
      <c r="E72" s="431"/>
      <c r="F72" s="431"/>
      <c r="G72" s="431">
        <v>3</v>
      </c>
      <c r="H72" s="431"/>
      <c r="I72" s="431"/>
      <c r="J72" s="432">
        <v>4</v>
      </c>
      <c r="K72" s="432"/>
      <c r="L72" s="432"/>
      <c r="M72" s="432">
        <v>5</v>
      </c>
      <c r="N72" s="432"/>
      <c r="O72" s="432"/>
    </row>
    <row r="73" spans="1:15" ht="20.100000000000001" customHeight="1">
      <c r="A73" s="468" t="s">
        <v>311</v>
      </c>
      <c r="B73" s="468"/>
      <c r="C73" s="468"/>
      <c r="D73" s="464"/>
      <c r="E73" s="464"/>
      <c r="F73" s="464"/>
      <c r="G73" s="464"/>
      <c r="H73" s="464"/>
      <c r="I73" s="464"/>
      <c r="J73" s="464"/>
      <c r="K73" s="464"/>
      <c r="L73" s="464"/>
      <c r="M73" s="464"/>
      <c r="N73" s="464"/>
      <c r="O73" s="464"/>
    </row>
    <row r="74" spans="1:15" ht="20.100000000000001" customHeight="1">
      <c r="A74" s="468" t="s">
        <v>101</v>
      </c>
      <c r="B74" s="468"/>
      <c r="C74" s="468"/>
      <c r="D74" s="464"/>
      <c r="E74" s="464"/>
      <c r="F74" s="464"/>
      <c r="G74" s="464"/>
      <c r="H74" s="464"/>
      <c r="I74" s="464"/>
      <c r="J74" s="464"/>
      <c r="K74" s="464"/>
      <c r="L74" s="464"/>
      <c r="M74" s="464"/>
      <c r="N74" s="464"/>
      <c r="O74" s="464"/>
    </row>
    <row r="75" spans="1:15" ht="20.100000000000001" customHeight="1">
      <c r="A75" s="468"/>
      <c r="B75" s="468"/>
      <c r="C75" s="468"/>
      <c r="D75" s="461"/>
      <c r="E75" s="462"/>
      <c r="F75" s="463"/>
      <c r="G75" s="461"/>
      <c r="H75" s="462"/>
      <c r="I75" s="463"/>
      <c r="J75" s="461"/>
      <c r="K75" s="462"/>
      <c r="L75" s="463"/>
      <c r="M75" s="461"/>
      <c r="N75" s="462"/>
      <c r="O75" s="463"/>
    </row>
    <row r="76" spans="1:15" ht="20.100000000000001" customHeight="1">
      <c r="A76" s="468" t="s">
        <v>312</v>
      </c>
      <c r="B76" s="468"/>
      <c r="C76" s="468"/>
      <c r="D76" s="464"/>
      <c r="E76" s="464"/>
      <c r="F76" s="464"/>
      <c r="G76" s="464"/>
      <c r="H76" s="464"/>
      <c r="I76" s="464"/>
      <c r="J76" s="464"/>
      <c r="K76" s="464"/>
      <c r="L76" s="464"/>
      <c r="M76" s="464"/>
      <c r="N76" s="464"/>
      <c r="O76" s="464"/>
    </row>
    <row r="77" spans="1:15" ht="20.100000000000001" customHeight="1">
      <c r="A77" s="468" t="s">
        <v>102</v>
      </c>
      <c r="B77" s="468"/>
      <c r="C77" s="468"/>
      <c r="D77" s="464"/>
      <c r="E77" s="464"/>
      <c r="F77" s="464"/>
      <c r="G77" s="464"/>
      <c r="H77" s="464"/>
      <c r="I77" s="464"/>
      <c r="J77" s="464"/>
      <c r="K77" s="464"/>
      <c r="L77" s="464"/>
      <c r="M77" s="464"/>
      <c r="N77" s="464"/>
      <c r="O77" s="464"/>
    </row>
    <row r="78" spans="1:15" ht="20.100000000000001" customHeight="1">
      <c r="A78" s="468"/>
      <c r="B78" s="468"/>
      <c r="C78" s="468"/>
      <c r="D78" s="461"/>
      <c r="E78" s="462"/>
      <c r="F78" s="463"/>
      <c r="G78" s="461"/>
      <c r="H78" s="462"/>
      <c r="I78" s="463"/>
      <c r="J78" s="461"/>
      <c r="K78" s="462"/>
      <c r="L78" s="463"/>
      <c r="M78" s="461"/>
      <c r="N78" s="462"/>
      <c r="O78" s="463"/>
    </row>
    <row r="79" spans="1:15" ht="20.100000000000001" customHeight="1">
      <c r="A79" s="468" t="s">
        <v>313</v>
      </c>
      <c r="B79" s="468"/>
      <c r="C79" s="468"/>
      <c r="D79" s="464"/>
      <c r="E79" s="464"/>
      <c r="F79" s="464"/>
      <c r="G79" s="464"/>
      <c r="H79" s="464"/>
      <c r="I79" s="464"/>
      <c r="J79" s="464"/>
      <c r="K79" s="464"/>
      <c r="L79" s="464"/>
      <c r="M79" s="464"/>
      <c r="N79" s="464"/>
      <c r="O79" s="464"/>
    </row>
    <row r="80" spans="1:15" ht="20.100000000000001" customHeight="1">
      <c r="A80" s="468" t="s">
        <v>101</v>
      </c>
      <c r="B80" s="468"/>
      <c r="C80" s="468"/>
      <c r="D80" s="464"/>
      <c r="E80" s="464"/>
      <c r="F80" s="464"/>
      <c r="G80" s="464"/>
      <c r="H80" s="464"/>
      <c r="I80" s="464"/>
      <c r="J80" s="464"/>
      <c r="K80" s="464"/>
      <c r="L80" s="464"/>
      <c r="M80" s="464"/>
      <c r="N80" s="464"/>
      <c r="O80" s="464"/>
    </row>
    <row r="81" spans="1:15" ht="20.100000000000001" customHeight="1">
      <c r="A81" s="465"/>
      <c r="B81" s="466"/>
      <c r="C81" s="467"/>
      <c r="D81" s="464"/>
      <c r="E81" s="464"/>
      <c r="F81" s="464"/>
      <c r="G81" s="464"/>
      <c r="H81" s="464"/>
      <c r="I81" s="464"/>
      <c r="J81" s="464"/>
      <c r="K81" s="464"/>
      <c r="L81" s="464"/>
      <c r="M81" s="464"/>
      <c r="N81" s="464"/>
      <c r="O81" s="464"/>
    </row>
    <row r="82" spans="1:15" ht="20.100000000000001" customHeight="1">
      <c r="A82" s="465" t="s">
        <v>50</v>
      </c>
      <c r="B82" s="466"/>
      <c r="C82" s="467"/>
      <c r="D82" s="460"/>
      <c r="E82" s="460"/>
      <c r="F82" s="460"/>
      <c r="G82" s="460"/>
      <c r="H82" s="460"/>
      <c r="I82" s="460"/>
      <c r="J82" s="464"/>
      <c r="K82" s="464"/>
      <c r="L82" s="464"/>
      <c r="M82" s="464"/>
      <c r="N82" s="464"/>
      <c r="O82" s="464"/>
    </row>
    <row r="83" spans="1:15">
      <c r="C83" s="25"/>
      <c r="D83" s="25"/>
      <c r="E83" s="25"/>
    </row>
    <row r="84" spans="1:15">
      <c r="C84" s="25"/>
      <c r="D84" s="25"/>
      <c r="E84" s="25"/>
    </row>
    <row r="85" spans="1:15">
      <c r="C85" s="25"/>
      <c r="D85" s="25"/>
      <c r="E85" s="25"/>
    </row>
  </sheetData>
  <sheetProtection insertColumns="0" insertRows="0"/>
  <mergeCells count="291">
    <mergeCell ref="A14:C14"/>
    <mergeCell ref="A12:C12"/>
    <mergeCell ref="F13:G13"/>
    <mergeCell ref="H13:I13"/>
    <mergeCell ref="A15:C15"/>
    <mergeCell ref="D13:E13"/>
    <mergeCell ref="A13:C13"/>
    <mergeCell ref="D15:E15"/>
    <mergeCell ref="D12:E12"/>
    <mergeCell ref="F15:G15"/>
    <mergeCell ref="N12:O12"/>
    <mergeCell ref="L14:M14"/>
    <mergeCell ref="L11:M11"/>
    <mergeCell ref="N20:O20"/>
    <mergeCell ref="N19:O19"/>
    <mergeCell ref="N17:O17"/>
    <mergeCell ref="L19:M19"/>
    <mergeCell ref="D14:E14"/>
    <mergeCell ref="H14:I14"/>
    <mergeCell ref="L12:M12"/>
    <mergeCell ref="F14:G14"/>
    <mergeCell ref="L15:M15"/>
    <mergeCell ref="L13:M13"/>
    <mergeCell ref="D10:E10"/>
    <mergeCell ref="H15:I15"/>
    <mergeCell ref="H12:I12"/>
    <mergeCell ref="N15:O15"/>
    <mergeCell ref="J15:K15"/>
    <mergeCell ref="F12:G12"/>
    <mergeCell ref="A11:K11"/>
    <mergeCell ref="Q57:R58"/>
    <mergeCell ref="A10:C10"/>
    <mergeCell ref="L10:M10"/>
    <mergeCell ref="J10:K10"/>
    <mergeCell ref="F10:G10"/>
    <mergeCell ref="H10:I10"/>
    <mergeCell ref="N16:O16"/>
    <mergeCell ref="D16:E16"/>
    <mergeCell ref="A16:C16"/>
    <mergeCell ref="J16:K16"/>
    <mergeCell ref="N11:O11"/>
    <mergeCell ref="N13:O13"/>
    <mergeCell ref="N10:O10"/>
    <mergeCell ref="J12:K12"/>
    <mergeCell ref="N14:O14"/>
    <mergeCell ref="J14:K14"/>
    <mergeCell ref="J13:K13"/>
    <mergeCell ref="A1:O1"/>
    <mergeCell ref="A2:O2"/>
    <mergeCell ref="A3:O3"/>
    <mergeCell ref="D9:E9"/>
    <mergeCell ref="F9:G9"/>
    <mergeCell ref="N9:O9"/>
    <mergeCell ref="A9:C9"/>
    <mergeCell ref="A4:O4"/>
    <mergeCell ref="H9:I9"/>
    <mergeCell ref="J9:K9"/>
    <mergeCell ref="L9:M9"/>
    <mergeCell ref="A7:O7"/>
    <mergeCell ref="A5:O5"/>
    <mergeCell ref="A28:C28"/>
    <mergeCell ref="D27:E27"/>
    <mergeCell ref="D17:E17"/>
    <mergeCell ref="D25:E25"/>
    <mergeCell ref="F27:G27"/>
    <mergeCell ref="N18:O18"/>
    <mergeCell ref="L20:M20"/>
    <mergeCell ref="L18:M18"/>
    <mergeCell ref="L16:M16"/>
    <mergeCell ref="H17:I17"/>
    <mergeCell ref="F17:G17"/>
    <mergeCell ref="H16:I16"/>
    <mergeCell ref="H20:I20"/>
    <mergeCell ref="H19:I19"/>
    <mergeCell ref="L17:M17"/>
    <mergeCell ref="F16:G16"/>
    <mergeCell ref="J19:K19"/>
    <mergeCell ref="A18:K18"/>
    <mergeCell ref="J17:K17"/>
    <mergeCell ref="J20:K20"/>
    <mergeCell ref="A19:C19"/>
    <mergeCell ref="F19:G19"/>
    <mergeCell ref="A20:C20"/>
    <mergeCell ref="A24:C24"/>
    <mergeCell ref="J24:K24"/>
    <mergeCell ref="D24:E24"/>
    <mergeCell ref="F23:G23"/>
    <mergeCell ref="J23:K23"/>
    <mergeCell ref="A23:C23"/>
    <mergeCell ref="H23:I23"/>
    <mergeCell ref="D20:E20"/>
    <mergeCell ref="D19:E19"/>
    <mergeCell ref="A21:C21"/>
    <mergeCell ref="A17:C17"/>
    <mergeCell ref="F21:G21"/>
    <mergeCell ref="F20:G20"/>
    <mergeCell ref="N21:O21"/>
    <mergeCell ref="N23:O23"/>
    <mergeCell ref="L21:M21"/>
    <mergeCell ref="A22:K22"/>
    <mergeCell ref="D23:E23"/>
    <mergeCell ref="L23:M23"/>
    <mergeCell ref="L22:M22"/>
    <mergeCell ref="N22:O22"/>
    <mergeCell ref="D21:E21"/>
    <mergeCell ref="H21:I21"/>
    <mergeCell ref="J21:K21"/>
    <mergeCell ref="N24:O24"/>
    <mergeCell ref="H24:I24"/>
    <mergeCell ref="J25:K25"/>
    <mergeCell ref="F25:G25"/>
    <mergeCell ref="N25:O25"/>
    <mergeCell ref="J27:K27"/>
    <mergeCell ref="N27:O27"/>
    <mergeCell ref="A26:K26"/>
    <mergeCell ref="A33:C33"/>
    <mergeCell ref="A25:C25"/>
    <mergeCell ref="A27:C27"/>
    <mergeCell ref="L24:M24"/>
    <mergeCell ref="H25:I25"/>
    <mergeCell ref="L25:M25"/>
    <mergeCell ref="H28:I28"/>
    <mergeCell ref="L26:M26"/>
    <mergeCell ref="H27:I27"/>
    <mergeCell ref="L28:M28"/>
    <mergeCell ref="F24:G24"/>
    <mergeCell ref="L29:M29"/>
    <mergeCell ref="N29:O29"/>
    <mergeCell ref="N32:O32"/>
    <mergeCell ref="D28:E28"/>
    <mergeCell ref="F28:G28"/>
    <mergeCell ref="J32:K32"/>
    <mergeCell ref="H32:I32"/>
    <mergeCell ref="L32:M32"/>
    <mergeCell ref="D32:E32"/>
    <mergeCell ref="B39:E39"/>
    <mergeCell ref="J29:K29"/>
    <mergeCell ref="A30:K30"/>
    <mergeCell ref="D29:E29"/>
    <mergeCell ref="A29:C29"/>
    <mergeCell ref="F29:G29"/>
    <mergeCell ref="A32:C32"/>
    <mergeCell ref="A31:C31"/>
    <mergeCell ref="F32:G32"/>
    <mergeCell ref="J31:K31"/>
    <mergeCell ref="D31:E31"/>
    <mergeCell ref="L27:M27"/>
    <mergeCell ref="N26:O26"/>
    <mergeCell ref="H29:I29"/>
    <mergeCell ref="B44:E44"/>
    <mergeCell ref="B42:E42"/>
    <mergeCell ref="F41:O41"/>
    <mergeCell ref="N33:O33"/>
    <mergeCell ref="B41:E41"/>
    <mergeCell ref="N30:O30"/>
    <mergeCell ref="L31:M31"/>
    <mergeCell ref="J33:K33"/>
    <mergeCell ref="F31:G31"/>
    <mergeCell ref="H31:I31"/>
    <mergeCell ref="F33:G33"/>
    <mergeCell ref="H33:I33"/>
    <mergeCell ref="N28:O28"/>
    <mergeCell ref="J28:K28"/>
    <mergeCell ref="L30:M30"/>
    <mergeCell ref="B43:E43"/>
    <mergeCell ref="F43:O43"/>
    <mergeCell ref="F44:O44"/>
    <mergeCell ref="F42:O42"/>
    <mergeCell ref="F40:O40"/>
    <mergeCell ref="N31:O31"/>
    <mergeCell ref="D65:E65"/>
    <mergeCell ref="J53:L53"/>
    <mergeCell ref="F39:O39"/>
    <mergeCell ref="A37:O37"/>
    <mergeCell ref="L33:M33"/>
    <mergeCell ref="A35:O35"/>
    <mergeCell ref="D33:E33"/>
    <mergeCell ref="B40:E40"/>
    <mergeCell ref="B45:E45"/>
    <mergeCell ref="F45:O45"/>
    <mergeCell ref="D64:E64"/>
    <mergeCell ref="A51:J51"/>
    <mergeCell ref="M53:O53"/>
    <mergeCell ref="A53:A54"/>
    <mergeCell ref="B53:C53"/>
    <mergeCell ref="D53:F53"/>
    <mergeCell ref="B62:C62"/>
    <mergeCell ref="B64:C64"/>
    <mergeCell ref="K62:L62"/>
    <mergeCell ref="M65:O65"/>
    <mergeCell ref="F64:G64"/>
    <mergeCell ref="F65:G65"/>
    <mergeCell ref="K64:L64"/>
    <mergeCell ref="H65:J65"/>
    <mergeCell ref="H64:J64"/>
    <mergeCell ref="M64:O64"/>
    <mergeCell ref="H63:J63"/>
    <mergeCell ref="F48:O48"/>
    <mergeCell ref="B46:E46"/>
    <mergeCell ref="F47:O47"/>
    <mergeCell ref="B47:E47"/>
    <mergeCell ref="B49:E49"/>
    <mergeCell ref="B48:E48"/>
    <mergeCell ref="F49:O49"/>
    <mergeCell ref="F46:O46"/>
    <mergeCell ref="K63:L63"/>
    <mergeCell ref="A60:O60"/>
    <mergeCell ref="M63:O63"/>
    <mergeCell ref="F63:G63"/>
    <mergeCell ref="M62:O62"/>
    <mergeCell ref="B66:C66"/>
    <mergeCell ref="H66:J66"/>
    <mergeCell ref="B65:C65"/>
    <mergeCell ref="D63:E63"/>
    <mergeCell ref="B63:C63"/>
    <mergeCell ref="M72:O72"/>
    <mergeCell ref="D66:E66"/>
    <mergeCell ref="G53:I53"/>
    <mergeCell ref="F66:G66"/>
    <mergeCell ref="K65:L65"/>
    <mergeCell ref="F62:G62"/>
    <mergeCell ref="H62:J62"/>
    <mergeCell ref="D62:E62"/>
    <mergeCell ref="M66:O66"/>
    <mergeCell ref="K66:L66"/>
    <mergeCell ref="A72:C72"/>
    <mergeCell ref="J72:L72"/>
    <mergeCell ref="M71:O71"/>
    <mergeCell ref="J71:L71"/>
    <mergeCell ref="M67:O67"/>
    <mergeCell ref="H67:J67"/>
    <mergeCell ref="B67:C67"/>
    <mergeCell ref="D67:E67"/>
    <mergeCell ref="A71:C71"/>
    <mergeCell ref="D71:F71"/>
    <mergeCell ref="K67:L67"/>
    <mergeCell ref="A69:O69"/>
    <mergeCell ref="G71:I71"/>
    <mergeCell ref="F67:G67"/>
    <mergeCell ref="J80:L80"/>
    <mergeCell ref="M77:O77"/>
    <mergeCell ref="M79:O79"/>
    <mergeCell ref="M78:O78"/>
    <mergeCell ref="J78:L78"/>
    <mergeCell ref="J81:L81"/>
    <mergeCell ref="M74:O74"/>
    <mergeCell ref="A74:C74"/>
    <mergeCell ref="D72:F72"/>
    <mergeCell ref="D73:F73"/>
    <mergeCell ref="A73:C73"/>
    <mergeCell ref="G74:I74"/>
    <mergeCell ref="D74:F74"/>
    <mergeCell ref="J74:L74"/>
    <mergeCell ref="J79:L79"/>
    <mergeCell ref="J77:L77"/>
    <mergeCell ref="M73:O73"/>
    <mergeCell ref="J73:L73"/>
    <mergeCell ref="M75:O75"/>
    <mergeCell ref="D77:F77"/>
    <mergeCell ref="G77:I77"/>
    <mergeCell ref="A79:C79"/>
    <mergeCell ref="D79:F79"/>
    <mergeCell ref="G79:I79"/>
    <mergeCell ref="G78:I78"/>
    <mergeCell ref="D78:F78"/>
    <mergeCell ref="A78:C78"/>
    <mergeCell ref="G72:I72"/>
    <mergeCell ref="D82:F82"/>
    <mergeCell ref="G82:I82"/>
    <mergeCell ref="J75:L75"/>
    <mergeCell ref="M76:O76"/>
    <mergeCell ref="J76:L76"/>
    <mergeCell ref="G73:I73"/>
    <mergeCell ref="G80:I80"/>
    <mergeCell ref="A82:C82"/>
    <mergeCell ref="A80:C80"/>
    <mergeCell ref="M82:O82"/>
    <mergeCell ref="A81:C81"/>
    <mergeCell ref="G81:I81"/>
    <mergeCell ref="D81:F81"/>
    <mergeCell ref="J82:L82"/>
    <mergeCell ref="M81:O81"/>
    <mergeCell ref="D80:F80"/>
    <mergeCell ref="M80:O80"/>
    <mergeCell ref="A77:C77"/>
    <mergeCell ref="A76:C76"/>
    <mergeCell ref="G75:I75"/>
    <mergeCell ref="D75:F75"/>
    <mergeCell ref="G76:I76"/>
    <mergeCell ref="D76:F76"/>
    <mergeCell ref="A75:C75"/>
  </mergeCells>
  <phoneticPr fontId="3" type="noConversion"/>
  <pageMargins left="0.70866141732283461" right="0.70866141732283461" top="0.74803149606299213" bottom="0.74803149606299213" header="0.31496062992125984" footer="0.31496062992125984"/>
  <pageSetup paperSize="9" scale="47" orientation="landscape" horizontalDpi="1200" verticalDpi="1200" r:id="rId1"/>
  <headerFooter alignWithMargins="0"/>
  <rowBreaks count="1" manualBreakCount="1">
    <brk id="49" max="14" man="1"/>
  </rowBreaks>
  <ignoredErrors>
    <ignoredError sqref="E58:M58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3:S68"/>
  <sheetViews>
    <sheetView topLeftCell="B22" workbookViewId="0">
      <selection activeCell="M43" sqref="M43"/>
    </sheetView>
  </sheetViews>
  <sheetFormatPr defaultRowHeight="12.75"/>
  <cols>
    <col min="2" max="2" width="21.5703125" customWidth="1"/>
    <col min="5" max="5" width="9.42578125" customWidth="1"/>
    <col min="7" max="7" width="10.85546875" customWidth="1"/>
    <col min="8" max="8" width="11.7109375" hidden="1" customWidth="1"/>
    <col min="9" max="9" width="0" hidden="1" customWidth="1"/>
    <col min="10" max="10" width="11" customWidth="1"/>
    <col min="11" max="11" width="10.85546875" customWidth="1"/>
    <col min="12" max="13" width="11.5703125" customWidth="1"/>
    <col min="14" max="14" width="10.140625" customWidth="1"/>
    <col min="15" max="15" width="9.5703125" bestFit="1" customWidth="1"/>
    <col min="16" max="16" width="9.85546875" customWidth="1"/>
    <col min="17" max="17" width="9.5703125" bestFit="1" customWidth="1"/>
    <col min="18" max="18" width="9.85546875" customWidth="1"/>
    <col min="19" max="19" width="9.5703125" bestFit="1" customWidth="1"/>
  </cols>
  <sheetData>
    <row r="3" spans="1:19">
      <c r="A3" s="188"/>
      <c r="B3" s="189"/>
      <c r="C3" s="188"/>
      <c r="D3" s="191" t="s">
        <v>422</v>
      </c>
      <c r="E3" s="191" t="s">
        <v>423</v>
      </c>
      <c r="F3" s="188"/>
      <c r="G3" s="188"/>
      <c r="H3" s="188"/>
      <c r="I3" s="188"/>
    </row>
    <row r="4" spans="1:19">
      <c r="A4" s="188" t="s">
        <v>203</v>
      </c>
      <c r="B4" s="189"/>
      <c r="C4" s="188"/>
      <c r="D4" s="191" t="s">
        <v>424</v>
      </c>
      <c r="E4" s="191" t="s">
        <v>425</v>
      </c>
      <c r="F4" s="188" t="s">
        <v>426</v>
      </c>
      <c r="G4" s="188" t="s">
        <v>427</v>
      </c>
      <c r="H4" s="188" t="s">
        <v>428</v>
      </c>
      <c r="I4" s="189" t="s">
        <v>429</v>
      </c>
      <c r="J4" s="213"/>
      <c r="K4" s="209" t="s">
        <v>521</v>
      </c>
      <c r="L4" s="208" t="s">
        <v>522</v>
      </c>
      <c r="M4" s="208" t="s">
        <v>349</v>
      </c>
      <c r="N4" s="208" t="s">
        <v>522</v>
      </c>
      <c r="O4" s="208" t="s">
        <v>350</v>
      </c>
      <c r="P4" s="208" t="s">
        <v>522</v>
      </c>
      <c r="Q4" s="208" t="s">
        <v>71</v>
      </c>
      <c r="R4" s="208" t="s">
        <v>522</v>
      </c>
      <c r="S4" s="208" t="s">
        <v>523</v>
      </c>
    </row>
    <row r="5" spans="1:19">
      <c r="A5" s="188" t="s">
        <v>430</v>
      </c>
      <c r="B5" s="190" t="s">
        <v>431</v>
      </c>
      <c r="C5" s="191" t="s">
        <v>432</v>
      </c>
      <c r="D5" s="191" t="s">
        <v>433</v>
      </c>
      <c r="E5" s="191" t="s">
        <v>434</v>
      </c>
      <c r="F5" s="188"/>
      <c r="G5" s="188"/>
      <c r="H5" s="188" t="s">
        <v>435</v>
      </c>
      <c r="I5" s="189" t="s">
        <v>436</v>
      </c>
      <c r="J5" s="214"/>
    </row>
    <row r="6" spans="1:19">
      <c r="A6" s="191"/>
      <c r="B6" s="194" t="s">
        <v>437</v>
      </c>
      <c r="C6" s="195"/>
      <c r="D6" s="196"/>
      <c r="E6" s="195"/>
      <c r="F6" s="188"/>
      <c r="G6" s="188"/>
      <c r="H6" s="188"/>
      <c r="I6" s="189"/>
      <c r="J6" s="214"/>
    </row>
    <row r="7" spans="1:19">
      <c r="A7" s="191"/>
      <c r="B7" s="194"/>
      <c r="C7" s="195"/>
      <c r="D7" s="196"/>
      <c r="E7" s="195"/>
      <c r="F7" s="188"/>
      <c r="G7" s="188"/>
      <c r="H7" s="188"/>
      <c r="I7" s="189"/>
      <c r="J7" s="214"/>
    </row>
    <row r="8" spans="1:19" s="227" customFormat="1">
      <c r="A8" s="221" t="s">
        <v>438</v>
      </c>
      <c r="B8" s="267" t="s">
        <v>397</v>
      </c>
      <c r="C8" s="264">
        <v>18000</v>
      </c>
      <c r="D8" s="223">
        <v>1</v>
      </c>
      <c r="E8" s="222">
        <f>C8</f>
        <v>18000</v>
      </c>
      <c r="F8" s="224"/>
      <c r="G8" s="224">
        <f>E8</f>
        <v>18000</v>
      </c>
      <c r="H8" s="224">
        <v>118464</v>
      </c>
      <c r="I8" s="220" t="s">
        <v>439</v>
      </c>
      <c r="J8" s="225"/>
      <c r="K8" s="226">
        <f>E8*3</f>
        <v>54000</v>
      </c>
      <c r="L8" s="227">
        <f>F8*3</f>
        <v>0</v>
      </c>
      <c r="M8" s="226">
        <f>E8*6</f>
        <v>108000</v>
      </c>
      <c r="N8" s="227">
        <f>F8*6</f>
        <v>0</v>
      </c>
      <c r="O8" s="226">
        <f>E8*9</f>
        <v>162000</v>
      </c>
      <c r="P8" s="227">
        <f>F8*9</f>
        <v>0</v>
      </c>
      <c r="Q8" s="226">
        <f>E8*12</f>
        <v>216000</v>
      </c>
      <c r="R8" s="227">
        <f>F8*12</f>
        <v>0</v>
      </c>
      <c r="S8" s="226">
        <f>Q8+R8</f>
        <v>216000</v>
      </c>
    </row>
    <row r="9" spans="1:19" s="227" customFormat="1">
      <c r="A9" s="221" t="s">
        <v>440</v>
      </c>
      <c r="B9" s="267" t="s">
        <v>441</v>
      </c>
      <c r="C9" s="244">
        <v>7000</v>
      </c>
      <c r="D9" s="223">
        <v>1</v>
      </c>
      <c r="E9" s="222">
        <f>C9</f>
        <v>7000</v>
      </c>
      <c r="F9" s="224"/>
      <c r="G9" s="224">
        <f>E9</f>
        <v>7000</v>
      </c>
      <c r="H9" s="224">
        <v>49200</v>
      </c>
      <c r="I9" s="220" t="s">
        <v>442</v>
      </c>
      <c r="J9" s="225"/>
      <c r="K9" s="226">
        <f t="shared" ref="K9:K26" si="0">E9*3</f>
        <v>21000</v>
      </c>
      <c r="L9" s="227">
        <f t="shared" ref="L9:L27" si="1">F9*3</f>
        <v>0</v>
      </c>
      <c r="M9" s="226">
        <f t="shared" ref="M9:M27" si="2">E9*6</f>
        <v>42000</v>
      </c>
      <c r="N9" s="227">
        <f t="shared" ref="N9:N27" si="3">F9*6</f>
        <v>0</v>
      </c>
      <c r="O9" s="226">
        <f t="shared" ref="O9:O27" si="4">E9*9</f>
        <v>63000</v>
      </c>
      <c r="P9" s="227">
        <f t="shared" ref="P9:P27" si="5">F9*9</f>
        <v>0</v>
      </c>
      <c r="Q9" s="226">
        <f t="shared" ref="Q9:Q27" si="6">E9*12</f>
        <v>84000</v>
      </c>
      <c r="R9" s="227">
        <f t="shared" ref="R9:R27" si="7">F9*12</f>
        <v>0</v>
      </c>
      <c r="S9" s="226">
        <f t="shared" ref="S9:S27" si="8">Q9+R9</f>
        <v>84000</v>
      </c>
    </row>
    <row r="10" spans="1:19" s="227" customFormat="1">
      <c r="A10" s="221" t="s">
        <v>443</v>
      </c>
      <c r="B10" s="267" t="s">
        <v>444</v>
      </c>
      <c r="C10" s="244">
        <v>6000</v>
      </c>
      <c r="D10" s="223">
        <v>0.5</v>
      </c>
      <c r="E10" s="222">
        <f>C10/2</f>
        <v>3000</v>
      </c>
      <c r="F10" s="280"/>
      <c r="G10" s="224">
        <f>E10</f>
        <v>3000</v>
      </c>
      <c r="H10" s="224">
        <v>22500</v>
      </c>
      <c r="I10" s="220" t="s">
        <v>442</v>
      </c>
      <c r="J10" s="225"/>
      <c r="K10" s="226">
        <f t="shared" si="0"/>
        <v>9000</v>
      </c>
      <c r="L10" s="227">
        <f t="shared" si="1"/>
        <v>0</v>
      </c>
      <c r="M10" s="226">
        <f t="shared" si="2"/>
        <v>18000</v>
      </c>
      <c r="N10" s="227">
        <f t="shared" si="3"/>
        <v>0</v>
      </c>
      <c r="O10" s="226">
        <f t="shared" si="4"/>
        <v>27000</v>
      </c>
      <c r="P10" s="227">
        <f t="shared" si="5"/>
        <v>0</v>
      </c>
      <c r="Q10" s="226">
        <f t="shared" si="6"/>
        <v>36000</v>
      </c>
      <c r="R10" s="227">
        <f t="shared" si="7"/>
        <v>0</v>
      </c>
      <c r="S10" s="226">
        <f t="shared" si="8"/>
        <v>36000</v>
      </c>
    </row>
    <row r="11" spans="1:19" s="215" customFormat="1">
      <c r="A11" s="221" t="s">
        <v>449</v>
      </c>
      <c r="B11" s="267" t="s">
        <v>452</v>
      </c>
      <c r="C11" s="244">
        <v>6780</v>
      </c>
      <c r="D11" s="281">
        <v>1</v>
      </c>
      <c r="E11" s="282">
        <f>C11</f>
        <v>6780</v>
      </c>
      <c r="F11" s="280"/>
      <c r="G11" s="280">
        <f>E11</f>
        <v>6780</v>
      </c>
      <c r="H11" s="280">
        <v>48000</v>
      </c>
      <c r="I11" s="283" t="s">
        <v>442</v>
      </c>
      <c r="J11" s="284"/>
      <c r="K11" s="226">
        <f t="shared" si="0"/>
        <v>20340</v>
      </c>
      <c r="L11" s="227">
        <f t="shared" si="1"/>
        <v>0</v>
      </c>
      <c r="M11" s="226">
        <f t="shared" si="2"/>
        <v>40680</v>
      </c>
      <c r="N11" s="227">
        <f t="shared" si="3"/>
        <v>0</v>
      </c>
      <c r="O11" s="226">
        <f t="shared" si="4"/>
        <v>61020</v>
      </c>
      <c r="P11" s="227">
        <f t="shared" si="5"/>
        <v>0</v>
      </c>
      <c r="Q11" s="226">
        <f t="shared" si="6"/>
        <v>81360</v>
      </c>
      <c r="R11" s="227">
        <f t="shared" si="7"/>
        <v>0</v>
      </c>
      <c r="S11" s="226">
        <f t="shared" si="8"/>
        <v>81360</v>
      </c>
    </row>
    <row r="12" spans="1:19">
      <c r="A12" s="191"/>
      <c r="B12" s="200" t="s">
        <v>445</v>
      </c>
      <c r="C12" s="201"/>
      <c r="D12" s="202">
        <f>SUM(D8:D11)</f>
        <v>3.5</v>
      </c>
      <c r="E12" s="201">
        <f>SUM(E8:E11)</f>
        <v>34780</v>
      </c>
      <c r="F12" s="203"/>
      <c r="G12" s="203">
        <f>SUM(G8:G11)</f>
        <v>34780</v>
      </c>
      <c r="H12" s="203">
        <v>190164</v>
      </c>
      <c r="I12" s="189" t="s">
        <v>446</v>
      </c>
      <c r="J12" s="214"/>
      <c r="K12" s="226"/>
      <c r="L12" s="227"/>
      <c r="M12" s="226"/>
      <c r="N12" s="227"/>
      <c r="O12" s="226"/>
      <c r="P12" s="227"/>
      <c r="Q12" s="226"/>
      <c r="R12" s="227"/>
      <c r="S12" s="226"/>
    </row>
    <row r="13" spans="1:19">
      <c r="A13" s="191"/>
      <c r="B13" s="200"/>
      <c r="C13" s="201"/>
      <c r="D13" s="202"/>
      <c r="E13" s="201"/>
      <c r="F13" s="203"/>
      <c r="G13" s="203"/>
      <c r="H13" s="188"/>
      <c r="I13" s="189" t="s">
        <v>447</v>
      </c>
      <c r="J13" s="214"/>
      <c r="K13" s="226">
        <f t="shared" si="0"/>
        <v>0</v>
      </c>
      <c r="L13" s="227">
        <f t="shared" si="1"/>
        <v>0</v>
      </c>
      <c r="M13" s="226">
        <f t="shared" si="2"/>
        <v>0</v>
      </c>
      <c r="N13" s="227">
        <f t="shared" si="3"/>
        <v>0</v>
      </c>
      <c r="O13" s="226">
        <f t="shared" si="4"/>
        <v>0</v>
      </c>
      <c r="P13" s="227">
        <f t="shared" si="5"/>
        <v>0</v>
      </c>
      <c r="Q13" s="226">
        <f t="shared" si="6"/>
        <v>0</v>
      </c>
      <c r="R13" s="227">
        <f t="shared" si="7"/>
        <v>0</v>
      </c>
      <c r="S13" s="226">
        <f t="shared" si="8"/>
        <v>0</v>
      </c>
    </row>
    <row r="14" spans="1:19">
      <c r="A14" s="191"/>
      <c r="B14" s="200" t="s">
        <v>448</v>
      </c>
      <c r="C14" s="195"/>
      <c r="D14" s="196"/>
      <c r="E14" s="195"/>
      <c r="F14" s="198"/>
      <c r="G14" s="198"/>
      <c r="H14" s="188"/>
      <c r="I14" s="189"/>
      <c r="J14" s="214"/>
      <c r="K14" s="226">
        <f t="shared" si="0"/>
        <v>0</v>
      </c>
      <c r="L14" s="227">
        <f t="shared" si="1"/>
        <v>0</v>
      </c>
      <c r="M14" s="226">
        <f t="shared" si="2"/>
        <v>0</v>
      </c>
      <c r="N14" s="227">
        <f t="shared" si="3"/>
        <v>0</v>
      </c>
      <c r="O14" s="226">
        <f t="shared" si="4"/>
        <v>0</v>
      </c>
      <c r="P14" s="227">
        <f t="shared" si="5"/>
        <v>0</v>
      </c>
      <c r="Q14" s="226">
        <f t="shared" si="6"/>
        <v>0</v>
      </c>
      <c r="R14" s="227">
        <f t="shared" si="7"/>
        <v>0</v>
      </c>
      <c r="S14" s="226">
        <f t="shared" si="8"/>
        <v>0</v>
      </c>
    </row>
    <row r="15" spans="1:19">
      <c r="A15" s="191" t="s">
        <v>449</v>
      </c>
      <c r="B15" s="271"/>
      <c r="C15" s="244"/>
      <c r="D15" s="270"/>
      <c r="E15" s="245">
        <f>C15</f>
        <v>0</v>
      </c>
      <c r="F15" s="199"/>
      <c r="G15" s="199">
        <f>E15</f>
        <v>0</v>
      </c>
      <c r="H15" s="199">
        <v>49200</v>
      </c>
      <c r="I15" s="189" t="s">
        <v>450</v>
      </c>
      <c r="J15" s="214"/>
      <c r="K15" s="226">
        <f t="shared" si="0"/>
        <v>0</v>
      </c>
      <c r="L15" s="227">
        <f t="shared" si="1"/>
        <v>0</v>
      </c>
      <c r="M15" s="226">
        <f t="shared" si="2"/>
        <v>0</v>
      </c>
      <c r="N15" s="227">
        <f t="shared" si="3"/>
        <v>0</v>
      </c>
      <c r="O15" s="226">
        <f t="shared" si="4"/>
        <v>0</v>
      </c>
      <c r="P15" s="227">
        <f t="shared" si="5"/>
        <v>0</v>
      </c>
      <c r="Q15" s="226">
        <f t="shared" si="6"/>
        <v>0</v>
      </c>
      <c r="R15" s="227">
        <f t="shared" si="7"/>
        <v>0</v>
      </c>
      <c r="S15" s="226">
        <f t="shared" si="8"/>
        <v>0</v>
      </c>
    </row>
    <row r="16" spans="1:19">
      <c r="A16" s="191" t="s">
        <v>451</v>
      </c>
      <c r="B16" s="197" t="s">
        <v>454</v>
      </c>
      <c r="C16" s="244">
        <v>6480</v>
      </c>
      <c r="D16" s="266">
        <v>1</v>
      </c>
      <c r="E16" s="245">
        <f>C16*D16</f>
        <v>6480</v>
      </c>
      <c r="F16" s="199"/>
      <c r="G16" s="199">
        <f>E16</f>
        <v>6480</v>
      </c>
      <c r="H16" s="199">
        <v>96000</v>
      </c>
      <c r="I16" s="189" t="s">
        <v>450</v>
      </c>
      <c r="J16" s="214"/>
      <c r="K16" s="226">
        <f t="shared" si="0"/>
        <v>19440</v>
      </c>
      <c r="L16" s="227">
        <f t="shared" si="1"/>
        <v>0</v>
      </c>
      <c r="M16" s="226">
        <f t="shared" si="2"/>
        <v>38880</v>
      </c>
      <c r="N16" s="227">
        <f t="shared" si="3"/>
        <v>0</v>
      </c>
      <c r="O16" s="226">
        <f t="shared" si="4"/>
        <v>58320</v>
      </c>
      <c r="P16" s="227">
        <f t="shared" si="5"/>
        <v>0</v>
      </c>
      <c r="Q16" s="226">
        <f t="shared" si="6"/>
        <v>77760</v>
      </c>
      <c r="R16" s="227">
        <f t="shared" si="7"/>
        <v>0</v>
      </c>
      <c r="S16" s="226">
        <f t="shared" si="8"/>
        <v>77760</v>
      </c>
    </row>
    <row r="17" spans="1:19">
      <c r="A17" s="191" t="s">
        <v>453</v>
      </c>
      <c r="B17" s="197" t="s">
        <v>455</v>
      </c>
      <c r="C17" s="244">
        <v>6430</v>
      </c>
      <c r="D17" s="266">
        <v>1</v>
      </c>
      <c r="E17" s="245">
        <f>C17*D17</f>
        <v>6430</v>
      </c>
      <c r="F17" s="199"/>
      <c r="G17" s="199">
        <f>E17</f>
        <v>6430</v>
      </c>
      <c r="H17" s="199">
        <v>142200</v>
      </c>
      <c r="I17" s="189" t="s">
        <v>450</v>
      </c>
      <c r="J17" s="214"/>
      <c r="K17" s="226">
        <f t="shared" si="0"/>
        <v>19290</v>
      </c>
      <c r="L17" s="227">
        <f t="shared" si="1"/>
        <v>0</v>
      </c>
      <c r="M17" s="226">
        <f t="shared" si="2"/>
        <v>38580</v>
      </c>
      <c r="N17" s="227">
        <f t="shared" si="3"/>
        <v>0</v>
      </c>
      <c r="O17" s="226">
        <f t="shared" si="4"/>
        <v>57870</v>
      </c>
      <c r="P17" s="227">
        <f t="shared" si="5"/>
        <v>0</v>
      </c>
      <c r="Q17" s="226">
        <f t="shared" si="6"/>
        <v>77160</v>
      </c>
      <c r="R17" s="227">
        <f t="shared" si="7"/>
        <v>0</v>
      </c>
      <c r="S17" s="226">
        <f t="shared" si="8"/>
        <v>77160</v>
      </c>
    </row>
    <row r="18" spans="1:19">
      <c r="A18" s="191" t="s">
        <v>504</v>
      </c>
      <c r="B18" s="267" t="s">
        <v>456</v>
      </c>
      <c r="C18" s="244">
        <v>6380</v>
      </c>
      <c r="D18" s="266">
        <v>1</v>
      </c>
      <c r="E18" s="245">
        <f>C18</f>
        <v>6380</v>
      </c>
      <c r="F18" s="199"/>
      <c r="G18" s="199">
        <f>E18</f>
        <v>6380</v>
      </c>
      <c r="H18" s="199">
        <v>46800</v>
      </c>
      <c r="I18" s="189" t="s">
        <v>450</v>
      </c>
      <c r="J18" s="214"/>
      <c r="K18" s="226">
        <f t="shared" si="0"/>
        <v>19140</v>
      </c>
      <c r="L18" s="227">
        <f t="shared" si="1"/>
        <v>0</v>
      </c>
      <c r="M18" s="226">
        <f t="shared" si="2"/>
        <v>38280</v>
      </c>
      <c r="N18" s="227">
        <f t="shared" si="3"/>
        <v>0</v>
      </c>
      <c r="O18" s="226">
        <f t="shared" si="4"/>
        <v>57420</v>
      </c>
      <c r="P18" s="227">
        <f t="shared" si="5"/>
        <v>0</v>
      </c>
      <c r="Q18" s="226">
        <f t="shared" si="6"/>
        <v>76560</v>
      </c>
      <c r="R18" s="227">
        <f t="shared" si="7"/>
        <v>0</v>
      </c>
      <c r="S18" s="226">
        <f t="shared" si="8"/>
        <v>76560</v>
      </c>
    </row>
    <row r="19" spans="1:19">
      <c r="A19" s="191"/>
      <c r="B19" s="200" t="s">
        <v>445</v>
      </c>
      <c r="C19" s="195"/>
      <c r="D19" s="202">
        <f>SUM(D15:D18)</f>
        <v>3</v>
      </c>
      <c r="E19" s="201">
        <f>SUM(E15:E18)</f>
        <v>19290</v>
      </c>
      <c r="F19" s="203"/>
      <c r="G19" s="203">
        <f>SUM(G15:G18)</f>
        <v>19290</v>
      </c>
      <c r="H19" s="203">
        <v>382200</v>
      </c>
      <c r="I19" s="189" t="s">
        <v>457</v>
      </c>
      <c r="J19" s="214"/>
      <c r="K19" s="226"/>
      <c r="L19" s="227"/>
      <c r="M19" s="226"/>
      <c r="N19" s="227"/>
      <c r="O19" s="226"/>
      <c r="P19" s="227"/>
      <c r="Q19" s="226"/>
      <c r="R19" s="227"/>
      <c r="S19" s="226"/>
    </row>
    <row r="20" spans="1:19">
      <c r="A20" s="191"/>
      <c r="B20" s="200"/>
      <c r="C20" s="195"/>
      <c r="D20" s="196"/>
      <c r="E20" s="195"/>
      <c r="F20" s="198"/>
      <c r="G20" s="198"/>
      <c r="H20" s="198"/>
      <c r="I20" s="189" t="s">
        <v>447</v>
      </c>
      <c r="J20" s="214"/>
      <c r="K20" s="226">
        <f t="shared" si="0"/>
        <v>0</v>
      </c>
      <c r="L20" s="227">
        <f t="shared" si="1"/>
        <v>0</v>
      </c>
      <c r="M20" s="226">
        <f t="shared" si="2"/>
        <v>0</v>
      </c>
      <c r="N20" s="227">
        <f t="shared" si="3"/>
        <v>0</v>
      </c>
      <c r="O20" s="226">
        <f t="shared" si="4"/>
        <v>0</v>
      </c>
      <c r="P20" s="227">
        <f t="shared" si="5"/>
        <v>0</v>
      </c>
      <c r="Q20" s="226">
        <f t="shared" si="6"/>
        <v>0</v>
      </c>
      <c r="R20" s="227">
        <f t="shared" si="7"/>
        <v>0</v>
      </c>
      <c r="S20" s="226">
        <f t="shared" si="8"/>
        <v>0</v>
      </c>
    </row>
    <row r="21" spans="1:19">
      <c r="A21" s="191"/>
      <c r="B21" s="200" t="s">
        <v>458</v>
      </c>
      <c r="C21" s="195"/>
      <c r="D21" s="196"/>
      <c r="E21" s="195"/>
      <c r="F21" s="198"/>
      <c r="G21" s="198"/>
      <c r="H21" s="198"/>
      <c r="I21" s="189"/>
      <c r="J21" s="214"/>
      <c r="K21" s="226">
        <f t="shared" si="0"/>
        <v>0</v>
      </c>
      <c r="L21" s="227">
        <f t="shared" si="1"/>
        <v>0</v>
      </c>
      <c r="M21" s="226">
        <f t="shared" si="2"/>
        <v>0</v>
      </c>
      <c r="N21" s="227">
        <f t="shared" si="3"/>
        <v>0</v>
      </c>
      <c r="O21" s="226">
        <f t="shared" si="4"/>
        <v>0</v>
      </c>
      <c r="P21" s="227">
        <f t="shared" si="5"/>
        <v>0</v>
      </c>
      <c r="Q21" s="226">
        <f t="shared" si="6"/>
        <v>0</v>
      </c>
      <c r="R21" s="227">
        <f t="shared" si="7"/>
        <v>0</v>
      </c>
      <c r="S21" s="226">
        <f t="shared" si="8"/>
        <v>0</v>
      </c>
    </row>
    <row r="22" spans="1:19" s="215" customFormat="1">
      <c r="A22" s="236" t="s">
        <v>505</v>
      </c>
      <c r="B22" s="272"/>
      <c r="C22" s="244"/>
      <c r="D22" s="273"/>
      <c r="E22" s="245">
        <f t="shared" ref="E22:E27" si="9">C22</f>
        <v>0</v>
      </c>
      <c r="F22" s="199"/>
      <c r="G22" s="199">
        <f t="shared" ref="G22:G27" si="10">E22</f>
        <v>0</v>
      </c>
      <c r="H22" s="237">
        <v>45600</v>
      </c>
      <c r="I22" s="197" t="s">
        <v>442</v>
      </c>
      <c r="J22" s="238"/>
      <c r="K22" s="226">
        <f t="shared" si="0"/>
        <v>0</v>
      </c>
      <c r="L22" s="227">
        <f t="shared" si="1"/>
        <v>0</v>
      </c>
      <c r="M22" s="226">
        <f t="shared" si="2"/>
        <v>0</v>
      </c>
      <c r="N22" s="227">
        <f t="shared" si="3"/>
        <v>0</v>
      </c>
      <c r="O22" s="226">
        <f t="shared" si="4"/>
        <v>0</v>
      </c>
      <c r="P22" s="227">
        <f t="shared" si="5"/>
        <v>0</v>
      </c>
      <c r="Q22" s="226">
        <f t="shared" si="6"/>
        <v>0</v>
      </c>
      <c r="R22" s="227">
        <f t="shared" si="7"/>
        <v>0</v>
      </c>
      <c r="S22" s="226">
        <f t="shared" si="8"/>
        <v>0</v>
      </c>
    </row>
    <row r="23" spans="1:19">
      <c r="A23" s="236" t="s">
        <v>459</v>
      </c>
      <c r="B23" s="267" t="s">
        <v>460</v>
      </c>
      <c r="C23" s="244">
        <v>6150</v>
      </c>
      <c r="D23" s="265">
        <v>2</v>
      </c>
      <c r="E23" s="245">
        <f>C23*D23</f>
        <v>12300</v>
      </c>
      <c r="F23" s="199"/>
      <c r="G23" s="199">
        <f t="shared" si="10"/>
        <v>12300</v>
      </c>
      <c r="H23" s="199">
        <v>91200</v>
      </c>
      <c r="I23" s="189" t="s">
        <v>450</v>
      </c>
      <c r="J23" s="214"/>
      <c r="K23" s="226">
        <f t="shared" si="0"/>
        <v>36900</v>
      </c>
      <c r="L23" s="227">
        <f t="shared" si="1"/>
        <v>0</v>
      </c>
      <c r="M23" s="226">
        <f t="shared" si="2"/>
        <v>73800</v>
      </c>
      <c r="N23" s="227">
        <f t="shared" si="3"/>
        <v>0</v>
      </c>
      <c r="O23" s="226">
        <f t="shared" si="4"/>
        <v>110700</v>
      </c>
      <c r="P23" s="227">
        <f t="shared" si="5"/>
        <v>0</v>
      </c>
      <c r="Q23" s="226">
        <f t="shared" si="6"/>
        <v>147600</v>
      </c>
      <c r="R23" s="227">
        <f t="shared" si="7"/>
        <v>0</v>
      </c>
      <c r="S23" s="226">
        <f t="shared" si="8"/>
        <v>147600</v>
      </c>
    </row>
    <row r="24" spans="1:19">
      <c r="A24" s="236" t="s">
        <v>506</v>
      </c>
      <c r="B24" s="267"/>
      <c r="C24" s="244"/>
      <c r="D24" s="265"/>
      <c r="E24" s="245">
        <f>C24*D24</f>
        <v>0</v>
      </c>
      <c r="F24" s="199"/>
      <c r="G24" s="199">
        <f t="shared" si="10"/>
        <v>0</v>
      </c>
      <c r="H24" s="199">
        <v>45000</v>
      </c>
      <c r="I24" s="189" t="s">
        <v>450</v>
      </c>
      <c r="J24" s="214"/>
      <c r="K24" s="226">
        <f t="shared" si="0"/>
        <v>0</v>
      </c>
      <c r="L24" s="227">
        <f t="shared" si="1"/>
        <v>0</v>
      </c>
      <c r="M24" s="226">
        <f t="shared" si="2"/>
        <v>0</v>
      </c>
      <c r="N24" s="227">
        <f t="shared" si="3"/>
        <v>0</v>
      </c>
      <c r="O24" s="226">
        <f t="shared" si="4"/>
        <v>0</v>
      </c>
      <c r="P24" s="227">
        <f t="shared" si="5"/>
        <v>0</v>
      </c>
      <c r="Q24" s="226">
        <f t="shared" si="6"/>
        <v>0</v>
      </c>
      <c r="R24" s="227">
        <f t="shared" si="7"/>
        <v>0</v>
      </c>
      <c r="S24" s="226">
        <f t="shared" si="8"/>
        <v>0</v>
      </c>
    </row>
    <row r="25" spans="1:19" ht="25.5">
      <c r="A25" s="191">
        <v>11</v>
      </c>
      <c r="B25" s="276" t="s">
        <v>497</v>
      </c>
      <c r="C25" s="277">
        <v>6000</v>
      </c>
      <c r="D25" s="278">
        <v>1</v>
      </c>
      <c r="E25" s="245">
        <f t="shared" si="9"/>
        <v>6000</v>
      </c>
      <c r="F25" s="199"/>
      <c r="G25" s="199">
        <f t="shared" si="10"/>
        <v>6000</v>
      </c>
      <c r="H25" s="199">
        <v>45000</v>
      </c>
      <c r="I25" s="189" t="s">
        <v>450</v>
      </c>
      <c r="J25" s="279"/>
      <c r="K25" s="226">
        <f t="shared" si="0"/>
        <v>18000</v>
      </c>
      <c r="L25" s="227">
        <f t="shared" si="1"/>
        <v>0</v>
      </c>
      <c r="M25" s="226">
        <f t="shared" si="2"/>
        <v>36000</v>
      </c>
      <c r="N25" s="227">
        <f t="shared" si="3"/>
        <v>0</v>
      </c>
      <c r="O25" s="226">
        <f t="shared" si="4"/>
        <v>54000</v>
      </c>
      <c r="P25" s="227">
        <f t="shared" si="5"/>
        <v>0</v>
      </c>
      <c r="Q25" s="226">
        <f t="shared" si="6"/>
        <v>72000</v>
      </c>
      <c r="R25" s="227">
        <f t="shared" si="7"/>
        <v>0</v>
      </c>
      <c r="S25" s="226">
        <f t="shared" si="8"/>
        <v>72000</v>
      </c>
    </row>
    <row r="26" spans="1:19">
      <c r="A26" s="191">
        <v>12</v>
      </c>
      <c r="B26" s="274"/>
      <c r="C26" s="275"/>
      <c r="D26" s="273"/>
      <c r="E26" s="245">
        <f t="shared" si="9"/>
        <v>0</v>
      </c>
      <c r="F26" s="199"/>
      <c r="G26" s="199">
        <f t="shared" si="10"/>
        <v>0</v>
      </c>
      <c r="H26" s="199">
        <v>45600</v>
      </c>
      <c r="I26" s="189" t="s">
        <v>450</v>
      </c>
      <c r="J26" s="214"/>
      <c r="K26" s="226">
        <f t="shared" si="0"/>
        <v>0</v>
      </c>
      <c r="L26" s="227">
        <f t="shared" si="1"/>
        <v>0</v>
      </c>
      <c r="M26" s="226">
        <f t="shared" si="2"/>
        <v>0</v>
      </c>
      <c r="N26" s="227">
        <f t="shared" si="3"/>
        <v>0</v>
      </c>
      <c r="O26" s="226">
        <f t="shared" si="4"/>
        <v>0</v>
      </c>
      <c r="P26" s="227">
        <f t="shared" si="5"/>
        <v>0</v>
      </c>
      <c r="Q26" s="226">
        <f t="shared" si="6"/>
        <v>0</v>
      </c>
      <c r="R26" s="227">
        <f t="shared" si="7"/>
        <v>0</v>
      </c>
      <c r="S26" s="226">
        <f t="shared" si="8"/>
        <v>0</v>
      </c>
    </row>
    <row r="27" spans="1:19">
      <c r="A27" s="191">
        <v>13</v>
      </c>
      <c r="B27" s="267" t="s">
        <v>503</v>
      </c>
      <c r="C27" s="275">
        <v>6030</v>
      </c>
      <c r="D27" s="265">
        <v>1</v>
      </c>
      <c r="E27" s="245">
        <f t="shared" si="9"/>
        <v>6030</v>
      </c>
      <c r="F27" s="199"/>
      <c r="G27" s="199">
        <f t="shared" si="10"/>
        <v>6030</v>
      </c>
      <c r="H27" s="199">
        <v>45000</v>
      </c>
      <c r="I27" s="189" t="s">
        <v>450</v>
      </c>
      <c r="J27" s="214"/>
      <c r="K27" s="226">
        <f>E27*3</f>
        <v>18090</v>
      </c>
      <c r="L27" s="227">
        <f t="shared" si="1"/>
        <v>0</v>
      </c>
      <c r="M27" s="226">
        <f t="shared" si="2"/>
        <v>36180</v>
      </c>
      <c r="N27" s="227">
        <f t="shared" si="3"/>
        <v>0</v>
      </c>
      <c r="O27" s="226">
        <f t="shared" si="4"/>
        <v>54270</v>
      </c>
      <c r="P27" s="227">
        <f t="shared" si="5"/>
        <v>0</v>
      </c>
      <c r="Q27" s="226">
        <f t="shared" si="6"/>
        <v>72360</v>
      </c>
      <c r="R27" s="227">
        <f t="shared" si="7"/>
        <v>0</v>
      </c>
      <c r="S27" s="226">
        <f t="shared" si="8"/>
        <v>72360</v>
      </c>
    </row>
    <row r="28" spans="1:19">
      <c r="A28" s="191"/>
      <c r="B28" s="194" t="s">
        <v>461</v>
      </c>
      <c r="C28" s="201"/>
      <c r="D28" s="202">
        <f>SUM(D22:D27)</f>
        <v>4</v>
      </c>
      <c r="E28" s="201">
        <f>SUM(E22:E27)</f>
        <v>24330</v>
      </c>
      <c r="F28" s="203"/>
      <c r="G28" s="203">
        <f>SUM(G22:G27)</f>
        <v>24330</v>
      </c>
      <c r="H28" s="199">
        <v>317400</v>
      </c>
      <c r="I28" s="189" t="s">
        <v>462</v>
      </c>
      <c r="J28" s="211"/>
      <c r="K28" s="212"/>
      <c r="L28" s="211"/>
      <c r="M28" s="211"/>
      <c r="N28" s="211"/>
      <c r="O28" s="211"/>
      <c r="P28" s="211"/>
      <c r="Q28" s="211"/>
      <c r="R28" s="211"/>
      <c r="S28" s="211"/>
    </row>
    <row r="29" spans="1:19">
      <c r="A29" s="191"/>
      <c r="B29" s="194"/>
      <c r="C29" s="201"/>
      <c r="D29" s="202"/>
      <c r="E29" s="201"/>
      <c r="F29" s="203"/>
      <c r="G29" s="203"/>
      <c r="H29" s="188"/>
      <c r="I29" s="189" t="s">
        <v>447</v>
      </c>
      <c r="J29" s="214"/>
    </row>
    <row r="30" spans="1:19">
      <c r="A30" s="191"/>
      <c r="B30" s="194" t="s">
        <v>463</v>
      </c>
      <c r="C30" s="201"/>
      <c r="D30" s="202">
        <f>D12+D19+D28</f>
        <v>10.5</v>
      </c>
      <c r="E30" s="201">
        <f>E12+E19+E28</f>
        <v>78400</v>
      </c>
      <c r="F30" s="203"/>
      <c r="G30" s="201">
        <f>G12+G19+G28</f>
        <v>78400</v>
      </c>
      <c r="H30" s="203">
        <v>889764</v>
      </c>
      <c r="I30" s="189" t="s">
        <v>464</v>
      </c>
      <c r="J30" s="214"/>
      <c r="K30" s="210">
        <f>SUM(K8:K27)</f>
        <v>235200</v>
      </c>
      <c r="L30" s="210">
        <f t="shared" ref="L30:S30" si="11">SUM(L8:L27)</f>
        <v>0</v>
      </c>
      <c r="M30" s="210">
        <f t="shared" si="11"/>
        <v>470400</v>
      </c>
      <c r="N30" s="210">
        <f t="shared" si="11"/>
        <v>0</v>
      </c>
      <c r="O30" s="210">
        <f t="shared" si="11"/>
        <v>705600</v>
      </c>
      <c r="P30" s="210">
        <f t="shared" si="11"/>
        <v>0</v>
      </c>
      <c r="Q30" s="210">
        <f t="shared" si="11"/>
        <v>940800</v>
      </c>
      <c r="R30" s="210">
        <f t="shared" si="11"/>
        <v>0</v>
      </c>
      <c r="S30" s="210">
        <f t="shared" si="11"/>
        <v>940800</v>
      </c>
    </row>
    <row r="31" spans="1:19">
      <c r="A31" s="191"/>
      <c r="B31" s="189"/>
      <c r="C31" s="195"/>
      <c r="D31" s="204"/>
      <c r="E31" s="195"/>
      <c r="F31" s="188"/>
      <c r="G31" s="188"/>
      <c r="H31" s="188"/>
      <c r="I31" s="189" t="s">
        <v>447</v>
      </c>
      <c r="J31" s="214"/>
    </row>
    <row r="32" spans="1:19" ht="13.5" thickBot="1">
      <c r="A32" s="205"/>
      <c r="B32" s="193"/>
      <c r="C32" s="206"/>
      <c r="D32" s="207"/>
      <c r="E32" s="206"/>
      <c r="F32" s="192"/>
      <c r="G32" s="192"/>
      <c r="H32" s="192"/>
      <c r="I32" s="193"/>
      <c r="J32" s="214"/>
    </row>
    <row r="34" spans="5:13">
      <c r="G34" s="154"/>
      <c r="H34" s="154"/>
      <c r="I34" s="154"/>
      <c r="J34" s="154" t="s">
        <v>465</v>
      </c>
      <c r="K34" s="154" t="s">
        <v>349</v>
      </c>
      <c r="L34" s="154" t="s">
        <v>466</v>
      </c>
      <c r="M34" s="154" t="s">
        <v>71</v>
      </c>
    </row>
    <row r="35" spans="5:13">
      <c r="G35" s="228" t="s">
        <v>467</v>
      </c>
      <c r="H35" s="228"/>
      <c r="I35" s="228"/>
      <c r="J35" s="229">
        <f>SUM(K16:L18)</f>
        <v>57870</v>
      </c>
      <c r="K35" s="229">
        <f>SUM(M16:N18)</f>
        <v>115740</v>
      </c>
      <c r="L35" s="229">
        <f>SUM(O16:P18)</f>
        <v>173610</v>
      </c>
      <c r="M35" s="229">
        <f>SUM(Q16:R18)</f>
        <v>231480</v>
      </c>
    </row>
    <row r="36" spans="5:13">
      <c r="G36" s="228" t="s">
        <v>470</v>
      </c>
      <c r="H36" s="228"/>
      <c r="I36" s="228"/>
      <c r="J36" s="229">
        <f>J35*22%</f>
        <v>12731.4</v>
      </c>
      <c r="K36" s="229">
        <f>K35*22%</f>
        <v>25462.799999999999</v>
      </c>
      <c r="L36" s="229">
        <f>L35*22%</f>
        <v>38194.199999999997</v>
      </c>
      <c r="M36" s="229">
        <f>M35*22%</f>
        <v>50925.599999999999</v>
      </c>
    </row>
    <row r="37" spans="5:13">
      <c r="G37" s="230" t="s">
        <v>468</v>
      </c>
      <c r="H37" s="230"/>
      <c r="I37" s="230"/>
      <c r="J37" s="231">
        <f>SUM(K8:L11)</f>
        <v>104340</v>
      </c>
      <c r="K37" s="231">
        <f>SUM(M8:N11)</f>
        <v>208680</v>
      </c>
      <c r="L37" s="231">
        <f>SUM(O8:P11)</f>
        <v>313020</v>
      </c>
      <c r="M37" s="231">
        <f>SUM(Q8:R11)</f>
        <v>417360</v>
      </c>
    </row>
    <row r="38" spans="5:13">
      <c r="G38" s="230" t="s">
        <v>470</v>
      </c>
      <c r="H38" s="230"/>
      <c r="I38" s="230"/>
      <c r="J38" s="231">
        <f>J37*22%</f>
        <v>22954.799999999999</v>
      </c>
      <c r="K38" s="231">
        <f>K37*22%</f>
        <v>45909.599999999999</v>
      </c>
      <c r="L38" s="231">
        <f>L37*22%</f>
        <v>68864.399999999994</v>
      </c>
      <c r="M38" s="231">
        <f>M37*22%</f>
        <v>91819.199999999997</v>
      </c>
    </row>
    <row r="39" spans="5:13">
      <c r="G39" s="232" t="s">
        <v>469</v>
      </c>
      <c r="H39" s="232"/>
      <c r="I39" s="232"/>
      <c r="J39" s="233">
        <f>SUM(K23:L27)</f>
        <v>72990</v>
      </c>
      <c r="K39" s="233">
        <f>SUM(M23:N27)</f>
        <v>145980</v>
      </c>
      <c r="L39" s="233">
        <f>SUM(O23:P27)</f>
        <v>218970</v>
      </c>
      <c r="M39" s="233">
        <f>SUM(Q23:R27)</f>
        <v>291960</v>
      </c>
    </row>
    <row r="40" spans="5:13">
      <c r="G40" s="232" t="s">
        <v>470</v>
      </c>
      <c r="H40" s="232"/>
      <c r="I40" s="232"/>
      <c r="J40" s="233">
        <f>(J39-J42)*22%+J42*8.41%</f>
        <v>13611.599999999999</v>
      </c>
      <c r="K40" s="233">
        <f>(K39-K42)*22%+K42*8.41%</f>
        <v>27223.199999999997</v>
      </c>
      <c r="L40" s="233">
        <f>(L39-L42)*22%+L42*8.41%</f>
        <v>40834.800000000003</v>
      </c>
      <c r="M40" s="233">
        <f>(M39-M42)*22%+M42*8.41%</f>
        <v>54446.399999999994</v>
      </c>
    </row>
    <row r="41" spans="5:13">
      <c r="J41" s="217"/>
      <c r="K41" s="217"/>
      <c r="L41" s="217"/>
      <c r="M41" s="217"/>
    </row>
    <row r="42" spans="5:13">
      <c r="E42" s="246" t="s">
        <v>478</v>
      </c>
      <c r="F42" s="246"/>
      <c r="G42" s="216" t="s">
        <v>471</v>
      </c>
      <c r="H42" s="215"/>
      <c r="I42" s="215"/>
      <c r="J42" s="218">
        <f>6000*3</f>
        <v>18000</v>
      </c>
      <c r="K42" s="218">
        <f>6000*6</f>
        <v>36000</v>
      </c>
      <c r="L42" s="218">
        <f>6000*9</f>
        <v>54000</v>
      </c>
      <c r="M42" s="218">
        <f>6000*12</f>
        <v>72000</v>
      </c>
    </row>
    <row r="45" spans="5:13">
      <c r="G45" t="s">
        <v>485</v>
      </c>
      <c r="J45" s="219">
        <f t="shared" ref="J45:M46" si="12">J35+J37+J39</f>
        <v>235200</v>
      </c>
      <c r="K45" s="219">
        <f t="shared" si="12"/>
        <v>470400</v>
      </c>
      <c r="L45" s="219">
        <f t="shared" si="12"/>
        <v>705600</v>
      </c>
      <c r="M45" s="219">
        <f t="shared" si="12"/>
        <v>940800</v>
      </c>
    </row>
    <row r="46" spans="5:13">
      <c r="G46" t="s">
        <v>486</v>
      </c>
      <c r="J46" s="219">
        <f t="shared" si="12"/>
        <v>49297.799999999996</v>
      </c>
      <c r="K46" s="219">
        <f t="shared" si="12"/>
        <v>98595.599999999991</v>
      </c>
      <c r="L46" s="219">
        <f t="shared" si="12"/>
        <v>147893.4</v>
      </c>
      <c r="M46" s="219">
        <f t="shared" si="12"/>
        <v>197191.19999999998</v>
      </c>
    </row>
    <row r="48" spans="5:13">
      <c r="G48" t="s">
        <v>472</v>
      </c>
    </row>
    <row r="50" spans="7:10">
      <c r="G50" t="s">
        <v>473</v>
      </c>
    </row>
    <row r="51" spans="7:10">
      <c r="G51" t="s">
        <v>252</v>
      </c>
      <c r="J51" s="219">
        <f>S8</f>
        <v>216000</v>
      </c>
    </row>
    <row r="52" spans="7:10">
      <c r="G52" t="s">
        <v>474</v>
      </c>
      <c r="J52" s="219">
        <f>M37-J51</f>
        <v>201360</v>
      </c>
    </row>
    <row r="53" spans="7:10">
      <c r="G53" t="s">
        <v>253</v>
      </c>
      <c r="J53" s="219">
        <f>M35+M39</f>
        <v>523440</v>
      </c>
    </row>
    <row r="55" spans="7:10">
      <c r="G55" t="s">
        <v>475</v>
      </c>
    </row>
    <row r="56" spans="7:10">
      <c r="G56" t="s">
        <v>252</v>
      </c>
      <c r="J56" s="219">
        <f>J51*1.22</f>
        <v>263520</v>
      </c>
    </row>
    <row r="57" spans="7:10">
      <c r="G57" t="s">
        <v>474</v>
      </c>
      <c r="J57" s="219">
        <f>J52*1.22</f>
        <v>245659.19999999998</v>
      </c>
    </row>
    <row r="58" spans="7:10">
      <c r="G58" t="s">
        <v>253</v>
      </c>
      <c r="J58" s="219">
        <f>M35+M36+M39+M40</f>
        <v>628812</v>
      </c>
    </row>
    <row r="60" spans="7:10">
      <c r="G60" t="s">
        <v>476</v>
      </c>
    </row>
    <row r="61" spans="7:10">
      <c r="G61" t="s">
        <v>252</v>
      </c>
      <c r="J61" s="217">
        <f>J51/12</f>
        <v>18000</v>
      </c>
    </row>
    <row r="62" spans="7:10">
      <c r="G62" t="s">
        <v>474</v>
      </c>
      <c r="J62" s="288">
        <f>SUM(S9:S11)/12/2.5</f>
        <v>6712</v>
      </c>
    </row>
    <row r="63" spans="7:10">
      <c r="G63" t="s">
        <v>253</v>
      </c>
      <c r="J63" s="288">
        <f>SUM(S16:S27)/12/7</f>
        <v>6231.4285714285716</v>
      </c>
    </row>
    <row r="64" spans="7:10">
      <c r="J64" s="217"/>
    </row>
    <row r="65" spans="7:10">
      <c r="G65" t="s">
        <v>477</v>
      </c>
      <c r="J65" s="217"/>
    </row>
    <row r="66" spans="7:10">
      <c r="G66" t="s">
        <v>252</v>
      </c>
      <c r="J66" s="217">
        <f>J61</f>
        <v>18000</v>
      </c>
    </row>
    <row r="67" spans="7:10">
      <c r="G67" t="s">
        <v>474</v>
      </c>
      <c r="J67" s="288">
        <f>J62</f>
        <v>6712</v>
      </c>
    </row>
    <row r="68" spans="7:10">
      <c r="G68" t="s">
        <v>253</v>
      </c>
      <c r="J68" s="288">
        <f>J63</f>
        <v>6231.4285714285716</v>
      </c>
    </row>
  </sheetData>
  <phoneticPr fontId="3" type="noConversion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13</vt:i4>
      </vt:variant>
    </vt:vector>
  </HeadingPairs>
  <TitlesOfParts>
    <vt:vector size="23" baseType="lpstr">
      <vt:lpstr>Лист1</vt:lpstr>
      <vt:lpstr>Осн. фін. пок.</vt:lpstr>
      <vt:lpstr>I. Фін результат</vt:lpstr>
      <vt:lpstr>ІІ. Розр. з бюджетом</vt:lpstr>
      <vt:lpstr>ІІІ. Рух грош. коштів</vt:lpstr>
      <vt:lpstr>IV. Кап. інвестиції</vt:lpstr>
      <vt:lpstr> V. Коефіцієнти</vt:lpstr>
      <vt:lpstr>6.1. Інша інфо_1</vt:lpstr>
      <vt:lpstr>штатка</vt:lpstr>
      <vt:lpstr>6.2. Інша інфо_2</vt:lpstr>
      <vt:lpstr>' V. Коефіцієнти'!Заголовки_для_печати</vt:lpstr>
      <vt:lpstr>'I. Фін результат'!Заголовки_для_печати</vt:lpstr>
      <vt:lpstr>'ІІ. Розр. з бюджетом'!Заголовки_для_печати</vt:lpstr>
      <vt:lpstr>'ІІІ. Рух грош. коштів'!Заголовки_для_печати</vt:lpstr>
      <vt:lpstr>'Осн. фін. пок.'!Заголовки_для_печати</vt:lpstr>
      <vt:lpstr>' V. Коефіцієнти'!Область_печати</vt:lpstr>
      <vt:lpstr>'6.1. Інша інфо_1'!Область_печати</vt:lpstr>
      <vt:lpstr>'6.2. Інша інфо_2'!Область_печати</vt:lpstr>
      <vt:lpstr>'I. Фін результат'!Область_печати</vt:lpstr>
      <vt:lpstr>'IV. Кап. інвестиції'!Область_печати</vt:lpstr>
      <vt:lpstr>'ІІ. Розр. з бюджетом'!Область_печати</vt:lpstr>
      <vt:lpstr>'ІІІ. Рух грош. коштів'!Область_печати</vt:lpstr>
      <vt:lpstr>'Осн. фін. пок.'!Область_печати</vt:lpstr>
    </vt:vector>
  </TitlesOfParts>
  <Company>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</dc:creator>
  <cp:lastModifiedBy>User</cp:lastModifiedBy>
  <cp:lastPrinted>2020-11-02T08:12:09Z</cp:lastPrinted>
  <dcterms:created xsi:type="dcterms:W3CDTF">2003-03-13T16:00:22Z</dcterms:created>
  <dcterms:modified xsi:type="dcterms:W3CDTF">2020-12-21T06:13:24Z</dcterms:modified>
</cp:coreProperties>
</file>