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80" yWindow="960" windowWidth="16608" windowHeight="9432" tabRatio="878"/>
  </bookViews>
  <sheets>
    <sheet name="Додаток 3" sheetId="1" r:id="rId1"/>
    <sheet name="І.Форм. фін. рез." sheetId="2" r:id="rId2"/>
    <sheet name="IІ.Розр. з бюдж" sheetId="3" r:id="rId3"/>
    <sheet name="ІІІ.Рух грош.кошт" sheetId="4" r:id="rId4"/>
    <sheet name="IV.Кап.інвес" sheetId="5" r:id="rId5"/>
    <sheet name="V.Коеф.аналіз" sheetId="6" r:id="rId6"/>
    <sheet name="Інф.до звіту про викон" sheetId="8" r:id="rId7"/>
    <sheet name="3.Інф.про бізнес" sheetId="9" r:id="rId8"/>
    <sheet name="4.Діючі фін.зоб" sheetId="10" r:id="rId9"/>
    <sheet name="5.Інф.залуч.кош." sheetId="11" r:id="rId10"/>
    <sheet name="6.Витрати,служ.автом." sheetId="12" r:id="rId11"/>
    <sheet name="7.Витрати на оренду служ.авт." sheetId="13" r:id="rId12"/>
    <sheet name="8.Джерела кап.інвес" sheetId="14" r:id="rId13"/>
    <sheet name="9. Кап.буд." sheetId="15" r:id="rId14"/>
  </sheets>
  <calcPr calcId="114210"/>
</workbook>
</file>

<file path=xl/calcChain.xml><?xml version="1.0" encoding="utf-8"?>
<calcChain xmlns="http://schemas.openxmlformats.org/spreadsheetml/2006/main">
  <c r="E115" i="2"/>
  <c r="D115"/>
  <c r="C115"/>
  <c r="F115"/>
  <c r="F99"/>
  <c r="E99"/>
  <c r="D99"/>
  <c r="C99"/>
  <c r="E133"/>
  <c r="E116"/>
  <c r="E107"/>
  <c r="E94"/>
  <c r="F94"/>
  <c r="D81" i="4"/>
  <c r="D79"/>
  <c r="D9" i="3"/>
  <c r="D8"/>
  <c r="E29" i="6"/>
  <c r="E27"/>
  <c r="E25"/>
  <c r="E22"/>
  <c r="E20"/>
  <c r="D35" i="1"/>
  <c r="E18" i="6"/>
  <c r="D48" i="1"/>
  <c r="D27"/>
  <c r="E15" i="6"/>
  <c r="E13"/>
  <c r="E11"/>
  <c r="E9"/>
  <c r="E7"/>
  <c r="F119" i="1"/>
  <c r="D119"/>
  <c r="F118"/>
  <c r="D118"/>
  <c r="F117"/>
  <c r="D117"/>
  <c r="F116"/>
  <c r="D116"/>
  <c r="F115"/>
  <c r="D115"/>
  <c r="F114"/>
  <c r="D114"/>
  <c r="F113"/>
  <c r="D113"/>
  <c r="F112"/>
  <c r="D112"/>
  <c r="F111"/>
  <c r="D111"/>
  <c r="F110"/>
  <c r="D110"/>
  <c r="F109"/>
  <c r="D109"/>
  <c r="F108"/>
  <c r="D108"/>
  <c r="F107"/>
  <c r="D107"/>
  <c r="D96"/>
  <c r="D84"/>
  <c r="D92"/>
  <c r="D91"/>
  <c r="D89"/>
  <c r="D88"/>
  <c r="D87"/>
  <c r="D86"/>
  <c r="D85"/>
  <c r="D7" i="4"/>
  <c r="F7"/>
  <c r="D19"/>
  <c r="F19"/>
  <c r="C22"/>
  <c r="C21"/>
  <c r="C29"/>
  <c r="C32"/>
  <c r="C27"/>
  <c r="F28"/>
  <c r="F29"/>
  <c r="F32"/>
  <c r="F27"/>
  <c r="D27"/>
  <c r="F21"/>
  <c r="F22"/>
  <c r="D22"/>
  <c r="E6" i="9"/>
  <c r="D32" i="4"/>
  <c r="D28"/>
  <c r="D21"/>
  <c r="D8"/>
  <c r="D17"/>
  <c r="F8"/>
  <c r="D31" i="3"/>
  <c r="D30"/>
  <c r="H31"/>
  <c r="G31"/>
  <c r="G30"/>
  <c r="D22"/>
  <c r="D23"/>
  <c r="D24"/>
  <c r="D28"/>
  <c r="D12"/>
  <c r="H114" i="2"/>
  <c r="H93"/>
  <c r="G93"/>
  <c r="G92"/>
  <c r="D116"/>
  <c r="C116"/>
  <c r="F116"/>
  <c r="E134"/>
  <c r="H134"/>
  <c r="G134"/>
  <c r="G103"/>
  <c r="G102"/>
  <c r="D55"/>
  <c r="D93"/>
  <c r="D68"/>
  <c r="D103"/>
  <c r="D102"/>
  <c r="G83"/>
  <c r="G82"/>
  <c r="D82"/>
  <c r="D81"/>
  <c r="D80"/>
  <c r="D65"/>
  <c r="D62"/>
  <c r="D61"/>
  <c r="D60"/>
  <c r="D59"/>
  <c r="D58"/>
  <c r="D57"/>
  <c r="D56"/>
  <c r="D53"/>
  <c r="D52"/>
  <c r="D38"/>
  <c r="D37"/>
  <c r="D36"/>
  <c r="D35"/>
  <c r="D20"/>
  <c r="D23"/>
  <c r="D15"/>
  <c r="D13"/>
  <c r="D12"/>
  <c r="D7"/>
  <c r="C26" i="8"/>
  <c r="C20"/>
  <c r="D29"/>
  <c r="D20"/>
  <c r="D8"/>
  <c r="E119" i="1"/>
  <c r="E118"/>
  <c r="E117"/>
  <c r="E116"/>
  <c r="E115"/>
  <c r="E114"/>
  <c r="E113"/>
  <c r="E112"/>
  <c r="E111"/>
  <c r="E110"/>
  <c r="E109"/>
  <c r="E108"/>
  <c r="E107"/>
  <c r="F16" i="2"/>
  <c r="F8"/>
  <c r="F50"/>
  <c r="F28"/>
  <c r="F77"/>
  <c r="F101"/>
  <c r="F91"/>
  <c r="F119"/>
  <c r="F132"/>
  <c r="F120"/>
  <c r="F125"/>
  <c r="G9" i="6"/>
  <c r="F36" i="1"/>
  <c r="D36"/>
  <c r="C36"/>
  <c r="F90"/>
  <c r="E90"/>
  <c r="D90"/>
  <c r="C90"/>
  <c r="G29" i="6"/>
  <c r="F82" i="1"/>
  <c r="D82"/>
  <c r="C82"/>
  <c r="G20" i="6"/>
  <c r="F81" i="1"/>
  <c r="D81"/>
  <c r="C81"/>
  <c r="F107" i="2"/>
  <c r="F112"/>
  <c r="F48" i="1"/>
  <c r="G13" i="6"/>
  <c r="F80" i="1"/>
  <c r="D80"/>
  <c r="C80"/>
  <c r="G11" i="6"/>
  <c r="F79" i="1"/>
  <c r="D79"/>
  <c r="C79"/>
  <c r="F27"/>
  <c r="G15" i="6"/>
  <c r="F78" i="1"/>
  <c r="D78"/>
  <c r="C78"/>
  <c r="F76"/>
  <c r="D76"/>
  <c r="C76"/>
  <c r="F75"/>
  <c r="D75"/>
  <c r="C75"/>
  <c r="F74"/>
  <c r="D74"/>
  <c r="C74"/>
  <c r="F61"/>
  <c r="E61"/>
  <c r="D61"/>
  <c r="C61"/>
  <c r="D29" i="6"/>
  <c r="D27"/>
  <c r="D25"/>
  <c r="D22"/>
  <c r="D20"/>
  <c r="D18"/>
  <c r="D15"/>
  <c r="D13"/>
  <c r="D11"/>
  <c r="D9"/>
  <c r="D7"/>
  <c r="C19" i="4"/>
  <c r="F11" i="3"/>
  <c r="F29"/>
  <c r="F26"/>
  <c r="F21"/>
  <c r="F35"/>
  <c r="E35"/>
  <c r="D11"/>
  <c r="D29"/>
  <c r="D26"/>
  <c r="D21"/>
  <c r="D35"/>
  <c r="C21"/>
  <c r="C11"/>
  <c r="C26"/>
  <c r="C35"/>
  <c r="E29"/>
  <c r="C29"/>
  <c r="E8" i="2"/>
  <c r="E50"/>
  <c r="E28"/>
  <c r="E77"/>
  <c r="E101"/>
  <c r="E91"/>
  <c r="E112"/>
  <c r="E7" i="3"/>
  <c r="C7"/>
  <c r="F133" i="2"/>
  <c r="D16"/>
  <c r="D91"/>
  <c r="D133"/>
  <c r="C133"/>
  <c r="F130"/>
  <c r="F131"/>
  <c r="F128"/>
  <c r="F129"/>
  <c r="F127"/>
  <c r="F134"/>
  <c r="D130"/>
  <c r="D131"/>
  <c r="D132"/>
  <c r="D128"/>
  <c r="D129"/>
  <c r="D127"/>
  <c r="D134"/>
  <c r="C134"/>
  <c r="D8"/>
  <c r="D50"/>
  <c r="D28"/>
  <c r="D77"/>
  <c r="D101"/>
  <c r="D94"/>
  <c r="C28"/>
  <c r="C94"/>
  <c r="C7"/>
  <c r="C77"/>
  <c r="C12"/>
  <c r="C13"/>
  <c r="C15"/>
  <c r="C16"/>
  <c r="C8"/>
  <c r="C50"/>
  <c r="E16"/>
  <c r="D107"/>
  <c r="C101"/>
  <c r="C91"/>
  <c r="C107"/>
  <c r="I6" i="9"/>
  <c r="H6"/>
  <c r="B29" i="8"/>
  <c r="C29"/>
  <c r="B20"/>
  <c r="B8"/>
  <c r="D14"/>
  <c r="B14"/>
  <c r="C8"/>
  <c r="C14"/>
  <c r="F34"/>
  <c r="E34"/>
  <c r="E33"/>
  <c r="F32"/>
  <c r="E32"/>
  <c r="E31"/>
  <c r="F30"/>
  <c r="E30"/>
  <c r="F29"/>
  <c r="E29"/>
  <c r="E28"/>
  <c r="E27"/>
  <c r="F26"/>
  <c r="E26"/>
  <c r="F25"/>
  <c r="E25"/>
  <c r="E24"/>
  <c r="F23"/>
  <c r="E23"/>
  <c r="E22"/>
  <c r="E21"/>
  <c r="F20"/>
  <c r="E20"/>
  <c r="F19"/>
  <c r="E19"/>
  <c r="E18"/>
  <c r="F17"/>
  <c r="E17"/>
  <c r="E16"/>
  <c r="E15"/>
  <c r="F14"/>
  <c r="E14"/>
  <c r="F13"/>
  <c r="E13"/>
  <c r="E12"/>
  <c r="F11"/>
  <c r="E11"/>
  <c r="E10"/>
  <c r="E9"/>
  <c r="F8"/>
  <c r="E8"/>
  <c r="F6" i="5"/>
  <c r="G27" i="6"/>
  <c r="G25"/>
  <c r="G22"/>
  <c r="F121" i="2"/>
  <c r="F122"/>
  <c r="F124"/>
  <c r="F35" i="1"/>
  <c r="G18" i="6"/>
  <c r="F93" i="1"/>
  <c r="D93"/>
  <c r="C93"/>
  <c r="E93"/>
  <c r="H96"/>
  <c r="G96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F27" i="2"/>
  <c r="G7" i="6"/>
  <c r="G12" i="5"/>
  <c r="G11"/>
  <c r="G10"/>
  <c r="G9"/>
  <c r="G8"/>
  <c r="E6"/>
  <c r="G6"/>
  <c r="D6"/>
  <c r="C6"/>
  <c r="F78" i="4"/>
  <c r="D78"/>
  <c r="C78"/>
  <c r="E78"/>
  <c r="F39"/>
  <c r="D112" i="2"/>
  <c r="D39" i="4"/>
  <c r="C112" i="2"/>
  <c r="C39" i="4"/>
  <c r="E39"/>
  <c r="D29"/>
  <c r="E29"/>
  <c r="E19"/>
  <c r="G81"/>
  <c r="G80"/>
  <c r="G79"/>
  <c r="H78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H39"/>
  <c r="G39"/>
  <c r="H38"/>
  <c r="G38"/>
  <c r="G37"/>
  <c r="H36"/>
  <c r="G36"/>
  <c r="G35"/>
  <c r="G34"/>
  <c r="H33"/>
  <c r="G33"/>
  <c r="H32"/>
  <c r="G32"/>
  <c r="G31"/>
  <c r="G30"/>
  <c r="H29"/>
  <c r="G29"/>
  <c r="G28"/>
  <c r="H27"/>
  <c r="G27"/>
  <c r="G26"/>
  <c r="G25"/>
  <c r="G24"/>
  <c r="G23"/>
  <c r="H22"/>
  <c r="G22"/>
  <c r="H21"/>
  <c r="G21"/>
  <c r="H20"/>
  <c r="G20"/>
  <c r="H19"/>
  <c r="G19"/>
  <c r="H18"/>
  <c r="G18"/>
  <c r="F17"/>
  <c r="E17"/>
  <c r="H17"/>
  <c r="G17"/>
  <c r="G16"/>
  <c r="G15"/>
  <c r="G14"/>
  <c r="G13"/>
  <c r="G12"/>
  <c r="G11"/>
  <c r="G10"/>
  <c r="G9"/>
  <c r="H8"/>
  <c r="G8"/>
  <c r="C17"/>
  <c r="C7"/>
  <c r="E7"/>
  <c r="H7"/>
  <c r="G7"/>
  <c r="E26" i="3"/>
  <c r="E21"/>
  <c r="E11"/>
  <c r="H35"/>
  <c r="G35"/>
  <c r="G32"/>
  <c r="H29"/>
  <c r="G29"/>
  <c r="H28"/>
  <c r="G28"/>
  <c r="G27"/>
  <c r="H26"/>
  <c r="G26"/>
  <c r="G25"/>
  <c r="H24"/>
  <c r="G24"/>
  <c r="H23"/>
  <c r="G23"/>
  <c r="H22"/>
  <c r="G22"/>
  <c r="H21"/>
  <c r="G21"/>
  <c r="G20"/>
  <c r="G19"/>
  <c r="G18"/>
  <c r="G17"/>
  <c r="G16"/>
  <c r="G15"/>
  <c r="G14"/>
  <c r="H13"/>
  <c r="G13"/>
  <c r="G12"/>
  <c r="H11"/>
  <c r="G11"/>
  <c r="H9"/>
  <c r="G9"/>
  <c r="H8"/>
  <c r="G8"/>
  <c r="H7"/>
  <c r="G7"/>
  <c r="D27" i="2"/>
  <c r="C27"/>
  <c r="E27"/>
  <c r="E128"/>
  <c r="E129"/>
  <c r="E127"/>
  <c r="E130"/>
  <c r="E131"/>
  <c r="E132"/>
  <c r="C131"/>
  <c r="C130"/>
  <c r="C129"/>
  <c r="C128"/>
  <c r="C127"/>
  <c r="D119"/>
  <c r="D120"/>
  <c r="D121"/>
  <c r="D122"/>
  <c r="D124"/>
  <c r="D125"/>
  <c r="C119"/>
  <c r="C132"/>
  <c r="C120"/>
  <c r="C121"/>
  <c r="C122"/>
  <c r="C124"/>
  <c r="C125"/>
  <c r="E119"/>
  <c r="E120"/>
  <c r="E121"/>
  <c r="E122"/>
  <c r="E124"/>
  <c r="E125"/>
  <c r="H133"/>
  <c r="G133"/>
  <c r="H132"/>
  <c r="G132"/>
  <c r="H131"/>
  <c r="G131"/>
  <c r="H130"/>
  <c r="G130"/>
  <c r="H129"/>
  <c r="G129"/>
  <c r="G128"/>
  <c r="H127"/>
  <c r="G127"/>
  <c r="F123"/>
  <c r="D123"/>
  <c r="C123"/>
  <c r="E123"/>
  <c r="H81"/>
  <c r="G81"/>
  <c r="H80"/>
  <c r="G80"/>
  <c r="G68"/>
  <c r="G66"/>
  <c r="H65"/>
  <c r="G65"/>
  <c r="H64"/>
  <c r="G64"/>
  <c r="H63"/>
  <c r="G63"/>
  <c r="H62"/>
  <c r="G62"/>
  <c r="H61"/>
  <c r="G61"/>
  <c r="H60"/>
  <c r="G60"/>
  <c r="H59"/>
  <c r="G59"/>
  <c r="H58"/>
  <c r="G58"/>
  <c r="H57"/>
  <c r="G57"/>
  <c r="H56"/>
  <c r="G56"/>
  <c r="H55"/>
  <c r="G55"/>
  <c r="G54"/>
  <c r="H53"/>
  <c r="G53"/>
  <c r="H52"/>
  <c r="G52"/>
  <c r="G51"/>
  <c r="G13" i="11"/>
  <c r="F13"/>
  <c r="E13"/>
  <c r="D13"/>
  <c r="C13"/>
  <c r="B13"/>
  <c r="H119" i="1"/>
  <c r="G119"/>
  <c r="C119"/>
  <c r="H118"/>
  <c r="G118"/>
  <c r="C118"/>
  <c r="H117"/>
  <c r="G117"/>
  <c r="C117"/>
  <c r="H116"/>
  <c r="G116"/>
  <c r="C116"/>
  <c r="H115"/>
  <c r="G115"/>
  <c r="C115"/>
  <c r="H114"/>
  <c r="G114"/>
  <c r="C114"/>
  <c r="H113"/>
  <c r="G113"/>
  <c r="C113"/>
  <c r="G125" i="2"/>
  <c r="G124"/>
  <c r="G123"/>
  <c r="G122"/>
  <c r="G121"/>
  <c r="G120"/>
  <c r="H125"/>
  <c r="H120"/>
  <c r="H119"/>
  <c r="G119"/>
  <c r="H112" i="1"/>
  <c r="G112"/>
  <c r="C112"/>
  <c r="H111"/>
  <c r="G111"/>
  <c r="C111"/>
  <c r="H110"/>
  <c r="G110"/>
  <c r="C110"/>
  <c r="H109"/>
  <c r="G109"/>
  <c r="C109"/>
  <c r="H108"/>
  <c r="G108"/>
  <c r="C108"/>
  <c r="H107"/>
  <c r="G107"/>
  <c r="C107"/>
  <c r="H72"/>
  <c r="G72"/>
  <c r="F72"/>
  <c r="E72"/>
  <c r="D72"/>
  <c r="C72"/>
  <c r="H70"/>
  <c r="G70"/>
  <c r="F70"/>
  <c r="E70"/>
  <c r="D70"/>
  <c r="C70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2"/>
  <c r="G62"/>
  <c r="F62"/>
  <c r="E62"/>
  <c r="D62"/>
  <c r="C62"/>
  <c r="H61"/>
  <c r="G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0"/>
  <c r="G114" i="2"/>
  <c r="G50" i="1"/>
  <c r="F50"/>
  <c r="E50"/>
  <c r="D50"/>
  <c r="C50"/>
  <c r="H49"/>
  <c r="G113" i="2"/>
  <c r="G49" i="1"/>
  <c r="F49"/>
  <c r="E49"/>
  <c r="D49"/>
  <c r="C49"/>
  <c r="H112" i="2"/>
  <c r="H48" i="1"/>
  <c r="G112" i="2"/>
  <c r="G48" i="1"/>
  <c r="E48"/>
  <c r="C48"/>
  <c r="H47"/>
  <c r="G111" i="2"/>
  <c r="G47" i="1"/>
  <c r="F47"/>
  <c r="E47"/>
  <c r="D47"/>
  <c r="C47"/>
  <c r="H46"/>
  <c r="G110" i="2"/>
  <c r="G46" i="1"/>
  <c r="F46"/>
  <c r="E46"/>
  <c r="D46"/>
  <c r="C46"/>
  <c r="H45"/>
  <c r="G109" i="2"/>
  <c r="G45" i="1"/>
  <c r="F45"/>
  <c r="E45"/>
  <c r="D45"/>
  <c r="C45"/>
  <c r="H44"/>
  <c r="G108" i="2"/>
  <c r="G44" i="1"/>
  <c r="F44"/>
  <c r="E44"/>
  <c r="D44"/>
  <c r="C44"/>
  <c r="H107" i="2"/>
  <c r="H43" i="1"/>
  <c r="G107" i="2"/>
  <c r="G43" i="1"/>
  <c r="F43"/>
  <c r="E43"/>
  <c r="D43"/>
  <c r="C43"/>
  <c r="G104" i="2"/>
  <c r="G42" i="1"/>
  <c r="F42"/>
  <c r="E42"/>
  <c r="D42"/>
  <c r="C42"/>
  <c r="G99" i="2"/>
  <c r="G41" i="1"/>
  <c r="F41"/>
  <c r="E41"/>
  <c r="D41"/>
  <c r="C41"/>
  <c r="G98" i="2"/>
  <c r="G40" i="1"/>
  <c r="F40"/>
  <c r="E40"/>
  <c r="D40"/>
  <c r="C40"/>
  <c r="G97" i="2"/>
  <c r="G39" i="1"/>
  <c r="F39"/>
  <c r="E39"/>
  <c r="D39"/>
  <c r="C39"/>
  <c r="G96" i="2"/>
  <c r="G38" i="1"/>
  <c r="F38"/>
  <c r="E38"/>
  <c r="D38"/>
  <c r="C38"/>
  <c r="G95" i="2"/>
  <c r="G37" i="1"/>
  <c r="F37"/>
  <c r="E37"/>
  <c r="D37"/>
  <c r="C37"/>
  <c r="H35"/>
  <c r="G35"/>
  <c r="E35"/>
  <c r="C35"/>
  <c r="H94" i="2"/>
  <c r="H34" i="1"/>
  <c r="G94" i="2"/>
  <c r="G34" i="1"/>
  <c r="F34"/>
  <c r="E34"/>
  <c r="D34"/>
  <c r="C34"/>
  <c r="H33"/>
  <c r="G85" i="2"/>
  <c r="G33" i="1"/>
  <c r="F33"/>
  <c r="E33"/>
  <c r="D33"/>
  <c r="C33"/>
  <c r="H77" i="2"/>
  <c r="H32" i="1"/>
  <c r="G77" i="2"/>
  <c r="G32" i="1"/>
  <c r="F32"/>
  <c r="E32"/>
  <c r="D32"/>
  <c r="C32"/>
  <c r="H31"/>
  <c r="G69" i="2"/>
  <c r="G31" i="1"/>
  <c r="F31"/>
  <c r="E31"/>
  <c r="D31"/>
  <c r="C31"/>
  <c r="H28" i="2"/>
  <c r="H30" i="1"/>
  <c r="G28" i="2"/>
  <c r="G30" i="1"/>
  <c r="F30"/>
  <c r="E30"/>
  <c r="D30"/>
  <c r="C30"/>
  <c r="H27" i="2"/>
  <c r="H29" i="1"/>
  <c r="G27" i="2"/>
  <c r="G29" i="1"/>
  <c r="F29"/>
  <c r="E29"/>
  <c r="D29"/>
  <c r="C29"/>
  <c r="H8" i="2"/>
  <c r="H28" i="1"/>
  <c r="G8" i="2"/>
  <c r="G28" i="1"/>
  <c r="F28"/>
  <c r="E28"/>
  <c r="D28"/>
  <c r="C28"/>
  <c r="H7" i="2"/>
  <c r="H27" i="1"/>
  <c r="G7" i="2"/>
  <c r="G27" i="1"/>
  <c r="E27"/>
  <c r="C27"/>
  <c r="G26" i="2"/>
  <c r="G25"/>
  <c r="H25"/>
  <c r="G24"/>
  <c r="H24"/>
  <c r="G23"/>
  <c r="H23"/>
  <c r="G22"/>
  <c r="H22"/>
  <c r="G21"/>
  <c r="H20"/>
  <c r="G20"/>
  <c r="H19"/>
  <c r="G19"/>
  <c r="H18"/>
  <c r="G18"/>
  <c r="H17"/>
  <c r="G17"/>
  <c r="G116"/>
  <c r="G115"/>
  <c r="G106"/>
  <c r="G105"/>
  <c r="G101"/>
  <c r="G100"/>
  <c r="G91"/>
  <c r="G90"/>
  <c r="G89"/>
  <c r="G88"/>
  <c r="G87"/>
  <c r="G86"/>
  <c r="G84"/>
  <c r="G79"/>
  <c r="G78"/>
  <c r="G76"/>
  <c r="G75"/>
  <c r="G74"/>
  <c r="G73"/>
  <c r="G72"/>
  <c r="G71"/>
  <c r="G7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15"/>
  <c r="G14"/>
  <c r="G13"/>
  <c r="G12"/>
  <c r="G11"/>
  <c r="G10"/>
  <c r="H116"/>
  <c r="H115"/>
  <c r="H91"/>
  <c r="H38"/>
  <c r="H37"/>
  <c r="H36"/>
  <c r="H35"/>
  <c r="H34"/>
  <c r="H15"/>
  <c r="H13"/>
  <c r="H12"/>
  <c r="H11"/>
  <c r="G9"/>
  <c r="G16"/>
  <c r="H16"/>
  <c r="G50"/>
  <c r="H50"/>
</calcChain>
</file>

<file path=xl/sharedStrings.xml><?xml version="1.0" encoding="utf-8"?>
<sst xmlns="http://schemas.openxmlformats.org/spreadsheetml/2006/main" count="733" uniqueCount="490">
  <si>
    <t>Додаток 3</t>
  </si>
  <si>
    <t xml:space="preserve">до Порядку </t>
  </si>
  <si>
    <t>Коди</t>
  </si>
  <si>
    <t xml:space="preserve">за ЄДРПОУ </t>
  </si>
  <si>
    <t>за КОПФГ</t>
  </si>
  <si>
    <t>за КОАТУУ</t>
  </si>
  <si>
    <t>за СПОДУ</t>
  </si>
  <si>
    <t>за ЗКГНГ</t>
  </si>
  <si>
    <t xml:space="preserve">за  КВЕД  </t>
  </si>
  <si>
    <t>Стандарти звітності П(с)БОУ</t>
  </si>
  <si>
    <t>Стандарти звітності МСФЗ</t>
  </si>
  <si>
    <t>ЗВІТ</t>
  </si>
  <si>
    <t xml:space="preserve">ПРО ВИКОНАННЯ ФІНАНСОВОГО ПЛАНУ </t>
  </si>
  <si>
    <t>Основні фінансові показники</t>
  </si>
  <si>
    <t>Найменування показника</t>
  </si>
  <si>
    <t>Код рядка</t>
  </si>
  <si>
    <t>Факт наростаючим підсумком з початку року</t>
  </si>
  <si>
    <t>Звітний квартал</t>
  </si>
  <si>
    <t>минулий рік</t>
  </si>
  <si>
    <t>поточний рік</t>
  </si>
  <si>
    <t>план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</si>
  <si>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</si>
  <si>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</si>
  <si>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</si>
  <si>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</si>
  <si>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</si>
  <si>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</si>
  <si>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</si>
  <si>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</si>
  <si>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Витрати на збут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</si>
  <si>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</si>
  <si>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</si>
  <si>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</si>
  <si>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</si>
  <si>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Витрати від участі в капіталі</t>
  </si>
  <si>
    <t>Інші фінансові доходи</t>
  </si>
  <si>
    <t>Інші фінансові витрати</t>
  </si>
  <si>
    <t>Фінансовий результат до оподаткування</t>
  </si>
  <si>
    <t>Чистий  фінансовий результат</t>
  </si>
  <si>
    <t>IІ. Розрахунки з бюджетом</t>
  </si>
  <si>
    <t>Усього виплат на користь держави</t>
  </si>
  <si>
    <t>ІІІ. Рух грошових коштів</t>
  </si>
  <si>
    <t xml:space="preserve">Вплив зміни валютних курсів на залишок коштів </t>
  </si>
  <si>
    <t>IV. Капітальні інвестиції</t>
  </si>
  <si>
    <t>V. Коефіцієнтний аналіз</t>
  </si>
  <si>
    <t>Коефіцієнт рентабельності активів</t>
  </si>
  <si>
    <t>Коефіцієнт рентабельності власного капіталу</t>
  </si>
  <si>
    <t>Коефіцієнт фінансової стійкості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</si>
  <si>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</si>
  <si>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</si>
  <si>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</si>
  <si>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</si>
  <si>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Власний капітал</t>
  </si>
  <si>
    <t>(посада)</t>
  </si>
  <si>
    <t>(підпис)</t>
  </si>
  <si>
    <t xml:space="preserve">                  (ініціали, прізвище)    </t>
  </si>
  <si>
    <t xml:space="preserve">_____________________________
</t>
  </si>
  <si>
    <t>пояснення та обґрунтування відхилення від запланованого рівня доходів/витрат</t>
  </si>
  <si>
    <t>Доходи і витрати (деталізація)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</si>
  <si>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</si>
  <si>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</si>
  <si>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</si>
  <si>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</t>
  </si>
  <si>
    <t>Валовий прибуток (збиток)</t>
  </si>
  <si>
    <t>курсові різниці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</si>
  <si>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</si>
  <si>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</si>
  <si>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</si>
  <si>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</si>
  <si>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</si>
  <si>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</si>
  <si>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службові відрядження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</si>
  <si>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</si>
  <si>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</si>
  <si>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</si>
  <si>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</si>
  <si>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</si>
  <si>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</si>
  <si>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</si>
  <si>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</si>
  <si>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</si>
  <si>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</si>
  <si>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</si>
  <si>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</si>
  <si>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</si>
  <si>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</si>
  <si>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</si>
  <si>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витрати на рекламу</t>
  </si>
  <si>
    <t>інші витрати на збут (розшифрувати)</t>
  </si>
  <si>
    <t>Інші операційні витрати, усього, у тому числі: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</si>
  <si>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</si>
  <si>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</si>
  <si>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</si>
  <si>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Дохід від участі в капіталі (розшифрувати)</t>
  </si>
  <si>
    <t>Інші фінансові доходи (розшифрувати)</t>
  </si>
  <si>
    <t>Втрати від участі в капіталі (розшифрувати)</t>
  </si>
  <si>
    <t>Фінансові витрати (розшифрувати)</t>
  </si>
  <si>
    <t xml:space="preserve">прибуток </t>
  </si>
  <si>
    <t>збиток</t>
  </si>
  <si>
    <t>Неконтрольована частка</t>
  </si>
  <si>
    <t>Усього доходів</t>
  </si>
  <si>
    <t>Усього витрат</t>
  </si>
  <si>
    <t>Розрахунок показника EBITDA</t>
  </si>
  <si>
    <t>Фінансовий результат від операційної діяльності, рядок 1100</t>
  </si>
  <si>
    <t>Елементи операційних витрат</t>
  </si>
  <si>
    <t>Матеріальні витрати, у тому числі: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</si>
  <si>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</si>
  <si>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</si>
  <si>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</si>
  <si>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</si>
  <si>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</si>
  <si>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</si>
  <si>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Факт наростаючим підсумком                     з початку року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</si>
  <si>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</si>
  <si>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</si>
  <si>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</si>
  <si>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акцизний податок</t>
  </si>
  <si>
    <t>рентна плата за транспортування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</si>
  <si>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</si>
  <si>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Факт наростаючим підсумком                 з початку року</t>
  </si>
  <si>
    <t>І. Рух коштів у результаті операційної діяльності</t>
  </si>
  <si>
    <t>II. Рух коштів у результаті інвестиційної діяльності</t>
  </si>
  <si>
    <t>Надходження від деривативів</t>
  </si>
  <si>
    <t xml:space="preserve">Інші надходження (розшифрувати) </t>
  </si>
  <si>
    <t>кредити</t>
  </si>
  <si>
    <t xml:space="preserve">позики </t>
  </si>
  <si>
    <t>облігації</t>
  </si>
  <si>
    <t>Отримання коштів за короткостроковими зобов'язаннями, у тому числі:</t>
  </si>
  <si>
    <t>Повернення коштів за короткостроковими зобов'язаннями, у тому числі:</t>
  </si>
  <si>
    <t>Капітальні інвестиції, усього,</t>
  </si>
  <si>
    <t>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</si>
  <si>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</si>
  <si>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</si>
  <si>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</si>
  <si>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</si>
  <si>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</si>
  <si>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Оптимальне значення</t>
  </si>
  <si>
    <t>Факт за звітний квартал</t>
  </si>
  <si>
    <t>Примітки</t>
  </si>
  <si>
    <t>Коефіцієнти рентабельності та прибутковості</t>
  </si>
  <si>
    <t>Валова рентабельність</t>
  </si>
  <si>
    <t>Збільшення</t>
  </si>
  <si>
    <t>Коефіцієнти фінансової стійкості та ліквідності</t>
  </si>
  <si>
    <t>Коефіцієнт відношення боргу до EBITDA</t>
  </si>
  <si>
    <t>&gt; 1</t>
  </si>
  <si>
    <t>Коефіцієнт поточної ліквідності (покриття)</t>
  </si>
  <si>
    <t>Аналіз капітальних інвестицій</t>
  </si>
  <si>
    <t>Коефіцієнт відношення капітальних інвестицій до амортизації</t>
  </si>
  <si>
    <t>Коефіцієнт зносу основних засобів</t>
  </si>
  <si>
    <t>Інформація</t>
  </si>
  <si>
    <t>(найменування підприємства)</t>
  </si>
  <si>
    <t>Факт звітного періоду</t>
  </si>
  <si>
    <t>Відхилення,  +/–</t>
  </si>
  <si>
    <t>Виконання, %</t>
  </si>
  <si>
    <t>адміністративно-управлінський персонал</t>
  </si>
  <si>
    <t>працівники</t>
  </si>
  <si>
    <t>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</si>
  <si>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</si>
  <si>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</si>
  <si>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</si>
  <si>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3. Інформація про бізнес підприємства (код рядка 1000 фінансового плану)</t>
  </si>
  <si>
    <t>План</t>
  </si>
  <si>
    <t>Факт</t>
  </si>
  <si>
    <t>4. Діючі фінансові зобов'язання підприємства</t>
  </si>
  <si>
    <t>Найменування  банку</t>
  </si>
  <si>
    <t>Вид кредитного продукту та цільове призначення</t>
  </si>
  <si>
    <t>Сума, валюта за договорами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</si>
  <si>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</si>
  <si>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</si>
  <si>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</si>
  <si>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</si>
  <si>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t>х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</si>
  <si>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</si>
  <si>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</si>
  <si>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</si>
  <si>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</si>
  <si>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 за звітний період</t>
  </si>
  <si>
    <t>Заборгованість на кінець звітного періоду</t>
  </si>
  <si>
    <t xml:space="preserve">Довгострокові зобов'язання, усього </t>
  </si>
  <si>
    <t>Короткострокові зобов'язання, усього</t>
  </si>
  <si>
    <r>
      <t>у тому числі:</t>
    </r>
    <r>
      <rPr>
        <i/>
        <sz val="10"/>
        <color indexed="8"/>
        <rFont val="Times New Roman"/>
        <family val="1"/>
      </rPr>
      <t xml:space="preserve"> </t>
    </r>
  </si>
  <si>
    <t>Інші фінансові зобов'язання, усього</t>
  </si>
  <si>
    <t>Рік придбання</t>
  </si>
  <si>
    <t>Мета використання</t>
  </si>
  <si>
    <t>Витрати, усього</t>
  </si>
  <si>
    <t>№ з/п</t>
  </si>
  <si>
    <t>Марка</t>
  </si>
  <si>
    <t>Дата початку оренди</t>
  </si>
  <si>
    <t>Договір</t>
  </si>
  <si>
    <t>8. Джерела капітальних інвестицій</t>
  </si>
  <si>
    <t>тис. гривень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</si>
  <si>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</si>
  <si>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</si>
  <si>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</si>
  <si>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</si>
  <si>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Відсоток</t>
  </si>
  <si>
    <t>9. Капітальне будівництво (рядок 4010 таблиці 4)</t>
  </si>
  <si>
    <t>№</t>
  </si>
  <si>
    <t>Рік початку  і закінчення будівництва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</si>
  <si>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</si>
  <si>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</si>
  <si>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</si>
  <si>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Плановий квартал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</si>
  <si>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</si>
  <si>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</si>
  <si>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</si>
  <si>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</si>
  <si>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>у тому числі</t>
  </si>
  <si>
    <t>власні кошти</t>
  </si>
  <si>
    <t>кредитні кошти</t>
  </si>
  <si>
    <t>інші джерела (зазначити джерело)</t>
  </si>
  <si>
    <t>(квартал, рік, з  наростаючим підсумком)</t>
  </si>
  <si>
    <t>податок на доходи фізичних осіб</t>
  </si>
  <si>
    <t>1. Формування фінансових результатів</t>
  </si>
  <si>
    <t>Рік</t>
  </si>
  <si>
    <t>Одиниця виміру, тис.грн.</t>
  </si>
  <si>
    <t>Інші доходи</t>
  </si>
  <si>
    <t>Інші витрати</t>
  </si>
  <si>
    <t>Витрати з податку на прибуток</t>
  </si>
  <si>
    <t>Прибуток від припиненої діяльності після оподаткування</t>
  </si>
  <si>
    <t>Збиток від припиненої діяльності післ оподаткування</t>
  </si>
  <si>
    <t xml:space="preserve">Прибуток </t>
  </si>
  <si>
    <t xml:space="preserve">Збиток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</si>
  <si>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</si>
  <si>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</si>
  <si>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</si>
  <si>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</si>
  <si>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рентна плата за користування надрами</t>
  </si>
  <si>
    <t>Інші операційні доходи</t>
  </si>
  <si>
    <t>Дохід з податку на прибуток</t>
  </si>
  <si>
    <t>Сплата податків та зборів до місцевих бюджетів (податкові платежі)</t>
  </si>
  <si>
    <t>Інші податки, збори та платежі на користь держави, у т.ч.:</t>
  </si>
  <si>
    <t>єдиний внесок на загальнообов'язкове державне соціальне страхування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</si>
  <si>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</si>
  <si>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</si>
  <si>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</si>
  <si>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</t>
  </si>
  <si>
    <t>Чистий рух коштів від фінансової діяльності</t>
  </si>
  <si>
    <t>Вплив зміни валютних курсів на залишок коштів</t>
  </si>
  <si>
    <t>Залишок коштів на кінець періоду</t>
  </si>
  <si>
    <t>Капітальні інвестиції (розшифрувати)</t>
  </si>
  <si>
    <t>Рентабельність діяльності</t>
  </si>
  <si>
    <t>Рентабельність активів</t>
  </si>
  <si>
    <t>Рентабельність власного капіталу</t>
  </si>
  <si>
    <t>VІ.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</si>
  <si>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</si>
  <si>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</si>
  <si>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</si>
  <si>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</si>
  <si>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</si>
  <si>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</si>
  <si>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 тому числі державні гранти і субсидії</t>
  </si>
  <si>
    <t>У тому числі фінансові запозичення</t>
  </si>
  <si>
    <t>VІІ. Кредитна політика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</si>
  <si>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</si>
  <si>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</si>
  <si>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</si>
  <si>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</si>
  <si>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</si>
  <si>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VІІІ. Дані про персонал та витрати на оплату праці</t>
  </si>
  <si>
    <t>члени наглядової ради</t>
  </si>
  <si>
    <t>члени правління</t>
  </si>
  <si>
    <t>керівник</t>
  </si>
  <si>
    <t>Середньомісячні витрати на оплату праці одного працівника (гривень), усього, у тому числі:</t>
  </si>
  <si>
    <t>член наглядової ради</t>
  </si>
  <si>
    <t>член правління</t>
  </si>
  <si>
    <t>адміністративно-управлінський працівник</t>
  </si>
  <si>
    <t>працівник</t>
  </si>
  <si>
    <t>Середня кількість працівників (штатних працівників, зовнішніх сумісників та працівників, які працюють за цивільно-правовими договорами), у тому числі:</t>
  </si>
  <si>
    <t>Таблиця 1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</si>
  <si>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</si>
  <si>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</si>
  <si>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</si>
  <si>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об'єкта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</si>
  <si>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</si>
  <si>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</si>
  <si>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витрати на зв'язок</t>
  </si>
  <si>
    <t>витрати на утримання основних фондів, інших необоротних активів загальногосподарського використання, у тому числі:</t>
  </si>
  <si>
    <t>1050/1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</si>
  <si>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</si>
  <si>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</si>
  <si>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</si>
  <si>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нетипові операційні витрати (розшифрувати)</t>
  </si>
  <si>
    <t>інші операційні витрати (розшифрувати)</t>
  </si>
  <si>
    <t>Інші доходи, усього, у тому числі:</t>
  </si>
  <si>
    <t>інші доходи (розшифрувати)</t>
  </si>
  <si>
    <t>Інші витрати, усього, у тому числі:</t>
  </si>
  <si>
    <t>інші витрати (розшифрувати)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</si>
  <si>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</si>
  <si>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</si>
  <si>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результат, у тому числі: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</si>
  <si>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</si>
  <si>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</si>
  <si>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</si>
  <si>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</si>
  <si>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</si>
  <si>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t>Таблиця 2</t>
  </si>
  <si>
    <t>Чистий фінансовий результат</t>
  </si>
  <si>
    <t>Сплата податків, зборів та інших обов'язкових платежів</t>
  </si>
  <si>
    <t>відрахування частини чистого прибутку державними унітарними підприємствами та їх об'єднаннями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</si>
  <si>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</si>
  <si>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</si>
  <si>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</si>
  <si>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</si>
  <si>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податки, збори та платежі на користь держави, 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</si>
  <si>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(часток) належать державі, на виплату дивідендів на державну частку</t>
  </si>
  <si>
    <t>митні платежі</t>
  </si>
  <si>
    <t xml:space="preserve">єдиний внесок на загальнообов'язкове державне соціальне страхування </t>
  </si>
  <si>
    <t>інші податки, збори та платежі (розшифрувати)</t>
  </si>
  <si>
    <t>Погашення податкового боргу, усього, у тому числі:</t>
  </si>
  <si>
    <t>інші (штрафи, пені, неустойки) (розшифрувати)</t>
  </si>
  <si>
    <t>Таблиця 3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</si>
  <si>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</si>
  <si>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</si>
  <si>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</si>
  <si>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</si>
  <si>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(розшифрувати)</t>
  </si>
  <si>
    <t>Надходження авансів від покупців і замовників</t>
  </si>
  <si>
    <t>Витрачання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</si>
  <si>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</si>
  <si>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</si>
  <si>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Зобов'язання з податків, зборів та інших обов'язкових платежів, у тому числі:</t>
  </si>
  <si>
    <t>податок на додану вартість</t>
  </si>
  <si>
    <t>рентна плата</t>
  </si>
  <si>
    <t>інші зобов'язання з податків і зборів (розшифрувати)</t>
  </si>
  <si>
    <t>3156/1</t>
  </si>
  <si>
    <t>3156/2</t>
  </si>
  <si>
    <t>Інші платежі (розшифрувати)</t>
  </si>
  <si>
    <t>Повернення коштів до бюджету</t>
  </si>
  <si>
    <t>Інші витрачання (розшифрувати)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</si>
  <si>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</si>
  <si>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</si>
  <si>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 xml:space="preserve">надходження від продажу акцій та облігацій </t>
  </si>
  <si>
    <t xml:space="preserve">Надходження від реалізації необоротних активів 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</si>
  <si>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</si>
  <si>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</si>
  <si>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</si>
  <si>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</si>
  <si>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 xml:space="preserve">витрачання на придбання акцій та облігацій </t>
  </si>
  <si>
    <t xml:space="preserve">Витрачання на придбання необоротних активів, у тому числі: </t>
  </si>
  <si>
    <t xml:space="preserve">придбання (створення) основних засобів (розшифрувати) </t>
  </si>
  <si>
    <t>3270/1</t>
  </si>
  <si>
    <t xml:space="preserve">капітальне будівництво (розшифрувати) </t>
  </si>
  <si>
    <t>3270/2</t>
  </si>
  <si>
    <t xml:space="preserve">придбання (створення) нематеріальних активів (розшифрувати) </t>
  </si>
  <si>
    <t>3270/3</t>
  </si>
  <si>
    <t>Виплати за деривативами</t>
  </si>
  <si>
    <t xml:space="preserve">Чистий рух коштів від інвестиційної діяльності </t>
  </si>
  <si>
    <t>ІІІ.Рух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</si>
  <si>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</si>
  <si>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</si>
  <si>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</si>
  <si>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</si>
  <si>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</si>
  <si>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</si>
  <si>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</si>
  <si>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</si>
  <si>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</si>
  <si>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 xml:space="preserve">Чистий рух коштів від фінансової діяльності </t>
  </si>
  <si>
    <t>Чистий рух грошових коштів за звітний період</t>
  </si>
  <si>
    <t>Таблиця 4</t>
  </si>
  <si>
    <t>Таблиця 5</t>
  </si>
  <si>
    <t xml:space="preserve"> </t>
  </si>
  <si>
    <t>(валовий прибуток, рядок 1020 / чистий дохід від реалізації продукції (товарів, робіт, послуг), рядок 1000) х 100, %</t>
  </si>
  <si>
    <t>(EBITDA, рядок 1310 / чистий дохід від реалізації продукції (товарів, робіт, послуг), рядок 1000) х 100, %</t>
  </si>
  <si>
    <t>(чистий фінансовий результат, рядок 1200 / вартість активів, рядок 6020) х 100, %</t>
  </si>
  <si>
    <t>(чистий фінансовий результат, рядок 1200 / власний капітал, рядок 6080) х 100, %</t>
  </si>
  <si>
    <t>(чистий фінансовий результат, рядок 1200 / чистий дохід від реалізації продукції (товарів, робіт, послуг), рядок 1000) х 100, %</t>
  </si>
  <si>
    <t>(довгострокові зобов'язання, рядок 6030 + поточні зобов'язання, рядок 6040) / EBITDA, рядок 1310</t>
  </si>
  <si>
    <t>(власний капітал, рядок 6080 / (довгострокові зобов'язання, рядок 6030 + поточні зобов'язання, рядок 6040))</t>
  </si>
  <si>
    <t>(оборотні активи, рядок 6010 / поточні зобов'язання, рядок 6040)</t>
  </si>
  <si>
    <t>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</si>
  <si>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</t>
  </si>
  <si>
    <t>(капітальні інвестиції, рядок 4000 / чистий дохід від реалізації продукції (товарів, робіт, послуг), рядок 1000)</t>
  </si>
  <si>
    <t>(сума зносу, рядок 6003 / первісна вартість основних засобів, рядок 6002)</t>
  </si>
  <si>
    <t>Ковенанти / обмежувальні коефіцієнти</t>
  </si>
  <si>
    <t>Інші коефіцієнти / 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зазначити граничне значення коефіцієнта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</si>
  <si>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</si>
  <si>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</si>
  <si>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</si>
  <si>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Показує достатність ресурсів підприємства, які може бути використано для погашення його поточних зобов'язань. Нормативним значенням для цього показника є &gt; 1 - 1,5</t>
  </si>
  <si>
    <t xml:space="preserve">Зменшення </t>
  </si>
  <si>
    <t>Характеризує інвестиційну політику підприємства</t>
  </si>
  <si>
    <t>Таблиця 6</t>
  </si>
  <si>
    <t xml:space="preserve">Факт відповідного періоду минулого року </t>
  </si>
  <si>
    <t>План звітного періоду</t>
  </si>
  <si>
    <r>
      <t xml:space="preserve">Середня кількість працівників </t>
    </r>
    <r>
      <rPr>
        <sz val="10"/>
        <color indexed="8"/>
        <rFont val="Times New Roman"/>
        <family val="1"/>
        <charset val="204"/>
      </rPr>
      <t>(штатних працівників, зовнішніх сумісників та працівників, які працюють за цивільно-правовими договорами)</t>
    </r>
    <r>
      <rPr>
        <b/>
        <sz val="10"/>
        <color indexed="8"/>
        <rFont val="Times New Roman"/>
        <family val="1"/>
        <charset val="204"/>
      </rPr>
      <t>, у тому числі:</t>
    </r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</si>
  <si>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</si>
  <si>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</si>
  <si>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працівника, грн, усього, у тому числі:</t>
  </si>
  <si>
    <t xml:space="preserve">керівник, усього, у тому числі: </t>
  </si>
  <si>
    <t>посадовий оклад</t>
  </si>
  <si>
    <t>преміювання</t>
  </si>
  <si>
    <t xml:space="preserve">інші виплати, передбачені законодавством </t>
  </si>
  <si>
    <t>1. Дані про підприємство, персонал та фонд заробітної плати*</t>
  </si>
  <si>
    <t>чистий дохід від реалізації продукції (товарів, робіт, послуг), тис. грн</t>
  </si>
  <si>
    <t>кількість продукції / наданих послуг, одиниця виміру</t>
  </si>
  <si>
    <t>ціна одиниці (вартість продукції / наданих послуг), грн</t>
  </si>
  <si>
    <t xml:space="preserve">чистий дохід від реалізації продукції (товарів, робіт, послуг) </t>
  </si>
  <si>
    <t xml:space="preserve">кількість продукції / наданих послуг </t>
  </si>
  <si>
    <t>зміна ціни одиниці (вартості продукції / наданих послуг)</t>
  </si>
  <si>
    <t>Найменування видів діяльності за КВЕД</t>
  </si>
  <si>
    <t>6. Витрати, пов'язані з використанням власних службових автомобілів (у складі адміністративних витрат, рядок 1031)</t>
  </si>
  <si>
    <t>факт відповідного періоду минулого року</t>
  </si>
  <si>
    <t>план звітного періоду</t>
  </si>
  <si>
    <t>факт звітного періоду</t>
  </si>
  <si>
    <t>Відхилення, +/-</t>
  </si>
  <si>
    <t>(факт звітного періоду / план звітного періоду)</t>
  </si>
  <si>
    <t>7. Витрати на оренду службових автомобілів (у складі адміністративних витрат, рядок 1032)</t>
  </si>
  <si>
    <t xml:space="preserve">Відхилення, +/-
(факт звітного періоду / план звітного періоду)
</t>
  </si>
  <si>
    <t xml:space="preserve">Виконання, %
(факт звітного періоду / план звітного періоду)
</t>
  </si>
  <si>
    <t>Інші джерела (розшифрувати)</t>
  </si>
  <si>
    <t xml:space="preserve">Підприємство </t>
  </si>
  <si>
    <t>Комунальне підприємство Миколаївської міської ради "Капітальне будівництво міста Миколаєва"</t>
  </si>
  <si>
    <t xml:space="preserve">Організаційно-правова форма     </t>
  </si>
  <si>
    <t xml:space="preserve">Комунальне підприємство              </t>
  </si>
  <si>
    <t xml:space="preserve">Територія </t>
  </si>
  <si>
    <t>54017, м. Миколаїв, вул. Адмірала Макарова, 7</t>
  </si>
  <si>
    <t xml:space="preserve">Орган державного управління   </t>
  </si>
  <si>
    <t xml:space="preserve">Галузь     </t>
  </si>
  <si>
    <t xml:space="preserve">Вид економічної діяльності       </t>
  </si>
  <si>
    <t xml:space="preserve">Форма власності    </t>
  </si>
  <si>
    <t xml:space="preserve">Середньооблікова кількість штатних працівників        </t>
  </si>
  <si>
    <t xml:space="preserve">Місцезнаходження     </t>
  </si>
  <si>
    <t>Комунальна</t>
  </si>
  <si>
    <t xml:space="preserve">Телефон   </t>
  </si>
  <si>
    <t>(0512) 47-27-92; 47-12-41</t>
  </si>
  <si>
    <t xml:space="preserve">Прізвище та ініціали  директора    </t>
  </si>
  <si>
    <t>Цехоцький А.В.</t>
  </si>
  <si>
    <t>за 1 квартал 2020 року</t>
  </si>
  <si>
    <t>Діяльність у сфері інжинірингу, геології та геодезії, надання послуг технічного консультування в цих сферах</t>
  </si>
  <si>
    <t>71.12; 41.10; 52.10; 52.21; 68.20</t>
  </si>
  <si>
    <t>комунальні послуги (водопостачання та водовідведення, вивіз сміття)</t>
  </si>
  <si>
    <t>витрати на зв`язок</t>
  </si>
  <si>
    <t>витрати на відрядження</t>
  </si>
  <si>
    <t>канцгоспвитрати та хозвидатки</t>
  </si>
  <si>
    <t>касове обслуговування банку</t>
  </si>
  <si>
    <t>обслуговування оргтехніки</t>
  </si>
  <si>
    <t>послуги пошти</t>
  </si>
  <si>
    <t>послуги інтернета</t>
  </si>
  <si>
    <t>послуги таксі</t>
  </si>
  <si>
    <t>техобслуговування кондиціонерів</t>
  </si>
  <si>
    <t>А.В.Цехоцький</t>
  </si>
  <si>
    <t>витрати за видачу сертифікату для закінченого будівництвом об`єкту</t>
  </si>
  <si>
    <t>витрати на електроенергію</t>
  </si>
  <si>
    <t>витрати на охорону приміщення</t>
  </si>
  <si>
    <t>витрати на підписку</t>
  </si>
  <si>
    <t>обслуговування комп`ютерних програм</t>
  </si>
  <si>
    <t>податок, оренда за землю та фактичне використання землі</t>
  </si>
  <si>
    <t>послуги нотаріуса</t>
  </si>
  <si>
    <t>доходи (компенсація витрат на землю)</t>
  </si>
  <si>
    <t>доходи від процентів банку</t>
  </si>
  <si>
    <t>вносити вручну</t>
  </si>
  <si>
    <t>немає данних</t>
  </si>
  <si>
    <t>різниця на 0,5</t>
  </si>
  <si>
    <t>30% від оренди нерухомого майна</t>
  </si>
  <si>
    <t>військовий збір</t>
  </si>
  <si>
    <t>компенсація землі, дог.оренди, відсотки банку</t>
  </si>
  <si>
    <r>
      <t xml:space="preserve">до звіту про виконання  фінансового плану  </t>
    </r>
    <r>
      <rPr>
        <b/>
        <sz val="10"/>
        <color indexed="14"/>
        <rFont val="Times New Roman"/>
        <family val="1"/>
        <charset val="204"/>
      </rPr>
      <t>за I квартал 2020 року</t>
    </r>
  </si>
  <si>
    <t>КП ММР "Капітальне будівництво міста Миколаєва"</t>
  </si>
  <si>
    <t>* 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</t>
  </si>
  <si>
    <t>Діяльність у сфері інжинірингу, геології та геодезії, надання послуг технічного консультування в цих сферах (71.12)</t>
  </si>
  <si>
    <t>______________________________________________</t>
  </si>
  <si>
    <t>підпис</t>
  </si>
  <si>
    <t>(ініціали, прізвище)</t>
  </si>
  <si>
    <t>доходи від процентів банку по депозиту</t>
  </si>
  <si>
    <t>доходи майбутніх періодів</t>
  </si>
  <si>
    <t>доходи по договорам оренди, зберігання майна</t>
  </si>
  <si>
    <t>виготовлення техпаспорту на адмінбудівлю (вул.Соборна,5)</t>
  </si>
  <si>
    <t>послуги з навчання техніки безпеки (пожарної - 0,3;цивільного захисту - 0,4)</t>
  </si>
  <si>
    <t>витрати на матеріальну допомогу на поховання</t>
  </si>
  <si>
    <t>планові показ.відсутні</t>
  </si>
  <si>
    <t>комунальні послуги (водопостачання та водовідведення, вивіз ТПВ)</t>
  </si>
  <si>
    <t>інші (внесення змін до держреєстру - 0,6 тис.грн.)</t>
  </si>
  <si>
    <t xml:space="preserve">витрати на лікарняні перші 5 дн. та нарах.ЄСВ - 3,8 тис.; матер.допомога - 7,1 тис.; тех.пер.засобів ел.обліку вул. Айвазов.,3 - 0,2 тис.; послуги охорони по незав.буд.вул. 3-я Слобідська,49/10 - 11,6 тис. </t>
  </si>
  <si>
    <t>Зменшення  кількості укладених договорів в порівняні з запланованими</t>
  </si>
  <si>
    <t>Відхилення за рахунок економії чисельності співробітників</t>
  </si>
  <si>
    <t>Заключення нових договорів та отримання додатково відсотків банку по поточному рахунку</t>
  </si>
  <si>
    <t>В зв`язку з виробничою необхідністю</t>
  </si>
  <si>
    <t>Вносити вручну без формул з нарастаючим</t>
  </si>
  <si>
    <t>Вносити вручну накопичувально</t>
  </si>
  <si>
    <t xml:space="preserve">                 А.В.Цехоцький  </t>
  </si>
  <si>
    <t xml:space="preserve">             (ініціали, прізвище)    </t>
  </si>
  <si>
    <t xml:space="preserve">рядок 2118 - дважди </t>
  </si>
  <si>
    <t>доходи (від штрафів, пені, неустойки-88,4; судовий збір Стандарт-9,0)</t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</si>
  <si>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</si>
  <si>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</si>
  <si>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_________________________</t>
    </r>
    <r>
      <rPr>
        <b/>
        <sz val="10"/>
        <color indexed="8"/>
        <rFont val="Times New Roman"/>
        <family val="1"/>
      </rPr>
      <t xml:space="preserve">
</t>
    </r>
  </si>
  <si>
    <r>
      <t xml:space="preserve">Керівник </t>
    </r>
    <r>
      <rPr>
        <sz val="10"/>
        <color indexed="8"/>
        <rFont val="Times New Roman"/>
        <family val="1"/>
      </rPr>
      <t>______</t>
    </r>
    <r>
      <rPr>
        <u/>
        <sz val="10"/>
        <color indexed="8"/>
        <rFont val="Times New Roman"/>
        <family val="1"/>
        <charset val="204"/>
      </rPr>
      <t>Директор</t>
    </r>
    <r>
      <rPr>
        <sz val="10"/>
        <color indexed="8"/>
        <rFont val="Times New Roman"/>
        <family val="1"/>
      </rPr>
      <t>_______________________</t>
    </r>
    <r>
      <rPr>
        <b/>
        <sz val="10"/>
        <color indexed="8"/>
        <rFont val="Times New Roman"/>
        <family val="1"/>
      </rPr>
      <t xml:space="preserve">
</t>
    </r>
  </si>
  <si>
    <r>
      <t>Керівник ____</t>
    </r>
    <r>
      <rPr>
        <b/>
        <u/>
        <sz val="10"/>
        <color indexed="8"/>
        <rFont val="Times New Roman"/>
        <family val="1"/>
        <charset val="204"/>
      </rPr>
      <t>Директор</t>
    </r>
    <r>
      <rPr>
        <b/>
        <sz val="10"/>
        <color indexed="8"/>
        <rFont val="Times New Roman"/>
        <family val="1"/>
        <charset val="204"/>
      </rPr>
      <t xml:space="preserve">_______________________
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</si>
</sst>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4"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Arial Black"/>
      <family val="2"/>
      <charset val="204"/>
    </font>
    <font>
      <sz val="9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</font>
    <font>
      <sz val="9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14"/>
      <name val="Calibri"/>
      <family val="2"/>
      <charset val="204"/>
    </font>
    <font>
      <sz val="12"/>
      <color indexed="14"/>
      <name val="Calibri"/>
      <family val="2"/>
      <charset val="204"/>
    </font>
    <font>
      <sz val="11"/>
      <color indexed="8"/>
      <name val="Times New Roman"/>
      <family val="1"/>
    </font>
    <font>
      <sz val="12"/>
      <color indexed="14"/>
      <name val="Times New Roman"/>
      <family val="1"/>
    </font>
    <font>
      <b/>
      <sz val="12"/>
      <color indexed="14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</font>
    <font>
      <sz val="12"/>
      <color indexed="10"/>
      <name val="Calibri"/>
      <family val="2"/>
    </font>
    <font>
      <b/>
      <sz val="12"/>
      <color indexed="10"/>
      <name val="Calibri"/>
      <family val="2"/>
      <charset val="204"/>
    </font>
    <font>
      <sz val="12"/>
      <color indexed="10"/>
      <name val="Calibri"/>
      <family val="2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indexed="10"/>
      <name val="Times New Roman"/>
      <family val="1"/>
      <charset val="204"/>
    </font>
    <font>
      <sz val="12"/>
      <color indexed="14"/>
      <name val="Calibri"/>
      <family val="2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sz val="12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2"/>
      <color indexed="8"/>
      <name val="Calibri"/>
      <family val="2"/>
    </font>
    <font>
      <b/>
      <sz val="10"/>
      <color indexed="14"/>
      <name val="Times New Roman"/>
      <family val="1"/>
      <charset val="204"/>
    </font>
    <font>
      <sz val="12"/>
      <name val="Calibri"/>
      <family val="2"/>
      <charset val="204"/>
    </font>
    <font>
      <sz val="11"/>
      <color indexed="10"/>
      <name val="Calibri"/>
      <family val="2"/>
    </font>
    <font>
      <sz val="9"/>
      <color indexed="20"/>
      <name val="Times New Roman"/>
      <family val="1"/>
      <charset val="204"/>
    </font>
    <font>
      <sz val="8.5"/>
      <color indexed="8"/>
      <name val="Times New Roman"/>
      <family val="1"/>
      <charset val="204"/>
    </font>
    <font>
      <b/>
      <sz val="10"/>
      <color indexed="2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8"/>
      <color indexed="8"/>
      <name val="Calibri"/>
      <family val="2"/>
    </font>
    <font>
      <b/>
      <sz val="12"/>
      <name val="Times New Roman"/>
      <family val="1"/>
    </font>
    <font>
      <b/>
      <sz val="12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Calibri"/>
      <family val="2"/>
    </font>
    <font>
      <u/>
      <sz val="12"/>
      <name val="Calibri"/>
      <family val="2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529">
    <xf numFmtId="0" fontId="0" fillId="0" borderId="0" xfId="0"/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3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textRotation="90" wrapText="1"/>
    </xf>
    <xf numFmtId="0" fontId="10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7" xfId="0" applyFont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vertical="top" wrapText="1"/>
    </xf>
    <xf numFmtId="0" fontId="11" fillId="2" borderId="9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vertical="top" wrapText="1"/>
    </xf>
    <xf numFmtId="0" fontId="6" fillId="2" borderId="3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0" fontId="6" fillId="2" borderId="5" xfId="0" applyFont="1" applyFill="1" applyBorder="1" applyAlignment="1">
      <alignment vertical="top" wrapText="1"/>
    </xf>
    <xf numFmtId="0" fontId="6" fillId="2" borderId="9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vertical="top" wrapText="1"/>
    </xf>
    <xf numFmtId="0" fontId="1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 wrapText="1"/>
    </xf>
    <xf numFmtId="0" fontId="11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2" borderId="13" xfId="0" applyFont="1" applyFill="1" applyBorder="1" applyAlignment="1">
      <alignment vertical="top" wrapText="1"/>
    </xf>
    <xf numFmtId="0" fontId="6" fillId="2" borderId="9" xfId="0" applyFont="1" applyFill="1" applyBorder="1" applyAlignment="1">
      <alignment vertical="top" wrapText="1"/>
    </xf>
    <xf numFmtId="0" fontId="11" fillId="2" borderId="14" xfId="0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11" fillId="2" borderId="3" xfId="0" applyFont="1" applyFill="1" applyBorder="1" applyAlignment="1">
      <alignment vertical="top" wrapText="1"/>
    </xf>
    <xf numFmtId="0" fontId="14" fillId="0" borderId="4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3" fillId="0" borderId="9" xfId="0" applyFont="1" applyBorder="1" applyAlignment="1">
      <alignment horizontal="center" vertical="top" textRotation="90" wrapText="1"/>
    </xf>
    <xf numFmtId="0" fontId="3" fillId="0" borderId="0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3" fillId="0" borderId="18" xfId="0" applyFont="1" applyBorder="1" applyAlignment="1">
      <alignment horizontal="left" wrapText="1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20" fillId="0" borderId="7" xfId="0" applyFont="1" applyBorder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1" fillId="3" borderId="5" xfId="0" applyFont="1" applyFill="1" applyBorder="1" applyAlignment="1">
      <alignment vertical="top" wrapText="1"/>
    </xf>
    <xf numFmtId="0" fontId="11" fillId="3" borderId="9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vertical="top" wrapText="1"/>
    </xf>
    <xf numFmtId="0" fontId="11" fillId="5" borderId="9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164" fontId="15" fillId="3" borderId="1" xfId="0" applyNumberFormat="1" applyFont="1" applyFill="1" applyBorder="1" applyAlignment="1">
      <alignment vertical="top" wrapText="1"/>
    </xf>
    <xf numFmtId="164" fontId="22" fillId="0" borderId="5" xfId="0" applyNumberFormat="1" applyFont="1" applyFill="1" applyBorder="1" applyAlignment="1">
      <alignment vertical="top" wrapText="1"/>
    </xf>
    <xf numFmtId="164" fontId="23" fillId="0" borderId="1" xfId="0" applyNumberFormat="1" applyFont="1" applyBorder="1" applyAlignment="1">
      <alignment vertical="top" wrapText="1"/>
    </xf>
    <xf numFmtId="0" fontId="23" fillId="0" borderId="1" xfId="0" applyFont="1" applyBorder="1" applyAlignment="1">
      <alignment vertical="top" wrapText="1"/>
    </xf>
    <xf numFmtId="164" fontId="22" fillId="0" borderId="14" xfId="0" applyNumberFormat="1" applyFont="1" applyFill="1" applyBorder="1" applyAlignment="1">
      <alignment vertical="top" wrapText="1"/>
    </xf>
    <xf numFmtId="164" fontId="22" fillId="0" borderId="5" xfId="0" applyNumberFormat="1" applyFont="1" applyFill="1" applyBorder="1" applyAlignment="1">
      <alignment vertical="center" wrapText="1"/>
    </xf>
    <xf numFmtId="164" fontId="23" fillId="5" borderId="1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164" fontId="24" fillId="0" borderId="7" xfId="0" applyNumberFormat="1" applyFont="1" applyBorder="1" applyAlignment="1">
      <alignment horizontal="center" vertical="top" wrapText="1"/>
    </xf>
    <xf numFmtId="164" fontId="26" fillId="0" borderId="7" xfId="0" applyNumberFormat="1" applyFont="1" applyBorder="1" applyAlignment="1">
      <alignment horizontal="center" vertical="top" wrapText="1"/>
    </xf>
    <xf numFmtId="0" fontId="3" fillId="3" borderId="7" xfId="0" applyFont="1" applyFill="1" applyBorder="1" applyAlignment="1">
      <alignment vertical="top" wrapText="1"/>
    </xf>
    <xf numFmtId="0" fontId="3" fillId="3" borderId="7" xfId="0" applyFont="1" applyFill="1" applyBorder="1" applyAlignment="1">
      <alignment horizontal="center" vertical="top" wrapText="1"/>
    </xf>
    <xf numFmtId="164" fontId="26" fillId="3" borderId="7" xfId="0" applyNumberFormat="1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3" fillId="0" borderId="7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 wrapText="1"/>
    </xf>
    <xf numFmtId="0" fontId="11" fillId="4" borderId="7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top" wrapText="1"/>
    </xf>
    <xf numFmtId="164" fontId="26" fillId="4" borderId="7" xfId="0" applyNumberFormat="1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horizontal="center" vertical="top" wrapText="1"/>
    </xf>
    <xf numFmtId="0" fontId="3" fillId="7" borderId="7" xfId="0" applyFont="1" applyFill="1" applyBorder="1" applyAlignment="1">
      <alignment horizontal="center" vertical="top" wrapText="1"/>
    </xf>
    <xf numFmtId="164" fontId="24" fillId="0" borderId="8" xfId="0" applyNumberFormat="1" applyFont="1" applyBorder="1" applyAlignment="1">
      <alignment horizontal="center" vertical="top" wrapText="1"/>
    </xf>
    <xf numFmtId="164" fontId="24" fillId="0" borderId="1" xfId="0" applyNumberFormat="1" applyFont="1" applyBorder="1" applyAlignment="1">
      <alignment vertical="top" wrapText="1"/>
    </xf>
    <xf numFmtId="164" fontId="25" fillId="0" borderId="1" xfId="0" applyNumberFormat="1" applyFont="1" applyBorder="1" applyAlignment="1">
      <alignment vertical="top" wrapText="1"/>
    </xf>
    <xf numFmtId="0" fontId="27" fillId="0" borderId="4" xfId="0" applyFont="1" applyBorder="1" applyAlignment="1">
      <alignment vertical="top" wrapText="1"/>
    </xf>
    <xf numFmtId="0" fontId="6" fillId="2" borderId="5" xfId="0" applyFont="1" applyFill="1" applyBorder="1" applyAlignment="1">
      <alignment horizontal="center" vertical="top" wrapText="1"/>
    </xf>
    <xf numFmtId="164" fontId="24" fillId="0" borderId="7" xfId="0" applyNumberFormat="1" applyFont="1" applyFill="1" applyBorder="1" applyAlignment="1">
      <alignment horizontal="center" vertical="top" wrapText="1"/>
    </xf>
    <xf numFmtId="164" fontId="24" fillId="3" borderId="1" xfId="0" applyNumberFormat="1" applyFont="1" applyFill="1" applyBorder="1" applyAlignment="1">
      <alignment vertical="top" wrapText="1"/>
    </xf>
    <xf numFmtId="164" fontId="24" fillId="4" borderId="1" xfId="0" applyNumberFormat="1" applyFont="1" applyFill="1" applyBorder="1" applyAlignment="1">
      <alignment vertical="top" wrapText="1"/>
    </xf>
    <xf numFmtId="164" fontId="24" fillId="5" borderId="1" xfId="0" applyNumberFormat="1" applyFont="1" applyFill="1" applyBorder="1" applyAlignment="1">
      <alignment vertical="top" wrapText="1"/>
    </xf>
    <xf numFmtId="0" fontId="28" fillId="2" borderId="4" xfId="0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horizontal="center" vertical="top" wrapText="1"/>
    </xf>
    <xf numFmtId="164" fontId="25" fillId="0" borderId="1" xfId="0" applyNumberFormat="1" applyFont="1" applyBorder="1" applyAlignment="1">
      <alignment horizontal="center" vertical="top" wrapText="1"/>
    </xf>
    <xf numFmtId="164" fontId="30" fillId="0" borderId="7" xfId="0" applyNumberFormat="1" applyFont="1" applyBorder="1" applyAlignment="1">
      <alignment horizontal="center" vertical="top" wrapText="1"/>
    </xf>
    <xf numFmtId="0" fontId="11" fillId="8" borderId="3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vertical="top" wrapText="1"/>
    </xf>
    <xf numFmtId="164" fontId="23" fillId="0" borderId="1" xfId="0" applyNumberFormat="1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top" wrapText="1"/>
    </xf>
    <xf numFmtId="0" fontId="11" fillId="3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164" fontId="30" fillId="0" borderId="1" xfId="0" applyNumberFormat="1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top" wrapText="1"/>
    </xf>
    <xf numFmtId="164" fontId="30" fillId="0" borderId="1" xfId="0" applyNumberFormat="1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1" fillId="9" borderId="3" xfId="0" applyFont="1" applyFill="1" applyBorder="1" applyAlignment="1">
      <alignment horizontal="center" vertical="top" wrapText="1"/>
    </xf>
    <xf numFmtId="164" fontId="25" fillId="9" borderId="1" xfId="0" applyNumberFormat="1" applyFont="1" applyFill="1" applyBorder="1" applyAlignment="1">
      <alignment vertical="top" wrapText="1"/>
    </xf>
    <xf numFmtId="164" fontId="24" fillId="9" borderId="1" xfId="0" applyNumberFormat="1" applyFont="1" applyFill="1" applyBorder="1" applyAlignment="1">
      <alignment vertical="top" wrapText="1"/>
    </xf>
    <xf numFmtId="0" fontId="11" fillId="2" borderId="21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vertical="top" wrapText="1"/>
    </xf>
    <xf numFmtId="164" fontId="30" fillId="5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164" fontId="24" fillId="0" borderId="2" xfId="0" applyNumberFormat="1" applyFont="1" applyBorder="1" applyAlignment="1">
      <alignment vertical="top" wrapText="1"/>
    </xf>
    <xf numFmtId="164" fontId="24" fillId="0" borderId="10" xfId="0" applyNumberFormat="1" applyFont="1" applyBorder="1" applyAlignment="1">
      <alignment vertical="top" wrapText="1"/>
    </xf>
    <xf numFmtId="164" fontId="31" fillId="0" borderId="5" xfId="0" applyNumberFormat="1" applyFont="1" applyBorder="1" applyAlignment="1">
      <alignment vertical="top" wrapText="1"/>
    </xf>
    <xf numFmtId="164" fontId="24" fillId="0" borderId="5" xfId="0" applyNumberFormat="1" applyFont="1" applyBorder="1" applyAlignment="1">
      <alignment vertical="top" wrapText="1"/>
    </xf>
    <xf numFmtId="0" fontId="11" fillId="2" borderId="22" xfId="0" applyFont="1" applyFill="1" applyBorder="1" applyAlignment="1">
      <alignment horizontal="center" vertical="top" wrapText="1"/>
    </xf>
    <xf numFmtId="164" fontId="24" fillId="0" borderId="23" xfId="0" applyNumberFormat="1" applyFont="1" applyBorder="1" applyAlignment="1">
      <alignment vertical="top" wrapText="1"/>
    </xf>
    <xf numFmtId="164" fontId="31" fillId="0" borderId="23" xfId="0" applyNumberFormat="1" applyFont="1" applyBorder="1" applyAlignment="1">
      <alignment vertical="top" wrapText="1"/>
    </xf>
    <xf numFmtId="164" fontId="32" fillId="0" borderId="23" xfId="0" applyNumberFormat="1" applyFont="1" applyBorder="1" applyAlignment="1">
      <alignment vertical="top" wrapText="1"/>
    </xf>
    <xf numFmtId="0" fontId="21" fillId="4" borderId="5" xfId="0" applyFont="1" applyFill="1" applyBorder="1" applyAlignment="1">
      <alignment vertical="top" wrapText="1"/>
    </xf>
    <xf numFmtId="0" fontId="11" fillId="4" borderId="9" xfId="0" applyFont="1" applyFill="1" applyBorder="1" applyAlignment="1">
      <alignment horizontal="center" vertical="top" wrapText="1"/>
    </xf>
    <xf numFmtId="164" fontId="20" fillId="4" borderId="5" xfId="0" applyNumberFormat="1" applyFont="1" applyFill="1" applyBorder="1" applyAlignment="1">
      <alignment vertical="center" wrapText="1"/>
    </xf>
    <xf numFmtId="164" fontId="20" fillId="4" borderId="14" xfId="0" applyNumberFormat="1" applyFont="1" applyFill="1" applyBorder="1" applyAlignment="1">
      <alignment vertical="center" wrapText="1"/>
    </xf>
    <xf numFmtId="164" fontId="22" fillId="0" borderId="23" xfId="0" applyNumberFormat="1" applyFont="1" applyFill="1" applyBorder="1" applyAlignment="1">
      <alignment vertical="center" wrapText="1"/>
    </xf>
    <xf numFmtId="164" fontId="22" fillId="0" borderId="1" xfId="0" applyNumberFormat="1" applyFont="1" applyFill="1" applyBorder="1" applyAlignment="1">
      <alignment vertical="center" wrapText="1"/>
    </xf>
    <xf numFmtId="164" fontId="34" fillId="0" borderId="12" xfId="0" applyNumberFormat="1" applyFont="1" applyBorder="1" applyAlignment="1">
      <alignment horizontal="right" vertical="top" wrapText="1"/>
    </xf>
    <xf numFmtId="164" fontId="34" fillId="0" borderId="24" xfId="0" applyNumberFormat="1" applyFont="1" applyBorder="1" applyAlignment="1">
      <alignment horizontal="right" vertical="top" wrapText="1"/>
    </xf>
    <xf numFmtId="164" fontId="24" fillId="0" borderId="1" xfId="0" applyNumberFormat="1" applyFont="1" applyBorder="1" applyAlignment="1">
      <alignment horizontal="right" vertical="top" wrapText="1"/>
    </xf>
    <xf numFmtId="164" fontId="25" fillId="0" borderId="1" xfId="0" applyNumberFormat="1" applyFont="1" applyBorder="1" applyAlignment="1">
      <alignment horizontal="right" vertical="top" wrapText="1"/>
    </xf>
    <xf numFmtId="164" fontId="33" fillId="0" borderId="12" xfId="0" applyNumberFormat="1" applyFont="1" applyBorder="1" applyAlignment="1">
      <alignment horizontal="right" vertical="top" wrapText="1"/>
    </xf>
    <xf numFmtId="164" fontId="35" fillId="0" borderId="1" xfId="0" applyNumberFormat="1" applyFont="1" applyBorder="1" applyAlignment="1">
      <alignment horizontal="right" vertical="top" wrapText="1"/>
    </xf>
    <xf numFmtId="164" fontId="25" fillId="0" borderId="25" xfId="0" applyNumberFormat="1" applyFont="1" applyBorder="1" applyAlignment="1">
      <alignment horizontal="right" vertical="top" wrapText="1"/>
    </xf>
    <xf numFmtId="164" fontId="30" fillId="0" borderId="1" xfId="0" applyNumberFormat="1" applyFont="1" applyBorder="1" applyAlignment="1">
      <alignment horizontal="right" vertical="top" wrapText="1"/>
    </xf>
    <xf numFmtId="0" fontId="37" fillId="2" borderId="4" xfId="0" applyFont="1" applyFill="1" applyBorder="1" applyAlignment="1">
      <alignment vertical="top" wrapText="1"/>
    </xf>
    <xf numFmtId="164" fontId="15" fillId="0" borderId="1" xfId="0" applyNumberFormat="1" applyFont="1" applyBorder="1" applyAlignment="1">
      <alignment vertical="top" wrapText="1"/>
    </xf>
    <xf numFmtId="165" fontId="15" fillId="0" borderId="7" xfId="0" applyNumberFormat="1" applyFont="1" applyBorder="1" applyAlignment="1">
      <alignment horizontal="center" vertical="top" wrapText="1"/>
    </xf>
    <xf numFmtId="165" fontId="22" fillId="0" borderId="7" xfId="0" applyNumberFormat="1" applyFont="1" applyFill="1" applyBorder="1" applyAlignment="1">
      <alignment horizontal="center" vertical="center" wrapText="1"/>
    </xf>
    <xf numFmtId="165" fontId="23" fillId="0" borderId="7" xfId="0" applyNumberFormat="1" applyFont="1" applyBorder="1" applyAlignment="1">
      <alignment horizontal="center" vertical="top" wrapText="1"/>
    </xf>
    <xf numFmtId="165" fontId="24" fillId="0" borderId="7" xfId="0" applyNumberFormat="1" applyFont="1" applyBorder="1" applyAlignment="1">
      <alignment horizontal="center" vertical="top" wrapText="1"/>
    </xf>
    <xf numFmtId="165" fontId="29" fillId="0" borderId="7" xfId="0" applyNumberFormat="1" applyFont="1" applyBorder="1" applyAlignment="1">
      <alignment horizontal="center" vertical="top" wrapText="1"/>
    </xf>
    <xf numFmtId="164" fontId="29" fillId="0" borderId="3" xfId="0" applyNumberFormat="1" applyFont="1" applyBorder="1" applyAlignment="1">
      <alignment horizontal="center" vertical="top" wrapText="1"/>
    </xf>
    <xf numFmtId="164" fontId="38" fillId="0" borderId="3" xfId="0" applyNumberFormat="1" applyFont="1" applyBorder="1" applyAlignment="1">
      <alignment horizontal="center" vertical="top" wrapText="1"/>
    </xf>
    <xf numFmtId="164" fontId="36" fillId="2" borderId="3" xfId="0" applyNumberFormat="1" applyFont="1" applyFill="1" applyBorder="1" applyAlignment="1">
      <alignment horizontal="center" vertical="top" wrapText="1"/>
    </xf>
    <xf numFmtId="164" fontId="36" fillId="2" borderId="3" xfId="0" applyNumberFormat="1" applyFont="1" applyFill="1" applyBorder="1" applyAlignment="1">
      <alignment vertical="top" wrapText="1"/>
    </xf>
    <xf numFmtId="164" fontId="24" fillId="0" borderId="1" xfId="0" applyNumberFormat="1" applyFont="1" applyBorder="1" applyAlignment="1">
      <alignment horizontal="center" vertical="top" wrapText="1"/>
    </xf>
    <xf numFmtId="164" fontId="40" fillId="0" borderId="1" xfId="0" applyNumberFormat="1" applyFont="1" applyBorder="1" applyAlignment="1">
      <alignment horizontal="center" vertical="top" wrapText="1"/>
    </xf>
    <xf numFmtId="0" fontId="18" fillId="0" borderId="26" xfId="0" applyFont="1" applyBorder="1" applyAlignment="1">
      <alignment horizontal="left" wrapText="1"/>
    </xf>
    <xf numFmtId="0" fontId="13" fillId="9" borderId="5" xfId="0" applyFont="1" applyFill="1" applyBorder="1" applyAlignment="1">
      <alignment horizontal="center" vertical="top" textRotation="90" wrapText="1"/>
    </xf>
    <xf numFmtId="0" fontId="13" fillId="9" borderId="9" xfId="0" applyFont="1" applyFill="1" applyBorder="1" applyAlignment="1">
      <alignment horizontal="center" vertical="top" textRotation="90" wrapText="1"/>
    </xf>
    <xf numFmtId="0" fontId="3" fillId="9" borderId="1" xfId="0" applyFont="1" applyFill="1" applyBorder="1" applyAlignment="1">
      <alignment horizontal="center" vertical="top" wrapText="1"/>
    </xf>
    <xf numFmtId="0" fontId="1" fillId="9" borderId="1" xfId="0" applyFont="1" applyFill="1" applyBorder="1" applyAlignment="1">
      <alignment horizontal="center" vertical="top" wrapText="1"/>
    </xf>
    <xf numFmtId="0" fontId="13" fillId="10" borderId="9" xfId="0" applyFont="1" applyFill="1" applyBorder="1" applyAlignment="1">
      <alignment horizontal="center" vertical="top" textRotation="90" wrapText="1"/>
    </xf>
    <xf numFmtId="0" fontId="3" fillId="10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vertical="top" wrapText="1"/>
    </xf>
    <xf numFmtId="164" fontId="3" fillId="9" borderId="1" xfId="0" applyNumberFormat="1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8" fillId="9" borderId="26" xfId="0" applyNumberFormat="1" applyFont="1" applyFill="1" applyBorder="1" applyAlignment="1">
      <alignment horizontal="center" vertical="center" wrapText="1"/>
    </xf>
    <xf numFmtId="164" fontId="41" fillId="0" borderId="26" xfId="0" applyNumberFormat="1" applyFont="1" applyBorder="1" applyAlignment="1">
      <alignment horizontal="center" vertical="center" wrapText="1"/>
    </xf>
    <xf numFmtId="164" fontId="23" fillId="0" borderId="10" xfId="0" applyNumberFormat="1" applyFont="1" applyBorder="1" applyAlignment="1">
      <alignment vertical="top" wrapText="1"/>
    </xf>
    <xf numFmtId="0" fontId="37" fillId="0" borderId="4" xfId="0" applyFont="1" applyFill="1" applyBorder="1" applyAlignment="1">
      <alignment vertical="top" wrapText="1"/>
    </xf>
    <xf numFmtId="0" fontId="43" fillId="0" borderId="4" xfId="0" applyFont="1" applyFill="1" applyBorder="1" applyAlignment="1">
      <alignment vertical="top" wrapText="1"/>
    </xf>
    <xf numFmtId="164" fontId="25" fillId="0" borderId="1" xfId="0" applyNumberFormat="1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11" fillId="7" borderId="4" xfId="0" applyFont="1" applyFill="1" applyBorder="1" applyAlignment="1">
      <alignment vertical="top" wrapText="1"/>
    </xf>
    <xf numFmtId="0" fontId="8" fillId="7" borderId="5" xfId="0" applyFont="1" applyFill="1" applyBorder="1" applyAlignment="1">
      <alignment vertical="top" wrapText="1"/>
    </xf>
    <xf numFmtId="164" fontId="31" fillId="0" borderId="12" xfId="0" applyNumberFormat="1" applyFont="1" applyBorder="1" applyAlignment="1">
      <alignment horizontal="right" vertical="top" wrapText="1"/>
    </xf>
    <xf numFmtId="164" fontId="0" fillId="0" borderId="0" xfId="0" applyNumberFormat="1" applyAlignment="1">
      <alignment vertical="top" wrapText="1"/>
    </xf>
    <xf numFmtId="164" fontId="30" fillId="0" borderId="1" xfId="0" applyNumberFormat="1" applyFont="1" applyFill="1" applyBorder="1" applyAlignment="1">
      <alignment horizontal="right" vertical="top" wrapText="1"/>
    </xf>
    <xf numFmtId="0" fontId="11" fillId="11" borderId="4" xfId="0" applyFont="1" applyFill="1" applyBorder="1" applyAlignment="1">
      <alignment vertical="top" wrapText="1"/>
    </xf>
    <xf numFmtId="0" fontId="11" fillId="11" borderId="3" xfId="0" applyFont="1" applyFill="1" applyBorder="1" applyAlignment="1">
      <alignment horizontal="center" vertical="top" wrapText="1"/>
    </xf>
    <xf numFmtId="164" fontId="30" fillId="11" borderId="1" xfId="0" applyNumberFormat="1" applyFont="1" applyFill="1" applyBorder="1" applyAlignment="1">
      <alignment horizontal="right" vertical="top" wrapText="1"/>
    </xf>
    <xf numFmtId="164" fontId="34" fillId="11" borderId="12" xfId="0" applyNumberFormat="1" applyFont="1" applyFill="1" applyBorder="1" applyAlignment="1">
      <alignment horizontal="right" vertical="top" wrapText="1"/>
    </xf>
    <xf numFmtId="164" fontId="25" fillId="0" borderId="25" xfId="0" applyNumberFormat="1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vertical="top" wrapText="1"/>
    </xf>
    <xf numFmtId="164" fontId="1" fillId="12" borderId="26" xfId="0" applyNumberFormat="1" applyFont="1" applyFill="1" applyBorder="1" applyAlignment="1">
      <alignment horizontal="center" vertical="center" wrapText="1"/>
    </xf>
    <xf numFmtId="164" fontId="30" fillId="0" borderId="7" xfId="0" applyNumberFormat="1" applyFont="1" applyFill="1" applyBorder="1" applyAlignment="1">
      <alignment horizontal="center" vertical="top" wrapText="1"/>
    </xf>
    <xf numFmtId="165" fontId="25" fillId="0" borderId="7" xfId="0" applyNumberFormat="1" applyFont="1" applyBorder="1" applyAlignment="1">
      <alignment horizontal="center" vertical="top" wrapText="1"/>
    </xf>
    <xf numFmtId="165" fontId="40" fillId="0" borderId="7" xfId="0" applyNumberFormat="1" applyFont="1" applyBorder="1" applyAlignment="1">
      <alignment horizontal="center" vertical="top" wrapText="1"/>
    </xf>
    <xf numFmtId="165" fontId="45" fillId="0" borderId="7" xfId="0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vertical="top" wrapText="1"/>
    </xf>
    <xf numFmtId="164" fontId="40" fillId="7" borderId="7" xfId="0" applyNumberFormat="1" applyFont="1" applyFill="1" applyBorder="1" applyAlignment="1">
      <alignment horizontal="center" vertical="top" wrapText="1"/>
    </xf>
    <xf numFmtId="164" fontId="26" fillId="0" borderId="7" xfId="0" applyNumberFormat="1" applyFont="1" applyFill="1" applyBorder="1" applyAlignment="1">
      <alignment horizontal="center" vertical="top" wrapText="1"/>
    </xf>
    <xf numFmtId="164" fontId="40" fillId="0" borderId="7" xfId="0" applyNumberFormat="1" applyFont="1" applyFill="1" applyBorder="1" applyAlignment="1">
      <alignment horizontal="center" vertical="top" wrapText="1"/>
    </xf>
    <xf numFmtId="0" fontId="11" fillId="5" borderId="14" xfId="0" applyFont="1" applyFill="1" applyBorder="1" applyAlignment="1">
      <alignment vertical="top" wrapText="1"/>
    </xf>
    <xf numFmtId="0" fontId="11" fillId="5" borderId="27" xfId="0" applyFont="1" applyFill="1" applyBorder="1" applyAlignment="1">
      <alignment horizontal="center" vertical="top" wrapText="1"/>
    </xf>
    <xf numFmtId="164" fontId="30" fillId="5" borderId="10" xfId="0" applyNumberFormat="1" applyFont="1" applyFill="1" applyBorder="1" applyAlignment="1">
      <alignment vertical="top" wrapText="1"/>
    </xf>
    <xf numFmtId="164" fontId="24" fillId="5" borderId="10" xfId="0" applyNumberFormat="1" applyFont="1" applyFill="1" applyBorder="1" applyAlignment="1">
      <alignment vertical="top" wrapText="1"/>
    </xf>
    <xf numFmtId="164" fontId="30" fillId="5" borderId="28" xfId="0" applyNumberFormat="1" applyFont="1" applyFill="1" applyBorder="1" applyAlignment="1">
      <alignment vertical="top" wrapText="1"/>
    </xf>
    <xf numFmtId="164" fontId="24" fillId="5" borderId="28" xfId="0" applyNumberFormat="1" applyFont="1" applyFill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1" fillId="0" borderId="14" xfId="0" applyFont="1" applyFill="1" applyBorder="1" applyAlignment="1">
      <alignment vertical="top" wrapText="1"/>
    </xf>
    <xf numFmtId="0" fontId="11" fillId="8" borderId="27" xfId="0" applyFont="1" applyFill="1" applyBorder="1" applyAlignment="1">
      <alignment horizontal="center" vertical="top" wrapText="1"/>
    </xf>
    <xf numFmtId="164" fontId="23" fillId="0" borderId="10" xfId="0" applyNumberFormat="1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8" borderId="9" xfId="0" applyFont="1" applyFill="1" applyBorder="1" applyAlignment="1">
      <alignment horizontal="center" vertical="top" wrapText="1"/>
    </xf>
    <xf numFmtId="164" fontId="23" fillId="0" borderId="28" xfId="0" applyNumberFormat="1" applyFont="1" applyFill="1" applyBorder="1" applyAlignment="1">
      <alignment vertical="top" wrapText="1"/>
    </xf>
    <xf numFmtId="164" fontId="24" fillId="0" borderId="28" xfId="0" applyNumberFormat="1" applyFont="1" applyBorder="1" applyAlignment="1">
      <alignment vertical="top" wrapText="1"/>
    </xf>
    <xf numFmtId="0" fontId="1" fillId="0" borderId="28" xfId="0" applyFont="1" applyFill="1" applyBorder="1" applyAlignment="1">
      <alignment vertical="top" wrapText="1"/>
    </xf>
    <xf numFmtId="0" fontId="11" fillId="8" borderId="5" xfId="0" applyFont="1" applyFill="1" applyBorder="1" applyAlignment="1">
      <alignment vertical="top" wrapText="1"/>
    </xf>
    <xf numFmtId="164" fontId="25" fillId="8" borderId="28" xfId="0" applyNumberFormat="1" applyFont="1" applyFill="1" applyBorder="1" applyAlignment="1">
      <alignment vertical="top" wrapText="1"/>
    </xf>
    <xf numFmtId="164" fontId="24" fillId="0" borderId="25" xfId="0" applyNumberFormat="1" applyFont="1" applyBorder="1" applyAlignment="1">
      <alignment vertical="top" wrapText="1"/>
    </xf>
    <xf numFmtId="0" fontId="23" fillId="0" borderId="25" xfId="0" applyFont="1" applyBorder="1" applyAlignment="1">
      <alignment vertical="top" wrapText="1"/>
    </xf>
    <xf numFmtId="164" fontId="23" fillId="0" borderId="25" xfId="0" applyNumberFormat="1" applyFont="1" applyFill="1" applyBorder="1" applyAlignment="1">
      <alignment vertical="top" wrapText="1"/>
    </xf>
    <xf numFmtId="0" fontId="1" fillId="0" borderId="25" xfId="0" applyFont="1" applyFill="1" applyBorder="1" applyAlignment="1">
      <alignment vertical="top" wrapText="1"/>
    </xf>
    <xf numFmtId="164" fontId="30" fillId="5" borderId="25" xfId="0" applyNumberFormat="1" applyFont="1" applyFill="1" applyBorder="1" applyAlignment="1">
      <alignment vertical="top" wrapText="1"/>
    </xf>
    <xf numFmtId="164" fontId="24" fillId="5" borderId="25" xfId="0" applyNumberFormat="1" applyFont="1" applyFill="1" applyBorder="1" applyAlignment="1">
      <alignment vertical="top" wrapText="1"/>
    </xf>
    <xf numFmtId="0" fontId="10" fillId="0" borderId="25" xfId="0" applyFont="1" applyBorder="1" applyAlignment="1">
      <alignment vertical="top" wrapText="1"/>
    </xf>
    <xf numFmtId="0" fontId="11" fillId="13" borderId="14" xfId="0" applyFont="1" applyFill="1" applyBorder="1" applyAlignment="1">
      <alignment vertical="top" wrapText="1"/>
    </xf>
    <xf numFmtId="0" fontId="11" fillId="13" borderId="27" xfId="0" applyFont="1" applyFill="1" applyBorder="1" applyAlignment="1">
      <alignment horizontal="center" vertical="top" wrapText="1"/>
    </xf>
    <xf numFmtId="164" fontId="24" fillId="13" borderId="10" xfId="0" applyNumberFormat="1" applyFont="1" applyFill="1" applyBorder="1" applyAlignment="1">
      <alignment vertical="top" wrapText="1"/>
    </xf>
    <xf numFmtId="0" fontId="1" fillId="13" borderId="18" xfId="0" applyFont="1" applyFill="1" applyBorder="1" applyAlignment="1">
      <alignment vertical="top" wrapText="1"/>
    </xf>
    <xf numFmtId="0" fontId="11" fillId="0" borderId="29" xfId="0" applyFont="1" applyBorder="1" applyAlignment="1">
      <alignment vertical="top" wrapText="1"/>
    </xf>
    <xf numFmtId="0" fontId="11" fillId="2" borderId="30" xfId="0" applyFont="1" applyFill="1" applyBorder="1" applyAlignment="1">
      <alignment horizontal="center" vertical="top" wrapText="1"/>
    </xf>
    <xf numFmtId="164" fontId="30" fillId="0" borderId="28" xfId="0" applyNumberFormat="1" applyFont="1" applyBorder="1" applyAlignment="1">
      <alignment vertical="top" wrapText="1"/>
    </xf>
    <xf numFmtId="0" fontId="11" fillId="2" borderId="27" xfId="0" applyFont="1" applyFill="1" applyBorder="1" applyAlignment="1">
      <alignment horizontal="center" vertical="top" wrapText="1"/>
    </xf>
    <xf numFmtId="164" fontId="34" fillId="0" borderId="31" xfId="0" applyNumberFormat="1" applyFont="1" applyBorder="1" applyAlignment="1">
      <alignment horizontal="right" vertical="top" wrapText="1"/>
    </xf>
    <xf numFmtId="164" fontId="34" fillId="0" borderId="32" xfId="0" applyNumberFormat="1" applyFont="1" applyBorder="1" applyAlignment="1">
      <alignment horizontal="right" vertical="top" wrapText="1"/>
    </xf>
    <xf numFmtId="0" fontId="37" fillId="2" borderId="5" xfId="0" applyFont="1" applyFill="1" applyBorder="1" applyAlignment="1">
      <alignment vertical="top" wrapText="1"/>
    </xf>
    <xf numFmtId="164" fontId="30" fillId="0" borderId="10" xfId="0" applyNumberFormat="1" applyFont="1" applyFill="1" applyBorder="1" applyAlignment="1">
      <alignment horizontal="right" vertical="top" wrapText="1"/>
    </xf>
    <xf numFmtId="164" fontId="30" fillId="0" borderId="10" xfId="0" applyNumberFormat="1" applyFont="1" applyBorder="1" applyAlignment="1">
      <alignment horizontal="right" vertical="top" wrapText="1"/>
    </xf>
    <xf numFmtId="164" fontId="16" fillId="0" borderId="5" xfId="0" applyNumberFormat="1" applyFont="1" applyFill="1" applyBorder="1" applyAlignment="1">
      <alignment horizontal="right" vertical="top" wrapText="1"/>
    </xf>
    <xf numFmtId="164" fontId="16" fillId="0" borderId="5" xfId="0" applyNumberFormat="1" applyFont="1" applyBorder="1" applyAlignment="1">
      <alignment horizontal="right" vertical="top" wrapText="1"/>
    </xf>
    <xf numFmtId="164" fontId="34" fillId="0" borderId="5" xfId="0" applyNumberFormat="1" applyFont="1" applyBorder="1" applyAlignment="1">
      <alignment horizontal="right" vertical="top" wrapText="1"/>
    </xf>
    <xf numFmtId="164" fontId="30" fillId="0" borderId="5" xfId="0" applyNumberFormat="1" applyFont="1" applyBorder="1" applyAlignment="1">
      <alignment horizontal="right" vertical="top" wrapText="1"/>
    </xf>
    <xf numFmtId="164" fontId="15" fillId="0" borderId="10" xfId="0" applyNumberFormat="1" applyFont="1" applyBorder="1" applyAlignment="1">
      <alignment vertical="top" wrapText="1"/>
    </xf>
    <xf numFmtId="164" fontId="15" fillId="0" borderId="5" xfId="0" applyNumberFormat="1" applyFont="1" applyBorder="1" applyAlignment="1">
      <alignment vertical="top" wrapText="1"/>
    </xf>
    <xf numFmtId="0" fontId="6" fillId="2" borderId="33" xfId="0" applyFont="1" applyFill="1" applyBorder="1" applyAlignment="1">
      <alignment horizontal="center" vertical="top" wrapText="1"/>
    </xf>
    <xf numFmtId="164" fontId="24" fillId="0" borderId="5" xfId="0" applyNumberFormat="1" applyFont="1" applyBorder="1" applyAlignment="1">
      <alignment horizontal="center" vertical="top" wrapText="1"/>
    </xf>
    <xf numFmtId="0" fontId="6" fillId="0" borderId="5" xfId="0" applyFont="1" applyBorder="1"/>
    <xf numFmtId="0" fontId="11" fillId="0" borderId="14" xfId="0" applyFont="1" applyBorder="1" applyAlignment="1">
      <alignment vertical="top" wrapText="1"/>
    </xf>
    <xf numFmtId="164" fontId="15" fillId="0" borderId="10" xfId="0" applyNumberFormat="1" applyFont="1" applyBorder="1" applyAlignment="1">
      <alignment horizontal="center" vertical="top" wrapText="1"/>
    </xf>
    <xf numFmtId="164" fontId="24" fillId="0" borderId="10" xfId="0" applyNumberFormat="1" applyFont="1" applyBorder="1" applyAlignment="1">
      <alignment horizontal="center" vertical="top" wrapText="1"/>
    </xf>
    <xf numFmtId="164" fontId="15" fillId="0" borderId="5" xfId="0" applyNumberFormat="1" applyFont="1" applyBorder="1" applyAlignment="1">
      <alignment horizontal="center" vertical="top" wrapText="1"/>
    </xf>
    <xf numFmtId="164" fontId="16" fillId="0" borderId="5" xfId="0" applyNumberFormat="1" applyFont="1" applyBorder="1" applyAlignment="1">
      <alignment horizontal="center" vertical="top" wrapText="1"/>
    </xf>
    <xf numFmtId="164" fontId="32" fillId="12" borderId="1" xfId="0" applyNumberFormat="1" applyFont="1" applyFill="1" applyBorder="1" applyAlignment="1">
      <alignment horizontal="center" vertical="top" wrapText="1"/>
    </xf>
    <xf numFmtId="164" fontId="23" fillId="12" borderId="1" xfId="0" applyNumberFormat="1" applyFont="1" applyFill="1" applyBorder="1" applyAlignment="1">
      <alignment vertical="top" wrapText="1"/>
    </xf>
    <xf numFmtId="164" fontId="23" fillId="12" borderId="15" xfId="0" applyNumberFormat="1" applyFont="1" applyFill="1" applyBorder="1" applyAlignment="1">
      <alignment vertical="top" wrapText="1"/>
    </xf>
    <xf numFmtId="164" fontId="23" fillId="12" borderId="0" xfId="0" applyNumberFormat="1" applyFont="1" applyFill="1" applyBorder="1" applyAlignment="1">
      <alignment vertical="top" wrapText="1"/>
    </xf>
    <xf numFmtId="164" fontId="15" fillId="12" borderId="23" xfId="0" applyNumberFormat="1" applyFont="1" applyFill="1" applyBorder="1" applyAlignment="1">
      <alignment vertical="top" wrapText="1"/>
    </xf>
    <xf numFmtId="164" fontId="23" fillId="12" borderId="25" xfId="0" applyNumberFormat="1" applyFont="1" applyFill="1" applyBorder="1" applyAlignment="1">
      <alignment vertical="top" wrapText="1"/>
    </xf>
    <xf numFmtId="164" fontId="23" fillId="12" borderId="28" xfId="0" applyNumberFormat="1" applyFont="1" applyFill="1" applyBorder="1" applyAlignment="1">
      <alignment vertical="top" wrapText="1"/>
    </xf>
    <xf numFmtId="164" fontId="25" fillId="3" borderId="1" xfId="0" applyNumberFormat="1" applyFont="1" applyFill="1" applyBorder="1" applyAlignment="1">
      <alignment vertical="top" wrapText="1"/>
    </xf>
    <xf numFmtId="0" fontId="10" fillId="3" borderId="1" xfId="0" applyFont="1" applyFill="1" applyBorder="1" applyAlignment="1">
      <alignment vertical="top" wrapText="1"/>
    </xf>
    <xf numFmtId="164" fontId="29" fillId="0" borderId="23" xfId="0" applyNumberFormat="1" applyFont="1" applyFill="1" applyBorder="1" applyAlignment="1">
      <alignment vertical="top" wrapText="1"/>
    </xf>
    <xf numFmtId="164" fontId="25" fillId="0" borderId="23" xfId="0" applyNumberFormat="1" applyFont="1" applyFill="1" applyBorder="1" applyAlignment="1">
      <alignment vertical="top" wrapText="1"/>
    </xf>
    <xf numFmtId="164" fontId="30" fillId="0" borderId="23" xfId="0" applyNumberFormat="1" applyFont="1" applyBorder="1" applyAlignment="1">
      <alignment vertical="top" wrapText="1"/>
    </xf>
    <xf numFmtId="164" fontId="30" fillId="0" borderId="2" xfId="0" applyNumberFormat="1" applyFont="1" applyBorder="1" applyAlignment="1">
      <alignment vertical="top" wrapText="1"/>
    </xf>
    <xf numFmtId="164" fontId="30" fillId="3" borderId="1" xfId="0" applyNumberFormat="1" applyFont="1" applyFill="1" applyBorder="1" applyAlignment="1">
      <alignment vertical="top" wrapText="1"/>
    </xf>
    <xf numFmtId="0" fontId="46" fillId="3" borderId="1" xfId="0" applyFont="1" applyFill="1" applyBorder="1" applyAlignment="1">
      <alignment vertical="top" wrapText="1"/>
    </xf>
    <xf numFmtId="0" fontId="46" fillId="4" borderId="1" xfId="0" applyFont="1" applyFill="1" applyBorder="1" applyAlignment="1">
      <alignment vertical="top" wrapText="1"/>
    </xf>
    <xf numFmtId="0" fontId="46" fillId="0" borderId="1" xfId="0" applyFont="1" applyFill="1" applyBorder="1" applyAlignment="1">
      <alignment vertical="top" wrapText="1"/>
    </xf>
    <xf numFmtId="0" fontId="46" fillId="8" borderId="1" xfId="0" applyFont="1" applyFill="1" applyBorder="1" applyAlignment="1">
      <alignment vertical="top" wrapText="1"/>
    </xf>
    <xf numFmtId="0" fontId="46" fillId="0" borderId="1" xfId="0" applyFont="1" applyBorder="1" applyAlignment="1">
      <alignment vertical="top" wrapText="1"/>
    </xf>
    <xf numFmtId="164" fontId="29" fillId="5" borderId="23" xfId="0" applyNumberFormat="1" applyFont="1" applyFill="1" applyBorder="1" applyAlignment="1">
      <alignment vertical="top" wrapText="1"/>
    </xf>
    <xf numFmtId="164" fontId="47" fillId="0" borderId="24" xfId="0" applyNumberFormat="1" applyFont="1" applyBorder="1" applyAlignment="1">
      <alignment horizontal="right" vertical="top" wrapText="1"/>
    </xf>
    <xf numFmtId="164" fontId="47" fillId="11" borderId="24" xfId="0" applyNumberFormat="1" applyFont="1" applyFill="1" applyBorder="1" applyAlignment="1">
      <alignment horizontal="right" vertical="top" wrapText="1"/>
    </xf>
    <xf numFmtId="164" fontId="47" fillId="0" borderId="5" xfId="0" applyNumberFormat="1" applyFont="1" applyBorder="1" applyAlignment="1">
      <alignment horizontal="right" vertical="top" wrapText="1"/>
    </xf>
    <xf numFmtId="164" fontId="48" fillId="0" borderId="1" xfId="0" applyNumberFormat="1" applyFont="1" applyBorder="1" applyAlignment="1">
      <alignment horizontal="right" vertical="top" wrapText="1"/>
    </xf>
    <xf numFmtId="0" fontId="37" fillId="2" borderId="14" xfId="0" applyFont="1" applyFill="1" applyBorder="1" applyAlignment="1">
      <alignment vertical="top" wrapText="1"/>
    </xf>
    <xf numFmtId="164" fontId="41" fillId="10" borderId="26" xfId="0" applyNumberFormat="1" applyFont="1" applyFill="1" applyBorder="1" applyAlignment="1">
      <alignment horizontal="center" vertical="center" wrapText="1"/>
    </xf>
    <xf numFmtId="164" fontId="1" fillId="11" borderId="26" xfId="0" applyNumberFormat="1" applyFont="1" applyFill="1" applyBorder="1" applyAlignment="1">
      <alignment horizontal="center" vertical="center" wrapText="1"/>
    </xf>
    <xf numFmtId="164" fontId="50" fillId="0" borderId="26" xfId="0" applyNumberFormat="1" applyFont="1" applyBorder="1" applyAlignment="1">
      <alignment horizontal="center" vertical="center" wrapText="1"/>
    </xf>
    <xf numFmtId="164" fontId="50" fillId="0" borderId="3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top" wrapText="1"/>
    </xf>
    <xf numFmtId="164" fontId="30" fillId="0" borderId="10" xfId="0" applyNumberFormat="1" applyFont="1" applyBorder="1" applyAlignment="1">
      <alignment vertical="top" wrapText="1"/>
    </xf>
    <xf numFmtId="164" fontId="24" fillId="0" borderId="10" xfId="0" applyNumberFormat="1" applyFont="1" applyFill="1" applyBorder="1" applyAlignment="1">
      <alignment vertical="top" wrapText="1"/>
    </xf>
    <xf numFmtId="164" fontId="25" fillId="0" borderId="5" xfId="0" applyNumberFormat="1" applyFont="1" applyBorder="1" applyAlignment="1">
      <alignment vertical="top" wrapText="1"/>
    </xf>
    <xf numFmtId="164" fontId="30" fillId="0" borderId="5" xfId="0" applyNumberFormat="1" applyFont="1" applyBorder="1" applyAlignment="1">
      <alignment vertical="top" wrapText="1"/>
    </xf>
    <xf numFmtId="164" fontId="15" fillId="0" borderId="35" xfId="0" applyNumberFormat="1" applyFont="1" applyBorder="1" applyAlignment="1">
      <alignment vertical="top" wrapText="1"/>
    </xf>
    <xf numFmtId="164" fontId="15" fillId="0" borderId="1" xfId="0" applyNumberFormat="1" applyFont="1" applyFill="1" applyBorder="1" applyAlignment="1">
      <alignment vertical="top" wrapText="1"/>
    </xf>
    <xf numFmtId="164" fontId="36" fillId="0" borderId="3" xfId="0" applyNumberFormat="1" applyFont="1" applyFill="1" applyBorder="1" applyAlignment="1">
      <alignment horizontal="center" vertical="top" wrapText="1"/>
    </xf>
    <xf numFmtId="164" fontId="20" fillId="4" borderId="26" xfId="0" applyNumberFormat="1" applyFont="1" applyFill="1" applyBorder="1" applyAlignment="1">
      <alignment vertical="center" wrapText="1"/>
    </xf>
    <xf numFmtId="0" fontId="11" fillId="4" borderId="27" xfId="0" applyFont="1" applyFill="1" applyBorder="1" applyAlignment="1">
      <alignment horizontal="center" vertical="top" wrapText="1"/>
    </xf>
    <xf numFmtId="164" fontId="22" fillId="0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top" wrapText="1"/>
    </xf>
    <xf numFmtId="164" fontId="15" fillId="12" borderId="2" xfId="0" applyNumberFormat="1" applyFont="1" applyFill="1" applyBorder="1" applyAlignment="1">
      <alignment vertical="top" wrapText="1"/>
    </xf>
    <xf numFmtId="164" fontId="23" fillId="12" borderId="10" xfId="0" applyNumberFormat="1" applyFont="1" applyFill="1" applyBorder="1" applyAlignment="1">
      <alignment vertical="top" wrapText="1"/>
    </xf>
    <xf numFmtId="0" fontId="8" fillId="2" borderId="27" xfId="0" applyFont="1" applyFill="1" applyBorder="1" applyAlignment="1">
      <alignment horizontal="center" vertical="top" wrapText="1"/>
    </xf>
    <xf numFmtId="164" fontId="30" fillId="0" borderId="10" xfId="0" applyNumberFormat="1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164" fontId="23" fillId="5" borderId="10" xfId="0" applyNumberFormat="1" applyFont="1" applyFill="1" applyBorder="1" applyAlignment="1">
      <alignment vertical="top" wrapText="1"/>
    </xf>
    <xf numFmtId="0" fontId="11" fillId="6" borderId="5" xfId="0" applyFont="1" applyFill="1" applyBorder="1" applyAlignment="1">
      <alignment vertical="top" wrapText="1"/>
    </xf>
    <xf numFmtId="0" fontId="11" fillId="4" borderId="5" xfId="0" applyFont="1" applyFill="1" applyBorder="1" applyAlignment="1">
      <alignment horizontal="center" vertical="top" wrapText="1"/>
    </xf>
    <xf numFmtId="164" fontId="23" fillId="0" borderId="5" xfId="0" applyNumberFormat="1" applyFont="1" applyBorder="1" applyAlignment="1">
      <alignment vertical="top" wrapText="1"/>
    </xf>
    <xf numFmtId="164" fontId="15" fillId="12" borderId="5" xfId="0" applyNumberFormat="1" applyFont="1" applyFill="1" applyBorder="1" applyAlignment="1">
      <alignment vertical="top" wrapText="1"/>
    </xf>
    <xf numFmtId="164" fontId="24" fillId="0" borderId="5" xfId="0" applyNumberFormat="1" applyFont="1" applyFill="1" applyBorder="1" applyAlignment="1">
      <alignment vertical="top" wrapText="1"/>
    </xf>
    <xf numFmtId="0" fontId="23" fillId="0" borderId="5" xfId="0" applyFont="1" applyBorder="1" applyAlignment="1">
      <alignment vertical="top" wrapText="1"/>
    </xf>
    <xf numFmtId="0" fontId="11" fillId="8" borderId="14" xfId="0" applyFont="1" applyFill="1" applyBorder="1" applyAlignment="1">
      <alignment vertical="top" wrapText="1"/>
    </xf>
    <xf numFmtId="164" fontId="24" fillId="8" borderId="10" xfId="0" applyNumberFormat="1" applyFont="1" applyFill="1" applyBorder="1" applyAlignment="1">
      <alignment vertical="top" wrapText="1"/>
    </xf>
    <xf numFmtId="0" fontId="46" fillId="8" borderId="10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top" wrapText="1"/>
    </xf>
    <xf numFmtId="0" fontId="11" fillId="8" borderId="5" xfId="0" applyFont="1" applyFill="1" applyBorder="1" applyAlignment="1">
      <alignment horizontal="center" vertical="top" wrapText="1"/>
    </xf>
    <xf numFmtId="164" fontId="23" fillId="0" borderId="5" xfId="0" applyNumberFormat="1" applyFont="1" applyFill="1" applyBorder="1" applyAlignment="1">
      <alignment vertical="top" wrapText="1"/>
    </xf>
    <xf numFmtId="164" fontId="23" fillId="12" borderId="5" xfId="0" applyNumberFormat="1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center" vertical="top" wrapText="1"/>
    </xf>
    <xf numFmtId="164" fontId="30" fillId="0" borderId="5" xfId="0" applyNumberFormat="1" applyFont="1" applyFill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42" fillId="2" borderId="5" xfId="0" applyFont="1" applyFill="1" applyBorder="1" applyAlignment="1">
      <alignment vertical="top" wrapText="1"/>
    </xf>
    <xf numFmtId="0" fontId="10" fillId="0" borderId="10" xfId="0" applyFont="1" applyBorder="1" applyAlignment="1">
      <alignment vertical="top" wrapText="1"/>
    </xf>
    <xf numFmtId="0" fontId="11" fillId="5" borderId="5" xfId="0" applyFont="1" applyFill="1" applyBorder="1" applyAlignment="1">
      <alignment horizontal="center" vertical="top" wrapText="1"/>
    </xf>
    <xf numFmtId="164" fontId="23" fillId="5" borderId="5" xfId="0" applyNumberFormat="1" applyFont="1" applyFill="1" applyBorder="1" applyAlignment="1">
      <alignment vertical="top" wrapText="1"/>
    </xf>
    <xf numFmtId="164" fontId="24" fillId="5" borderId="5" xfId="0" applyNumberFormat="1" applyFont="1" applyFill="1" applyBorder="1" applyAlignment="1">
      <alignment vertical="top" wrapText="1"/>
    </xf>
    <xf numFmtId="164" fontId="30" fillId="5" borderId="5" xfId="0" applyNumberFormat="1" applyFont="1" applyFill="1" applyBorder="1" applyAlignment="1">
      <alignment vertical="top" wrapText="1"/>
    </xf>
    <xf numFmtId="164" fontId="24" fillId="0" borderId="1" xfId="0" applyNumberFormat="1" applyFont="1" applyFill="1" applyBorder="1" applyAlignment="1">
      <alignment horizontal="right" vertical="top" wrapText="1"/>
    </xf>
    <xf numFmtId="164" fontId="15" fillId="0" borderId="13" xfId="0" applyNumberFormat="1" applyFont="1" applyBorder="1" applyAlignment="1">
      <alignment vertical="top" wrapText="1"/>
    </xf>
    <xf numFmtId="164" fontId="15" fillId="0" borderId="36" xfId="0" applyNumberFormat="1" applyFont="1" applyBorder="1" applyAlignment="1">
      <alignment vertical="top" wrapText="1"/>
    </xf>
    <xf numFmtId="0" fontId="37" fillId="0" borderId="5" xfId="0" applyFont="1" applyBorder="1" applyAlignment="1">
      <alignment vertical="top" wrapText="1"/>
    </xf>
    <xf numFmtId="164" fontId="28" fillId="2" borderId="5" xfId="0" applyNumberFormat="1" applyFont="1" applyFill="1" applyBorder="1" applyAlignment="1">
      <alignment vertical="top" wrapText="1"/>
    </xf>
    <xf numFmtId="164" fontId="49" fillId="2" borderId="5" xfId="0" applyNumberFormat="1" applyFont="1" applyFill="1" applyBorder="1" applyAlignment="1">
      <alignment horizontal="right" vertical="top" wrapText="1"/>
    </xf>
    <xf numFmtId="164" fontId="6" fillId="2" borderId="5" xfId="0" applyNumberFormat="1" applyFont="1" applyFill="1" applyBorder="1" applyAlignment="1">
      <alignment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4" fontId="25" fillId="0" borderId="10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165" fontId="15" fillId="12" borderId="7" xfId="0" applyNumberFormat="1" applyFont="1" applyFill="1" applyBorder="1" applyAlignment="1">
      <alignment horizontal="center" vertical="top" wrapText="1"/>
    </xf>
    <xf numFmtId="165" fontId="29" fillId="12" borderId="7" xfId="0" applyNumberFormat="1" applyFont="1" applyFill="1" applyBorder="1" applyAlignment="1">
      <alignment horizontal="center" vertical="top" wrapText="1"/>
    </xf>
    <xf numFmtId="0" fontId="11" fillId="3" borderId="7" xfId="0" applyFont="1" applyFill="1" applyBorder="1" applyAlignment="1">
      <alignment vertical="top" wrapText="1"/>
    </xf>
    <xf numFmtId="164" fontId="40" fillId="3" borderId="7" xfId="0" applyNumberFormat="1" applyFont="1" applyFill="1" applyBorder="1" applyAlignment="1">
      <alignment horizontal="center" vertical="top" wrapText="1"/>
    </xf>
    <xf numFmtId="0" fontId="0" fillId="12" borderId="45" xfId="0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4" fillId="0" borderId="47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42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16" fillId="0" borderId="42" xfId="0" applyFont="1" applyBorder="1" applyAlignment="1">
      <alignment horizontal="center" vertical="top" wrapText="1"/>
    </xf>
    <xf numFmtId="0" fontId="17" fillId="0" borderId="43" xfId="0" applyFont="1" applyBorder="1" applyAlignment="1">
      <alignment horizontal="center" vertical="top" wrapText="1"/>
    </xf>
    <xf numFmtId="0" fontId="17" fillId="0" borderId="44" xfId="0" applyFont="1" applyBorder="1" applyAlignment="1">
      <alignment horizontal="center" vertical="top" wrapText="1"/>
    </xf>
    <xf numFmtId="0" fontId="0" fillId="7" borderId="45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top" wrapText="1"/>
    </xf>
    <xf numFmtId="0" fontId="4" fillId="0" borderId="37" xfId="0" applyFont="1" applyBorder="1" applyAlignment="1">
      <alignment vertical="top" wrapText="1"/>
    </xf>
    <xf numFmtId="0" fontId="4" fillId="0" borderId="38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18" fillId="0" borderId="17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8" fillId="0" borderId="8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2" fillId="0" borderId="17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7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9" fillId="0" borderId="20" xfId="0" applyFont="1" applyBorder="1" applyAlignment="1">
      <alignment horizontal="left" wrapText="1"/>
    </xf>
    <xf numFmtId="0" fontId="19" fillId="0" borderId="46" xfId="0" applyFont="1" applyBorder="1" applyAlignment="1">
      <alignment horizontal="left" wrapText="1"/>
    </xf>
    <xf numFmtId="0" fontId="19" fillId="0" borderId="19" xfId="0" applyFont="1" applyBorder="1" applyAlignment="1">
      <alignment horizontal="left" wrapText="1"/>
    </xf>
    <xf numFmtId="0" fontId="3" fillId="0" borderId="7" xfId="0" applyFont="1" applyBorder="1" applyAlignment="1">
      <alignment wrapText="1"/>
    </xf>
    <xf numFmtId="0" fontId="6" fillId="0" borderId="4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top" wrapText="1"/>
    </xf>
    <xf numFmtId="0" fontId="3" fillId="0" borderId="44" xfId="0" applyFont="1" applyBorder="1" applyAlignment="1">
      <alignment horizontal="center" vertical="top" wrapText="1"/>
    </xf>
    <xf numFmtId="0" fontId="6" fillId="0" borderId="41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6" borderId="42" xfId="0" applyFont="1" applyFill="1" applyBorder="1" applyAlignment="1">
      <alignment horizontal="center" vertical="top" wrapText="1"/>
    </xf>
    <xf numFmtId="0" fontId="3" fillId="6" borderId="44" xfId="0" applyFont="1" applyFill="1" applyBorder="1" applyAlignment="1">
      <alignment horizontal="center" vertical="top" wrapText="1"/>
    </xf>
    <xf numFmtId="0" fontId="3" fillId="6" borderId="43" xfId="0" applyFont="1" applyFill="1" applyBorder="1" applyAlignment="1">
      <alignment horizontal="center" vertical="top" wrapText="1"/>
    </xf>
    <xf numFmtId="0" fontId="46" fillId="12" borderId="48" xfId="0" applyFont="1" applyFill="1" applyBorder="1" applyAlignment="1">
      <alignment horizontal="center" vertical="top" wrapText="1"/>
    </xf>
    <xf numFmtId="0" fontId="46" fillId="12" borderId="0" xfId="0" applyFont="1" applyFill="1" applyAlignment="1">
      <alignment horizontal="center" vertical="top" wrapText="1"/>
    </xf>
    <xf numFmtId="0" fontId="0" fillId="5" borderId="48" xfId="0" applyFill="1" applyBorder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0" fillId="5" borderId="0" xfId="0" applyFill="1" applyBorder="1" applyAlignment="1">
      <alignment horizontal="center" vertical="top" wrapText="1"/>
    </xf>
    <xf numFmtId="0" fontId="0" fillId="11" borderId="53" xfId="0" applyFill="1" applyBorder="1" applyAlignment="1">
      <alignment horizontal="center" vertical="top" wrapText="1"/>
    </xf>
    <xf numFmtId="0" fontId="0" fillId="11" borderId="0" xfId="0" applyFill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4" fillId="0" borderId="50" xfId="0" applyFont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top" wrapText="1"/>
    </xf>
    <xf numFmtId="0" fontId="4" fillId="0" borderId="52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4" fillId="0" borderId="38" xfId="0" applyFont="1" applyBorder="1" applyAlignment="1">
      <alignment horizontal="center" vertical="top" wrapText="1"/>
    </xf>
    <xf numFmtId="0" fontId="4" fillId="0" borderId="39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5" xfId="0" applyBorder="1" applyAlignment="1">
      <alignment horizontal="center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3" fillId="0" borderId="40" xfId="0" applyFont="1" applyBorder="1" applyAlignment="1">
      <alignment horizontal="center" wrapText="1"/>
    </xf>
    <xf numFmtId="164" fontId="49" fillId="2" borderId="5" xfId="0" applyNumberFormat="1" applyFont="1" applyFill="1" applyBorder="1" applyAlignment="1">
      <alignment horizontal="right" vertical="top" wrapText="1"/>
    </xf>
    <xf numFmtId="0" fontId="11" fillId="2" borderId="1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164" fontId="24" fillId="0" borderId="13" xfId="0" applyNumberFormat="1" applyFont="1" applyFill="1" applyBorder="1" applyAlignment="1">
      <alignment horizontal="center" vertical="top" wrapText="1"/>
    </xf>
    <xf numFmtId="164" fontId="24" fillId="0" borderId="4" xfId="0" applyNumberFormat="1" applyFont="1" applyFill="1" applyBorder="1" applyAlignment="1">
      <alignment horizontal="center" vertical="top" wrapText="1"/>
    </xf>
    <xf numFmtId="164" fontId="24" fillId="0" borderId="13" xfId="0" applyNumberFormat="1" applyFont="1" applyBorder="1" applyAlignment="1">
      <alignment horizontal="center" vertical="top" wrapText="1"/>
    </xf>
    <xf numFmtId="164" fontId="24" fillId="0" borderId="4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4" xfId="0" applyFont="1" applyBorder="1" applyAlignment="1">
      <alignment horizontal="center" vertical="top" wrapText="1"/>
    </xf>
    <xf numFmtId="0" fontId="3" fillId="6" borderId="11" xfId="0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top" wrapText="1"/>
    </xf>
    <xf numFmtId="164" fontId="29" fillId="0" borderId="13" xfId="0" applyNumberFormat="1" applyFont="1" applyBorder="1" applyAlignment="1">
      <alignment horizontal="center" vertical="top" wrapText="1"/>
    </xf>
    <xf numFmtId="164" fontId="29" fillId="0" borderId="4" xfId="0" applyNumberFormat="1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5" fillId="0" borderId="13" xfId="0" applyNumberFormat="1" applyFont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164" fontId="31" fillId="2" borderId="13" xfId="0" applyNumberFormat="1" applyFont="1" applyFill="1" applyBorder="1" applyAlignment="1">
      <alignment horizontal="center" vertical="top" wrapText="1"/>
    </xf>
    <xf numFmtId="164" fontId="31" fillId="2" borderId="4" xfId="0" applyNumberFormat="1" applyFont="1" applyFill="1" applyBorder="1" applyAlignment="1">
      <alignment horizontal="center" vertical="top" wrapText="1"/>
    </xf>
    <xf numFmtId="0" fontId="11" fillId="2" borderId="5" xfId="0" applyFont="1" applyFill="1" applyBorder="1" applyAlignment="1">
      <alignment horizontal="center" vertical="top" wrapText="1"/>
    </xf>
    <xf numFmtId="164" fontId="31" fillId="2" borderId="5" xfId="0" applyNumberFormat="1" applyFont="1" applyFill="1" applyBorder="1" applyAlignment="1">
      <alignment horizontal="center" vertical="top" wrapText="1"/>
    </xf>
    <xf numFmtId="164" fontId="24" fillId="0" borderId="5" xfId="0" applyNumberFormat="1" applyFont="1" applyBorder="1" applyAlignment="1">
      <alignment horizontal="center" vertical="top" wrapText="1"/>
    </xf>
    <xf numFmtId="164" fontId="41" fillId="0" borderId="13" xfId="0" applyNumberFormat="1" applyFont="1" applyFill="1" applyBorder="1" applyAlignment="1">
      <alignment horizontal="center" vertical="top" wrapText="1"/>
    </xf>
    <xf numFmtId="164" fontId="41" fillId="0" borderId="4" xfId="0" applyNumberFormat="1" applyFont="1" applyFill="1" applyBorder="1" applyAlignment="1">
      <alignment horizontal="center" vertical="top" wrapText="1"/>
    </xf>
    <xf numFmtId="164" fontId="29" fillId="0" borderId="13" xfId="0" applyNumberFormat="1" applyFont="1" applyFill="1" applyBorder="1" applyAlignment="1">
      <alignment horizontal="center" vertical="top" wrapText="1"/>
    </xf>
    <xf numFmtId="164" fontId="29" fillId="0" borderId="4" xfId="0" applyNumberFormat="1" applyFont="1" applyFill="1" applyBorder="1" applyAlignment="1">
      <alignment horizontal="center" vertical="top" wrapText="1"/>
    </xf>
    <xf numFmtId="164" fontId="36" fillId="2" borderId="13" xfId="0" applyNumberFormat="1" applyFont="1" applyFill="1" applyBorder="1" applyAlignment="1">
      <alignment horizontal="center" vertical="top" wrapText="1"/>
    </xf>
    <xf numFmtId="164" fontId="36" fillId="2" borderId="4" xfId="0" applyNumberFormat="1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164" fontId="36" fillId="2" borderId="5" xfId="0" applyNumberFormat="1" applyFont="1" applyFill="1" applyBorder="1" applyAlignment="1">
      <alignment horizontal="center" vertical="top" wrapText="1"/>
    </xf>
    <xf numFmtId="164" fontId="29" fillId="0" borderId="5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9" fillId="0" borderId="42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9" borderId="42" xfId="0" applyFont="1" applyFill="1" applyBorder="1" applyAlignment="1">
      <alignment horizontal="center" vertical="top" wrapText="1"/>
    </xf>
    <xf numFmtId="0" fontId="3" fillId="9" borderId="43" xfId="0" applyFont="1" applyFill="1" applyBorder="1" applyAlignment="1">
      <alignment horizontal="center" vertical="top" wrapText="1"/>
    </xf>
    <xf numFmtId="0" fontId="3" fillId="9" borderId="44" xfId="0" applyFont="1" applyFill="1" applyBorder="1" applyAlignment="1">
      <alignment horizontal="center" vertical="top" wrapText="1"/>
    </xf>
    <xf numFmtId="0" fontId="3" fillId="10" borderId="42" xfId="0" applyFont="1" applyFill="1" applyBorder="1" applyAlignment="1">
      <alignment horizontal="center" vertical="top" wrapText="1"/>
    </xf>
    <xf numFmtId="0" fontId="3" fillId="10" borderId="43" xfId="0" applyFont="1" applyFill="1" applyBorder="1" applyAlignment="1">
      <alignment horizontal="center" vertical="top" wrapText="1"/>
    </xf>
    <xf numFmtId="0" fontId="3" fillId="10" borderId="44" xfId="0" applyFont="1" applyFill="1" applyBorder="1" applyAlignment="1">
      <alignment horizontal="center" vertical="top" wrapText="1"/>
    </xf>
    <xf numFmtId="0" fontId="3" fillId="0" borderId="49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6" borderId="49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164" fontId="40" fillId="0" borderId="5" xfId="0" applyNumberFormat="1" applyFont="1" applyBorder="1" applyAlignment="1">
      <alignment horizontal="center" vertical="top" wrapText="1"/>
    </xf>
    <xf numFmtId="164" fontId="51" fillId="0" borderId="11" xfId="0" applyNumberFormat="1" applyFont="1" applyBorder="1" applyAlignment="1">
      <alignment horizontal="center" vertical="center" wrapText="1"/>
    </xf>
    <xf numFmtId="164" fontId="40" fillId="0" borderId="9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42" xfId="0" applyFont="1" applyBorder="1" applyAlignment="1">
      <alignment horizontal="left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44" xfId="0" applyFont="1" applyBorder="1" applyAlignment="1">
      <alignment horizontal="left" vertical="top" wrapText="1"/>
    </xf>
    <xf numFmtId="0" fontId="3" fillId="0" borderId="4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center" vertical="top" textRotation="90" wrapText="1"/>
    </xf>
    <xf numFmtId="0" fontId="3" fillId="0" borderId="2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right" vertical="top" wrapText="1"/>
    </xf>
    <xf numFmtId="0" fontId="3" fillId="0" borderId="42" xfId="0" applyFont="1" applyBorder="1" applyAlignment="1">
      <alignment horizontal="right" vertical="top" wrapText="1"/>
    </xf>
    <xf numFmtId="0" fontId="3" fillId="0" borderId="43" xfId="0" applyFont="1" applyBorder="1" applyAlignment="1">
      <alignment horizontal="right" vertical="top" wrapText="1"/>
    </xf>
    <xf numFmtId="0" fontId="3" fillId="0" borderId="44" xfId="0" applyFont="1" applyBorder="1" applyAlignment="1">
      <alignment horizontal="right" vertical="top" wrapText="1"/>
    </xf>
    <xf numFmtId="0" fontId="3" fillId="0" borderId="49" xfId="0" applyFont="1" applyBorder="1" applyAlignment="1">
      <alignment horizontal="center" vertical="top" textRotation="90" wrapText="1"/>
    </xf>
    <xf numFmtId="0" fontId="3" fillId="0" borderId="6" xfId="0" applyFont="1" applyBorder="1" applyAlignment="1">
      <alignment horizontal="center" vertical="top" textRotation="90" wrapTex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43" xfId="0" applyFont="1" applyBorder="1" applyAlignment="1">
      <alignment horizontal="center" wrapText="1"/>
    </xf>
    <xf numFmtId="0" fontId="2" fillId="0" borderId="43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11" fillId="0" borderId="42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2" fillId="0" borderId="43" xfId="0" applyFont="1" applyBorder="1" applyAlignment="1">
      <alignment horizontal="center" wrapText="1"/>
    </xf>
    <xf numFmtId="0" fontId="2" fillId="0" borderId="44" xfId="0" applyFont="1" applyBorder="1" applyAlignment="1">
      <alignment horizontal="center" wrapText="1"/>
    </xf>
    <xf numFmtId="0" fontId="6" fillId="0" borderId="42" xfId="0" applyFont="1" applyBorder="1" applyAlignment="1">
      <alignment horizontal="left" wrapText="1"/>
    </xf>
    <xf numFmtId="0" fontId="6" fillId="0" borderId="4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L121"/>
  <sheetViews>
    <sheetView tabSelected="1" topLeftCell="A22" workbookViewId="0">
      <pane xSplit="2" ySplit="5" topLeftCell="C108" activePane="bottomRight" state="frozen"/>
      <selection activeCell="A22" sqref="A22"/>
      <selection pane="topRight" activeCell="C22" sqref="C22"/>
      <selection pane="bottomLeft" activeCell="A27" sqref="A27"/>
      <selection pane="bottomRight" activeCell="A126" sqref="A126"/>
    </sheetView>
  </sheetViews>
  <sheetFormatPr defaultColWidth="10.69921875" defaultRowHeight="15.6"/>
  <cols>
    <col min="1" max="1" width="58.69921875" style="13" customWidth="1"/>
    <col min="2" max="2" width="8.69921875" style="11" customWidth="1"/>
    <col min="3" max="3" width="10.8984375" style="11" bestFit="1" customWidth="1"/>
    <col min="4" max="4" width="10.69921875" style="11"/>
    <col min="5" max="5" width="10.69921875" style="11" customWidth="1"/>
    <col min="6" max="6" width="10.69921875" style="11"/>
    <col min="7" max="8" width="10.8984375" style="11" bestFit="1" customWidth="1"/>
    <col min="9" max="16384" width="10.69921875" style="13"/>
  </cols>
  <sheetData>
    <row r="1" spans="1:8">
      <c r="H1" s="16" t="s">
        <v>0</v>
      </c>
    </row>
    <row r="2" spans="1:8">
      <c r="H2" s="16" t="s">
        <v>1</v>
      </c>
    </row>
    <row r="3" spans="1:8">
      <c r="A3" s="17"/>
    </row>
    <row r="4" spans="1:8">
      <c r="A4" s="412"/>
      <c r="B4" s="412"/>
      <c r="C4" s="412"/>
      <c r="D4" s="412"/>
      <c r="E4" s="412"/>
      <c r="F4" s="29" t="s">
        <v>214</v>
      </c>
      <c r="G4" s="77">
        <v>2020</v>
      </c>
      <c r="H4" s="28" t="s">
        <v>2</v>
      </c>
    </row>
    <row r="5" spans="1:8" ht="25.05" customHeight="1">
      <c r="A5" s="69" t="s">
        <v>412</v>
      </c>
      <c r="B5" s="399" t="s">
        <v>413</v>
      </c>
      <c r="C5" s="400"/>
      <c r="D5" s="400"/>
      <c r="E5" s="401"/>
      <c r="F5" s="31"/>
      <c r="G5" s="30" t="s">
        <v>3</v>
      </c>
      <c r="H5" s="78">
        <v>38457747</v>
      </c>
    </row>
    <row r="6" spans="1:8" ht="15" customHeight="1">
      <c r="A6" s="69" t="s">
        <v>414</v>
      </c>
      <c r="B6" s="403" t="s">
        <v>415</v>
      </c>
      <c r="C6" s="404"/>
      <c r="D6" s="404"/>
      <c r="E6" s="405"/>
      <c r="F6" s="31"/>
      <c r="G6" s="71" t="s">
        <v>4</v>
      </c>
      <c r="H6" s="78">
        <v>150</v>
      </c>
    </row>
    <row r="7" spans="1:8" ht="15" customHeight="1">
      <c r="A7" s="69" t="s">
        <v>416</v>
      </c>
      <c r="B7" s="403" t="s">
        <v>417</v>
      </c>
      <c r="C7" s="404"/>
      <c r="D7" s="404"/>
      <c r="E7" s="405"/>
      <c r="F7" s="31"/>
      <c r="G7" s="30" t="s">
        <v>5</v>
      </c>
      <c r="H7" s="78">
        <v>4810137200</v>
      </c>
    </row>
    <row r="8" spans="1:8" ht="15" customHeight="1">
      <c r="A8" s="69" t="s">
        <v>418</v>
      </c>
      <c r="B8" s="403"/>
      <c r="C8" s="404"/>
      <c r="D8" s="404"/>
      <c r="E8" s="405"/>
      <c r="F8" s="31"/>
      <c r="G8" s="71" t="s">
        <v>6</v>
      </c>
      <c r="H8" s="78"/>
    </row>
    <row r="9" spans="1:8" ht="15" customHeight="1">
      <c r="A9" s="69" t="s">
        <v>419</v>
      </c>
      <c r="B9" s="403"/>
      <c r="C9" s="404"/>
      <c r="D9" s="404"/>
      <c r="E9" s="405"/>
      <c r="F9" s="31"/>
      <c r="G9" s="30" t="s">
        <v>7</v>
      </c>
      <c r="H9" s="78"/>
    </row>
    <row r="10" spans="1:8" ht="40.049999999999997" customHeight="1">
      <c r="A10" s="69" t="s">
        <v>420</v>
      </c>
      <c r="B10" s="399" t="s">
        <v>430</v>
      </c>
      <c r="C10" s="400"/>
      <c r="D10" s="400"/>
      <c r="E10" s="401"/>
      <c r="F10" s="31"/>
      <c r="G10" s="71" t="s">
        <v>8</v>
      </c>
      <c r="H10" s="72" t="s">
        <v>431</v>
      </c>
    </row>
    <row r="11" spans="1:8" ht="25.05" customHeight="1">
      <c r="A11" s="69" t="s">
        <v>215</v>
      </c>
      <c r="B11" s="403"/>
      <c r="C11" s="404"/>
      <c r="D11" s="404"/>
      <c r="E11" s="405"/>
      <c r="F11" s="402" t="s">
        <v>9</v>
      </c>
      <c r="G11" s="402"/>
      <c r="H11" s="78"/>
    </row>
    <row r="12" spans="1:8" ht="15" customHeight="1">
      <c r="A12" s="69" t="s">
        <v>421</v>
      </c>
      <c r="B12" s="403" t="s">
        <v>424</v>
      </c>
      <c r="C12" s="404"/>
      <c r="D12" s="404"/>
      <c r="E12" s="405"/>
      <c r="F12" s="368" t="s">
        <v>10</v>
      </c>
      <c r="G12" s="366"/>
      <c r="H12" s="78"/>
    </row>
    <row r="13" spans="1:8" ht="15" customHeight="1">
      <c r="A13" s="69" t="s">
        <v>422</v>
      </c>
      <c r="B13" s="403"/>
      <c r="C13" s="404"/>
      <c r="D13" s="404"/>
      <c r="E13" s="404"/>
      <c r="F13" s="70"/>
      <c r="G13" s="70"/>
      <c r="H13" s="72"/>
    </row>
    <row r="14" spans="1:8" ht="15" customHeight="1">
      <c r="A14" s="69" t="s">
        <v>423</v>
      </c>
      <c r="B14" s="403" t="s">
        <v>417</v>
      </c>
      <c r="C14" s="404"/>
      <c r="D14" s="404"/>
      <c r="E14" s="405"/>
      <c r="F14" s="31"/>
      <c r="G14" s="71"/>
      <c r="H14" s="72"/>
    </row>
    <row r="15" spans="1:8" ht="15" customHeight="1">
      <c r="A15" s="69" t="s">
        <v>425</v>
      </c>
      <c r="B15" s="406" t="s">
        <v>426</v>
      </c>
      <c r="C15" s="407"/>
      <c r="D15" s="407"/>
      <c r="E15" s="408"/>
      <c r="F15" s="31"/>
      <c r="G15" s="71"/>
      <c r="H15" s="72"/>
    </row>
    <row r="16" spans="1:8" ht="15" customHeight="1" thickBot="1">
      <c r="A16" s="73" t="s">
        <v>427</v>
      </c>
      <c r="B16" s="409" t="s">
        <v>428</v>
      </c>
      <c r="C16" s="410"/>
      <c r="D16" s="410"/>
      <c r="E16" s="411"/>
      <c r="F16" s="74"/>
      <c r="G16" s="75"/>
      <c r="H16" s="76"/>
    </row>
    <row r="17" spans="1:8" ht="16.2" thickBot="1">
      <c r="A17" s="380" t="s">
        <v>11</v>
      </c>
      <c r="B17" s="381"/>
      <c r="C17" s="381"/>
      <c r="D17" s="381"/>
      <c r="E17" s="381"/>
      <c r="F17" s="381"/>
      <c r="G17" s="381"/>
      <c r="H17" s="382"/>
    </row>
    <row r="18" spans="1:8" ht="16.2" thickBot="1">
      <c r="A18" s="380" t="s">
        <v>12</v>
      </c>
      <c r="B18" s="381"/>
      <c r="C18" s="381"/>
      <c r="D18" s="381"/>
      <c r="E18" s="381"/>
      <c r="F18" s="381"/>
      <c r="G18" s="381"/>
      <c r="H18" s="382"/>
    </row>
    <row r="19" spans="1:8" ht="16.2" thickBot="1">
      <c r="A19" s="383" t="s">
        <v>429</v>
      </c>
      <c r="B19" s="384"/>
      <c r="C19" s="384"/>
      <c r="D19" s="384"/>
      <c r="E19" s="384"/>
      <c r="F19" s="384"/>
      <c r="G19" s="384"/>
      <c r="H19" s="385"/>
    </row>
    <row r="20" spans="1:8">
      <c r="A20" s="372" t="s">
        <v>211</v>
      </c>
      <c r="B20" s="373"/>
      <c r="C20" s="373"/>
      <c r="D20" s="373"/>
      <c r="E20" s="373"/>
      <c r="F20" s="373"/>
      <c r="G20" s="373"/>
      <c r="H20" s="374"/>
    </row>
    <row r="21" spans="1:8" ht="16.2" thickBot="1">
      <c r="A21" s="391"/>
      <c r="B21" s="392"/>
      <c r="C21" s="392"/>
      <c r="D21" s="392"/>
      <c r="E21" s="392"/>
      <c r="F21" s="392"/>
      <c r="G21" s="392"/>
      <c r="H21" s="393"/>
    </row>
    <row r="22" spans="1:8">
      <c r="A22" s="396" t="s">
        <v>13</v>
      </c>
      <c r="B22" s="397"/>
      <c r="C22" s="397"/>
      <c r="D22" s="397"/>
      <c r="E22" s="397"/>
      <c r="F22" s="397"/>
      <c r="G22" s="397"/>
      <c r="H22" s="398"/>
    </row>
    <row r="23" spans="1:8" ht="39" customHeight="1">
      <c r="A23" s="394" t="s">
        <v>14</v>
      </c>
      <c r="B23" s="389" t="s">
        <v>15</v>
      </c>
      <c r="C23" s="395" t="s">
        <v>16</v>
      </c>
      <c r="D23" s="395"/>
      <c r="E23" s="395" t="s">
        <v>17</v>
      </c>
      <c r="F23" s="395"/>
      <c r="G23" s="395"/>
      <c r="H23" s="395"/>
    </row>
    <row r="24" spans="1:8" ht="26.25" customHeight="1">
      <c r="A24" s="394"/>
      <c r="B24" s="390"/>
      <c r="C24" s="95" t="s">
        <v>18</v>
      </c>
      <c r="D24" s="95" t="s">
        <v>19</v>
      </c>
      <c r="E24" s="95" t="s">
        <v>20</v>
      </c>
      <c r="F24" s="95" t="s">
        <v>21</v>
      </c>
      <c r="G24" s="95" t="s">
        <v>22</v>
      </c>
      <c r="H24" s="95" t="s">
        <v>23</v>
      </c>
    </row>
    <row r="25" spans="1:8">
      <c r="A25" s="32">
        <v>1</v>
      </c>
      <c r="B25" s="32">
        <v>2</v>
      </c>
      <c r="C25" s="32">
        <v>3</v>
      </c>
      <c r="D25" s="32">
        <v>4</v>
      </c>
      <c r="E25" s="32">
        <v>5</v>
      </c>
      <c r="F25" s="32">
        <v>6</v>
      </c>
      <c r="G25" s="32">
        <v>7</v>
      </c>
      <c r="H25" s="32">
        <v>8</v>
      </c>
    </row>
    <row r="26" spans="1:8">
      <c r="A26" s="388" t="s">
        <v>24</v>
      </c>
      <c r="B26" s="388"/>
      <c r="C26" s="388"/>
      <c r="D26" s="388"/>
      <c r="E26" s="388"/>
      <c r="F26" s="388"/>
      <c r="G26" s="388"/>
      <c r="H26" s="388"/>
    </row>
    <row r="27" spans="1:8" s="103" customFormat="1">
      <c r="A27" s="98" t="s">
        <v>25</v>
      </c>
      <c r="B27" s="99">
        <v>1000</v>
      </c>
      <c r="C27" s="100">
        <f ca="1">'І.Форм. фін. рез.'!C7</f>
        <v>43.2</v>
      </c>
      <c r="D27" s="100">
        <f ca="1">'І.Форм. фін. рез.'!D7</f>
        <v>24.7</v>
      </c>
      <c r="E27" s="100">
        <f ca="1">'І.Форм. фін. рез.'!E7</f>
        <v>338.8</v>
      </c>
      <c r="F27" s="100">
        <f ca="1">'І.Форм. фін. рез.'!F7</f>
        <v>24.7</v>
      </c>
      <c r="G27" s="100">
        <f ca="1">'І.Форм. фін. рез.'!G7</f>
        <v>-314.10000000000002</v>
      </c>
      <c r="H27" s="100">
        <f ca="1">'І.Форм. фін. рез.'!H7</f>
        <v>7.2904368358913816</v>
      </c>
    </row>
    <row r="28" spans="1:8">
      <c r="A28" s="104" t="s">
        <v>26</v>
      </c>
      <c r="B28" s="105">
        <v>1010</v>
      </c>
      <c r="C28" s="106">
        <f ca="1">'І.Форм. фін. рез.'!C8</f>
        <v>181.2</v>
      </c>
      <c r="D28" s="106">
        <f ca="1">'І.Форм. фін. рез.'!D8</f>
        <v>231.60000000000002</v>
      </c>
      <c r="E28" s="106">
        <f ca="1">'І.Форм. фін. рез.'!E8</f>
        <v>298.20000000000005</v>
      </c>
      <c r="F28" s="106">
        <f ca="1">'І.Форм. фін. рез.'!F8</f>
        <v>231.60000000000002</v>
      </c>
      <c r="G28" s="106">
        <f ca="1">'І.Форм. фін. рез.'!G8</f>
        <v>-66.600000000000023</v>
      </c>
      <c r="H28" s="106">
        <f ca="1">'І.Форм. фін. рез.'!H8</f>
        <v>77.665995975855125</v>
      </c>
    </row>
    <row r="29" spans="1:8">
      <c r="A29" s="38" t="s">
        <v>27</v>
      </c>
      <c r="B29" s="32">
        <v>1020</v>
      </c>
      <c r="C29" s="97">
        <f ca="1">'І.Форм. фін. рез.'!C27</f>
        <v>-138</v>
      </c>
      <c r="D29" s="97">
        <f ca="1">'І.Форм. фін. рез.'!D27</f>
        <v>-206.90000000000003</v>
      </c>
      <c r="E29" s="97">
        <f ca="1">'І.Форм. фін. рез.'!E27</f>
        <v>40.599999999999966</v>
      </c>
      <c r="F29" s="97">
        <f ca="1">'І.Форм. фін. рез.'!F27</f>
        <v>-206.90000000000003</v>
      </c>
      <c r="G29" s="97">
        <f ca="1">'І.Форм. фін. рез.'!G27</f>
        <v>-247.5</v>
      </c>
      <c r="H29" s="97">
        <f ca="1">'І.Форм. фін. рез.'!H27</f>
        <v>-509.60591133004971</v>
      </c>
    </row>
    <row r="30" spans="1:8">
      <c r="A30" s="104" t="s">
        <v>28</v>
      </c>
      <c r="B30" s="105">
        <v>1030</v>
      </c>
      <c r="C30" s="106">
        <f ca="1">'І.Форм. фін. рез.'!C28</f>
        <v>603</v>
      </c>
      <c r="D30" s="106">
        <f ca="1">'І.Форм. фін. рез.'!D28</f>
        <v>327.79999999999995</v>
      </c>
      <c r="E30" s="106">
        <f ca="1">'І.Форм. фін. рез.'!E28</f>
        <v>515.80000000000007</v>
      </c>
      <c r="F30" s="106">
        <f ca="1">'І.Форм. фін. рез.'!F28</f>
        <v>327.79999999999995</v>
      </c>
      <c r="G30" s="106">
        <f ca="1">'І.Форм. фін. рез.'!G28</f>
        <v>-188.00000000000011</v>
      </c>
      <c r="H30" s="106">
        <f ca="1">'І.Форм. фін. рез.'!H28</f>
        <v>63.551764249709173</v>
      </c>
    </row>
    <row r="31" spans="1:8">
      <c r="A31" s="38" t="s">
        <v>29</v>
      </c>
      <c r="B31" s="32">
        <v>1060</v>
      </c>
      <c r="C31" s="97">
        <f ca="1">'І.Форм. фін. рез.'!C69</f>
        <v>0</v>
      </c>
      <c r="D31" s="97">
        <f ca="1">'І.Форм. фін. рез.'!D69</f>
        <v>0</v>
      </c>
      <c r="E31" s="97">
        <f ca="1">'І.Форм. фін. рез.'!E69</f>
        <v>0</v>
      </c>
      <c r="F31" s="97">
        <f ca="1">'І.Форм. фін. рез.'!F69</f>
        <v>0</v>
      </c>
      <c r="G31" s="97">
        <f ca="1">'І.Форм. фін. рез.'!G69</f>
        <v>0</v>
      </c>
      <c r="H31" s="97">
        <f ca="1">'І.Форм. фін. рез.'!H69</f>
        <v>0</v>
      </c>
    </row>
    <row r="32" spans="1:8">
      <c r="A32" s="360" t="s">
        <v>228</v>
      </c>
      <c r="B32" s="99">
        <v>1070</v>
      </c>
      <c r="C32" s="100">
        <f ca="1">'І.Форм. фін. рез.'!C77</f>
        <v>228.9</v>
      </c>
      <c r="D32" s="100">
        <f ca="1">'І.Форм. фін. рез.'!D77</f>
        <v>51.5</v>
      </c>
      <c r="E32" s="100">
        <f ca="1">'І.Форм. фін. рез.'!E77</f>
        <v>64.100000000000009</v>
      </c>
      <c r="F32" s="100">
        <f ca="1">'І.Форм. фін. рез.'!F77</f>
        <v>51.5</v>
      </c>
      <c r="G32" s="100">
        <f ca="1">'І.Форм. фін. рез.'!G77</f>
        <v>-12.600000000000009</v>
      </c>
      <c r="H32" s="100">
        <f ca="1">'І.Форм. фін. рез.'!H77</f>
        <v>80.343213728549131</v>
      </c>
    </row>
    <row r="33" spans="1:10">
      <c r="A33" s="38" t="s">
        <v>110</v>
      </c>
      <c r="B33" s="32">
        <v>1080</v>
      </c>
      <c r="C33" s="97">
        <f ca="1">'І.Форм. фін. рез.'!C85</f>
        <v>0</v>
      </c>
      <c r="D33" s="97">
        <f ca="1">'І.Форм. фін. рез.'!D85</f>
        <v>0</v>
      </c>
      <c r="E33" s="97">
        <f ca="1">'І.Форм. фін. рез.'!E85</f>
        <v>0</v>
      </c>
      <c r="F33" s="97">
        <f ca="1">'І.Форм. фін. рез.'!F85</f>
        <v>0</v>
      </c>
      <c r="G33" s="97">
        <f ca="1">'І.Форм. фін. рез.'!G85</f>
        <v>0</v>
      </c>
      <c r="H33" s="97">
        <f ca="1">'І.Форм. фін. рез.'!H85</f>
        <v>0</v>
      </c>
    </row>
    <row r="34" spans="1:10">
      <c r="A34" s="38" t="s">
        <v>30</v>
      </c>
      <c r="B34" s="32">
        <v>1100</v>
      </c>
      <c r="C34" s="97">
        <f ca="1">'І.Форм. фін. рез.'!C94</f>
        <v>-568.19999999999993</v>
      </c>
      <c r="D34" s="97">
        <f ca="1">'І.Форм. фін. рез.'!D94</f>
        <v>-485.7</v>
      </c>
      <c r="E34" s="97">
        <f ca="1">'І.Форм. фін. рез.'!E94</f>
        <v>-411.10000000000008</v>
      </c>
      <c r="F34" s="97">
        <f ca="1">'І.Форм. фін. рез.'!F94</f>
        <v>-485.7</v>
      </c>
      <c r="G34" s="97">
        <f ca="1">'І.Форм. фін. рез.'!G94</f>
        <v>-74.599999999999909</v>
      </c>
      <c r="H34" s="97">
        <f ca="1">'І.Форм. фін. рез.'!H94</f>
        <v>118.14643639017268</v>
      </c>
    </row>
    <row r="35" spans="1:10">
      <c r="A35" s="38" t="s">
        <v>31</v>
      </c>
      <c r="B35" s="32">
        <v>1310</v>
      </c>
      <c r="C35" s="97">
        <f ca="1">'І.Форм. фін. рез.'!C125</f>
        <v>-558.9</v>
      </c>
      <c r="D35" s="97">
        <f ca="1">'І.Форм. фін. рез.'!D125</f>
        <v>-476.59999999999997</v>
      </c>
      <c r="E35" s="97">
        <f ca="1">'І.Форм. фін. рез.'!E125</f>
        <v>-401.80000000000007</v>
      </c>
      <c r="F35" s="97">
        <f ca="1">'І.Форм. фін. рез.'!F125</f>
        <v>-476.59999999999997</v>
      </c>
      <c r="G35" s="97">
        <f ca="1">'І.Форм. фін. рез.'!G125</f>
        <v>-74.799999999999898</v>
      </c>
      <c r="H35" s="97">
        <f ca="1">'І.Форм. фін. рез.'!H125</f>
        <v>118.61622697859629</v>
      </c>
    </row>
    <row r="36" spans="1:10">
      <c r="A36" s="38" t="s">
        <v>32</v>
      </c>
      <c r="B36" s="102">
        <v>5010</v>
      </c>
      <c r="C36" s="216">
        <f ca="1">V.Коеф.аналіз!D9</f>
        <v>-1293.8</v>
      </c>
      <c r="D36" s="216">
        <f ca="1">V.Коеф.аналіз!E9</f>
        <v>-19.295546558704451</v>
      </c>
      <c r="E36" s="215">
        <v>0</v>
      </c>
      <c r="F36" s="216">
        <f ca="1">V.Коеф.аналіз!G9</f>
        <v>-19.295546558704451</v>
      </c>
      <c r="G36" s="217">
        <v>0</v>
      </c>
      <c r="H36" s="217">
        <v>0</v>
      </c>
      <c r="I36" s="386" t="s">
        <v>471</v>
      </c>
      <c r="J36" s="387"/>
    </row>
    <row r="37" spans="1:10">
      <c r="A37" s="38" t="s">
        <v>33</v>
      </c>
      <c r="B37" s="32">
        <v>1110</v>
      </c>
      <c r="C37" s="97">
        <f ca="1">'І.Форм. фін. рез.'!C95</f>
        <v>0</v>
      </c>
      <c r="D37" s="97">
        <f ca="1">'І.Форм. фін. рез.'!D95</f>
        <v>0</v>
      </c>
      <c r="E37" s="97">
        <f ca="1">'І.Форм. фін. рез.'!E95</f>
        <v>0</v>
      </c>
      <c r="F37" s="97">
        <f ca="1">'І.Форм. фін. рез.'!F95</f>
        <v>0</v>
      </c>
      <c r="G37" s="97">
        <f ca="1">'І.Форм. фін. рез.'!G95</f>
        <v>0</v>
      </c>
      <c r="H37" s="217">
        <v>0</v>
      </c>
    </row>
    <row r="38" spans="1:10">
      <c r="A38" s="38" t="s">
        <v>34</v>
      </c>
      <c r="B38" s="32">
        <v>1120</v>
      </c>
      <c r="C38" s="97">
        <f ca="1">'І.Форм. фін. рез.'!C96</f>
        <v>0</v>
      </c>
      <c r="D38" s="97">
        <f ca="1">'І.Форм. фін. рез.'!D96</f>
        <v>0</v>
      </c>
      <c r="E38" s="97">
        <f ca="1">'І.Форм. фін. рез.'!E96</f>
        <v>0</v>
      </c>
      <c r="F38" s="97">
        <f ca="1">'І.Форм. фін. рез.'!F96</f>
        <v>0</v>
      </c>
      <c r="G38" s="97">
        <f ca="1">'І.Форм. фін. рез.'!G96</f>
        <v>0</v>
      </c>
      <c r="H38" s="217">
        <v>0</v>
      </c>
    </row>
    <row r="39" spans="1:10">
      <c r="A39" s="38" t="s">
        <v>35</v>
      </c>
      <c r="B39" s="32">
        <v>1130</v>
      </c>
      <c r="C39" s="97">
        <f ca="1">'І.Форм. фін. рез.'!C97</f>
        <v>0</v>
      </c>
      <c r="D39" s="97">
        <f ca="1">'І.Форм. фін. рез.'!D97</f>
        <v>0</v>
      </c>
      <c r="E39" s="97">
        <f ca="1">'І.Форм. фін. рез.'!E97</f>
        <v>0</v>
      </c>
      <c r="F39" s="97">
        <f ca="1">'І.Форм. фін. рез.'!F97</f>
        <v>0</v>
      </c>
      <c r="G39" s="97">
        <f ca="1">'І.Форм. фін. рез.'!G97</f>
        <v>0</v>
      </c>
      <c r="H39" s="217">
        <v>0</v>
      </c>
    </row>
    <row r="40" spans="1:10">
      <c r="A40" s="38" t="s">
        <v>36</v>
      </c>
      <c r="B40" s="32">
        <v>1140</v>
      </c>
      <c r="C40" s="97">
        <f ca="1">'І.Форм. фін. рез.'!C98</f>
        <v>0</v>
      </c>
      <c r="D40" s="97">
        <f ca="1">'І.Форм. фін. рез.'!D98</f>
        <v>0</v>
      </c>
      <c r="E40" s="97">
        <f ca="1">'І.Форм. фін. рез.'!E98</f>
        <v>0</v>
      </c>
      <c r="F40" s="97">
        <f ca="1">'І.Форм. фін. рез.'!F98</f>
        <v>0</v>
      </c>
      <c r="G40" s="97">
        <f ca="1">'І.Форм. фін. рез.'!G98</f>
        <v>0</v>
      </c>
      <c r="H40" s="217">
        <v>0</v>
      </c>
    </row>
    <row r="41" spans="1:10">
      <c r="A41" s="360" t="s">
        <v>216</v>
      </c>
      <c r="B41" s="99">
        <v>1150</v>
      </c>
      <c r="C41" s="100">
        <f ca="1">'І.Форм. фін. рез.'!C99</f>
        <v>11.1</v>
      </c>
      <c r="D41" s="100">
        <f ca="1">'І.Форм. фін. рез.'!D99</f>
        <v>20.2</v>
      </c>
      <c r="E41" s="100">
        <f ca="1">'І.Форм. фін. рез.'!E99</f>
        <v>0</v>
      </c>
      <c r="F41" s="100">
        <f ca="1">'І.Форм. фін. рез.'!F99</f>
        <v>20.2</v>
      </c>
      <c r="G41" s="100">
        <f ca="1">'І.Форм. фін. рез.'!G99</f>
        <v>20.2</v>
      </c>
      <c r="H41" s="361">
        <v>0</v>
      </c>
    </row>
    <row r="42" spans="1:10">
      <c r="A42" s="38" t="s">
        <v>217</v>
      </c>
      <c r="B42" s="32">
        <v>1160</v>
      </c>
      <c r="C42" s="97">
        <f ca="1">'І.Форм. фін. рез.'!C104</f>
        <v>0</v>
      </c>
      <c r="D42" s="97">
        <f ca="1">'І.Форм. фін. рез.'!D104</f>
        <v>0</v>
      </c>
      <c r="E42" s="97">
        <f ca="1">'І.Форм. фін. рез.'!E104</f>
        <v>0</v>
      </c>
      <c r="F42" s="97">
        <f ca="1">'І.Форм. фін. рез.'!F104</f>
        <v>0</v>
      </c>
      <c r="G42" s="97">
        <f ca="1">'І.Форм. фін. рез.'!G104</f>
        <v>0</v>
      </c>
      <c r="H42" s="217">
        <v>0</v>
      </c>
    </row>
    <row r="43" spans="1:10">
      <c r="A43" s="38" t="s">
        <v>37</v>
      </c>
      <c r="B43" s="32">
        <v>1170</v>
      </c>
      <c r="C43" s="97">
        <f ca="1">'І.Форм. фін. рез.'!C107</f>
        <v>-568.19999999999993</v>
      </c>
      <c r="D43" s="97">
        <f ca="1">'І.Форм. фін. рез.'!D107</f>
        <v>-485.7</v>
      </c>
      <c r="E43" s="97">
        <f ca="1">'І.Форм. фін. рез.'!E107</f>
        <v>-411.10000000000008</v>
      </c>
      <c r="F43" s="97">
        <f ca="1">'І.Форм. фін. рез.'!F107</f>
        <v>-485.7</v>
      </c>
      <c r="G43" s="97">
        <f ca="1">'І.Форм. фін. рез.'!G107</f>
        <v>-74.599999999999909</v>
      </c>
      <c r="H43" s="97">
        <f ca="1">'І.Форм. фін. рез.'!H107</f>
        <v>118.14643639017268</v>
      </c>
    </row>
    <row r="44" spans="1:10">
      <c r="A44" s="38" t="s">
        <v>218</v>
      </c>
      <c r="B44" s="32">
        <v>1180</v>
      </c>
      <c r="C44" s="97">
        <f ca="1">'І.Форм. фін. рез.'!C108</f>
        <v>0</v>
      </c>
      <c r="D44" s="97">
        <f ca="1">'І.Форм. фін. рез.'!D108</f>
        <v>0</v>
      </c>
      <c r="E44" s="97">
        <f ca="1">'І.Форм. фін. рез.'!E108</f>
        <v>0</v>
      </c>
      <c r="F44" s="97">
        <f ca="1">'І.Форм. фін. рез.'!F108</f>
        <v>0</v>
      </c>
      <c r="G44" s="97">
        <f ca="1">'І.Форм. фін. рез.'!G108</f>
        <v>0</v>
      </c>
      <c r="H44" s="97">
        <f ca="1">'І.Форм. фін. рез.'!H108</f>
        <v>0</v>
      </c>
    </row>
    <row r="45" spans="1:10">
      <c r="A45" s="38" t="s">
        <v>229</v>
      </c>
      <c r="B45" s="32">
        <v>1181</v>
      </c>
      <c r="C45" s="97">
        <f ca="1">'І.Форм. фін. рез.'!C109</f>
        <v>0</v>
      </c>
      <c r="D45" s="97">
        <f ca="1">'І.Форм. фін. рез.'!D109</f>
        <v>0</v>
      </c>
      <c r="E45" s="97">
        <f ca="1">'І.Форм. фін. рез.'!E109</f>
        <v>0</v>
      </c>
      <c r="F45" s="97">
        <f ca="1">'І.Форм. фін. рез.'!F109</f>
        <v>0</v>
      </c>
      <c r="G45" s="97">
        <f ca="1">'І.Форм. фін. рез.'!G109</f>
        <v>0</v>
      </c>
      <c r="H45" s="97">
        <f ca="1">'І.Форм. фін. рез.'!H109</f>
        <v>0</v>
      </c>
    </row>
    <row r="46" spans="1:10">
      <c r="A46" s="38" t="s">
        <v>219</v>
      </c>
      <c r="B46" s="32">
        <v>1190</v>
      </c>
      <c r="C46" s="97">
        <f ca="1">'І.Форм. фін. рез.'!C110</f>
        <v>0</v>
      </c>
      <c r="D46" s="97">
        <f ca="1">'І.Форм. фін. рез.'!D110</f>
        <v>0</v>
      </c>
      <c r="E46" s="97">
        <f ca="1">'І.Форм. фін. рез.'!E110</f>
        <v>0</v>
      </c>
      <c r="F46" s="97">
        <f ca="1">'І.Форм. фін. рез.'!F110</f>
        <v>0</v>
      </c>
      <c r="G46" s="97">
        <f ca="1">'І.Форм. фін. рез.'!G110</f>
        <v>0</v>
      </c>
      <c r="H46" s="97">
        <f ca="1">'І.Форм. фін. рез.'!H110</f>
        <v>0</v>
      </c>
    </row>
    <row r="47" spans="1:10">
      <c r="A47" s="38" t="s">
        <v>220</v>
      </c>
      <c r="B47" s="32">
        <v>1191</v>
      </c>
      <c r="C47" s="97">
        <f ca="1">'І.Форм. фін. рез.'!C111</f>
        <v>0</v>
      </c>
      <c r="D47" s="97">
        <f ca="1">'І.Форм. фін. рез.'!D111</f>
        <v>0</v>
      </c>
      <c r="E47" s="97">
        <f ca="1">'І.Форм. фін. рез.'!E111</f>
        <v>0</v>
      </c>
      <c r="F47" s="97">
        <f ca="1">'І.Форм. фін. рез.'!F111</f>
        <v>0</v>
      </c>
      <c r="G47" s="97">
        <f ca="1">'І.Форм. фін. рез.'!G111</f>
        <v>0</v>
      </c>
      <c r="H47" s="97">
        <f ca="1">'І.Форм. фін. рез.'!H111</f>
        <v>0</v>
      </c>
    </row>
    <row r="48" spans="1:10">
      <c r="A48" s="38" t="s">
        <v>38</v>
      </c>
      <c r="B48" s="32">
        <v>1200</v>
      </c>
      <c r="C48" s="97">
        <f ca="1">'І.Форм. фін. рез.'!C112</f>
        <v>-568.19999999999993</v>
      </c>
      <c r="D48" s="97">
        <f ca="1">'І.Форм. фін. рез.'!D112</f>
        <v>-485.7</v>
      </c>
      <c r="E48" s="97">
        <f ca="1">'І.Форм. фін. рез.'!E112</f>
        <v>-411.10000000000008</v>
      </c>
      <c r="F48" s="97">
        <f ca="1">'І.Форм. фін. рез.'!F112</f>
        <v>-485.7</v>
      </c>
      <c r="G48" s="97">
        <f ca="1">'І.Форм. фін. рез.'!G112</f>
        <v>-74.599999999999909</v>
      </c>
      <c r="H48" s="97">
        <f ca="1">'І.Форм. фін. рез.'!H112</f>
        <v>118.14643639017268</v>
      </c>
    </row>
    <row r="49" spans="1:8">
      <c r="A49" s="38" t="s">
        <v>221</v>
      </c>
      <c r="B49" s="32">
        <v>1201</v>
      </c>
      <c r="C49" s="97">
        <f ca="1">'І.Форм. фін. рез.'!C113</f>
        <v>0</v>
      </c>
      <c r="D49" s="97">
        <f ca="1">'І.Форм. фін. рез.'!D113</f>
        <v>0</v>
      </c>
      <c r="E49" s="97">
        <f ca="1">'І.Форм. фін. рез.'!E113</f>
        <v>0</v>
      </c>
      <c r="F49" s="97">
        <f ca="1">'І.Форм. фін. рез.'!F113</f>
        <v>0</v>
      </c>
      <c r="G49" s="97">
        <f ca="1">'І.Форм. фін. рез.'!G113</f>
        <v>0</v>
      </c>
      <c r="H49" s="97">
        <f ca="1">'І.Форм. фін. рез.'!H113</f>
        <v>0</v>
      </c>
    </row>
    <row r="50" spans="1:8">
      <c r="A50" s="38" t="s">
        <v>222</v>
      </c>
      <c r="B50" s="32">
        <v>1202</v>
      </c>
      <c r="C50" s="97">
        <f ca="1">'І.Форм. фін. рез.'!C114</f>
        <v>-568.20000000000005</v>
      </c>
      <c r="D50" s="97">
        <f ca="1">'І.Форм. фін. рез.'!D114</f>
        <v>-485.7</v>
      </c>
      <c r="E50" s="97">
        <f ca="1">'І.Форм. фін. рез.'!E114</f>
        <v>-411.1</v>
      </c>
      <c r="F50" s="97">
        <f ca="1">'І.Форм. фін. рез.'!F114</f>
        <v>-485.7</v>
      </c>
      <c r="G50" s="97">
        <f ca="1">'І.Форм. фін. рез.'!G114</f>
        <v>-74.599999999999966</v>
      </c>
      <c r="H50" s="97">
        <f ca="1">'І.Форм. фін. рез.'!H114</f>
        <v>118.14643639017271</v>
      </c>
    </row>
    <row r="51" spans="1:8">
      <c r="A51" s="375" t="s">
        <v>39</v>
      </c>
      <c r="B51" s="376"/>
      <c r="C51" s="376"/>
      <c r="D51" s="376"/>
      <c r="E51" s="376"/>
      <c r="F51" s="376"/>
      <c r="G51" s="376"/>
      <c r="H51" s="377"/>
    </row>
    <row r="52" spans="1:8" ht="26.4">
      <c r="A52" s="38" t="s">
        <v>223</v>
      </c>
      <c r="B52" s="32">
        <v>2110</v>
      </c>
      <c r="C52" s="96">
        <f ca="1">'IІ.Розр. з бюдж'!C11</f>
        <v>15.9</v>
      </c>
      <c r="D52" s="96">
        <f ca="1">'IІ.Розр. з бюдж'!D11</f>
        <v>14</v>
      </c>
      <c r="E52" s="96">
        <f ca="1">'IІ.Розр. з бюдж'!E11</f>
        <v>133.80000000000001</v>
      </c>
      <c r="F52" s="96">
        <f ca="1">'IІ.Розр. з бюдж'!F11</f>
        <v>14</v>
      </c>
      <c r="G52" s="96">
        <f ca="1">'IІ.Розр. з бюдж'!G11</f>
        <v>-119.80000000000001</v>
      </c>
      <c r="H52" s="96">
        <f ca="1">'IІ.Розр. з бюдж'!H11</f>
        <v>10.46337817638266</v>
      </c>
    </row>
    <row r="53" spans="1:8">
      <c r="A53" s="38" t="s">
        <v>224</v>
      </c>
      <c r="B53" s="32">
        <v>2111</v>
      </c>
      <c r="C53" s="96">
        <f ca="1">'IІ.Розр. з бюдж'!C12</f>
        <v>0</v>
      </c>
      <c r="D53" s="96">
        <f ca="1">'IІ.Розр. з бюдж'!D12</f>
        <v>14</v>
      </c>
      <c r="E53" s="96">
        <f ca="1">'IІ.Розр. з бюдж'!E12</f>
        <v>0</v>
      </c>
      <c r="F53" s="96">
        <f ca="1">'IІ.Розр. з бюдж'!F12</f>
        <v>14</v>
      </c>
      <c r="G53" s="96">
        <f ca="1">'IІ.Розр. з бюдж'!G12</f>
        <v>14</v>
      </c>
      <c r="H53" s="96">
        <f ca="1">'IІ.Розр. з бюдж'!H12</f>
        <v>0</v>
      </c>
    </row>
    <row r="54" spans="1:8">
      <c r="A54" s="38" t="s">
        <v>225</v>
      </c>
      <c r="B54" s="32">
        <v>2112</v>
      </c>
      <c r="C54" s="96">
        <f ca="1">'IІ.Розр. з бюдж'!C13</f>
        <v>15.9</v>
      </c>
      <c r="D54" s="96">
        <f ca="1">'IІ.Розр. з бюдж'!D13</f>
        <v>0</v>
      </c>
      <c r="E54" s="96">
        <f ca="1">'IІ.Розр. з бюдж'!E13</f>
        <v>133.80000000000001</v>
      </c>
      <c r="F54" s="96">
        <f ca="1">'IІ.Розр. з бюдж'!F13</f>
        <v>0</v>
      </c>
      <c r="G54" s="96">
        <f ca="1">'IІ.Розр. з бюдж'!G13</f>
        <v>-133.80000000000001</v>
      </c>
      <c r="H54" s="96">
        <f ca="1">'IІ.Розр. з бюдж'!H13</f>
        <v>0</v>
      </c>
    </row>
    <row r="55" spans="1:8">
      <c r="A55" s="38" t="s">
        <v>226</v>
      </c>
      <c r="B55" s="32">
        <v>2113</v>
      </c>
      <c r="C55" s="96">
        <f ca="1">'IІ.Розр. з бюдж'!C14</f>
        <v>0</v>
      </c>
      <c r="D55" s="96">
        <f ca="1">'IІ.Розр. з бюдж'!D14</f>
        <v>0</v>
      </c>
      <c r="E55" s="96">
        <f ca="1">'IІ.Розр. з бюдж'!E14</f>
        <v>0</v>
      </c>
      <c r="F55" s="96">
        <f ca="1">'IІ.Розр. з бюдж'!F14</f>
        <v>0</v>
      </c>
      <c r="G55" s="96">
        <f ca="1">'IІ.Розр. з бюдж'!G14</f>
        <v>0</v>
      </c>
      <c r="H55" s="96">
        <f ca="1">'IІ.Розр. з бюдж'!H14</f>
        <v>0</v>
      </c>
    </row>
    <row r="56" spans="1:8">
      <c r="A56" s="38" t="s">
        <v>116</v>
      </c>
      <c r="B56" s="32">
        <v>2114</v>
      </c>
      <c r="C56" s="96">
        <f ca="1">'IІ.Розр. з бюдж'!C15</f>
        <v>0</v>
      </c>
      <c r="D56" s="96">
        <f ca="1">'IІ.Розр. з бюдж'!D15</f>
        <v>0</v>
      </c>
      <c r="E56" s="96">
        <f ca="1">'IІ.Розр. з бюдж'!E15</f>
        <v>0</v>
      </c>
      <c r="F56" s="96">
        <f ca="1">'IІ.Розр. з бюдж'!F15</f>
        <v>0</v>
      </c>
      <c r="G56" s="96">
        <f ca="1">'IІ.Розр. з бюдж'!G15</f>
        <v>0</v>
      </c>
      <c r="H56" s="96">
        <f ca="1">'IІ.Розр. з бюдж'!H15</f>
        <v>0</v>
      </c>
    </row>
    <row r="57" spans="1:8">
      <c r="A57" s="38" t="s">
        <v>117</v>
      </c>
      <c r="B57" s="32">
        <v>2115</v>
      </c>
      <c r="C57" s="96">
        <f ca="1">'IІ.Розр. з бюдж'!C16</f>
        <v>0</v>
      </c>
      <c r="D57" s="96">
        <f ca="1">'IІ.Розр. з бюдж'!D16</f>
        <v>0</v>
      </c>
      <c r="E57" s="96">
        <f ca="1">'IІ.Розр. з бюдж'!E16</f>
        <v>0</v>
      </c>
      <c r="F57" s="96">
        <f ca="1">'IІ.Розр. з бюдж'!F16</f>
        <v>0</v>
      </c>
      <c r="G57" s="96">
        <f ca="1">'IІ.Розр. з бюдж'!G16</f>
        <v>0</v>
      </c>
      <c r="H57" s="96">
        <f ca="1">'IІ.Розр. з бюдж'!H16</f>
        <v>0</v>
      </c>
    </row>
    <row r="58" spans="1:8">
      <c r="A58" s="38" t="s">
        <v>227</v>
      </c>
      <c r="B58" s="32">
        <v>2116</v>
      </c>
      <c r="C58" s="96">
        <f ca="1">'IІ.Розр. з бюдж'!C17</f>
        <v>0</v>
      </c>
      <c r="D58" s="96">
        <f ca="1">'IІ.Розр. з бюдж'!D17</f>
        <v>0</v>
      </c>
      <c r="E58" s="96">
        <f ca="1">'IІ.Розр. з бюдж'!E17</f>
        <v>0</v>
      </c>
      <c r="F58" s="96">
        <f ca="1">'IІ.Розр. з бюдж'!F17</f>
        <v>0</v>
      </c>
      <c r="G58" s="96">
        <f ca="1">'IІ.Розр. з бюдж'!G17</f>
        <v>0</v>
      </c>
      <c r="H58" s="96">
        <f ca="1">'IІ.Розр. з бюдж'!H17</f>
        <v>0</v>
      </c>
    </row>
    <row r="59" spans="1:8">
      <c r="A59" s="38" t="s">
        <v>230</v>
      </c>
      <c r="B59" s="39">
        <v>2120</v>
      </c>
      <c r="C59" s="96">
        <f ca="1">'IІ.Розр. з бюдж'!C21</f>
        <v>206.9</v>
      </c>
      <c r="D59" s="96">
        <f ca="1">'IІ.Розр. з бюдж'!D21</f>
        <v>194.3</v>
      </c>
      <c r="E59" s="96">
        <f ca="1">'IІ.Розр. з бюдж'!E21</f>
        <v>310.7</v>
      </c>
      <c r="F59" s="96">
        <f ca="1">'IІ.Розр. з бюдж'!F21</f>
        <v>194.3</v>
      </c>
      <c r="G59" s="96">
        <f ca="1">'IІ.Розр. з бюдж'!G21</f>
        <v>-116.39999999999998</v>
      </c>
      <c r="H59" s="96">
        <f ca="1">'IІ.Розр. з бюдж'!H21</f>
        <v>62.536208561313167</v>
      </c>
    </row>
    <row r="60" spans="1:8">
      <c r="A60" s="38" t="s">
        <v>231</v>
      </c>
      <c r="B60" s="39">
        <v>2130</v>
      </c>
      <c r="C60" s="96">
        <f ca="1">'IІ.Розр. з бюдж'!C26</f>
        <v>128.80000000000001</v>
      </c>
      <c r="D60" s="96">
        <f ca="1">'IІ.Розр. з бюдж'!D26</f>
        <v>82.899999999999991</v>
      </c>
      <c r="E60" s="96">
        <f ca="1">'IІ.Розр. з бюдж'!E26</f>
        <v>97.2</v>
      </c>
      <c r="F60" s="96">
        <f ca="1">'IІ.Розр. з бюдж'!F26</f>
        <v>82.899999999999991</v>
      </c>
      <c r="G60" s="96">
        <f ca="1">'IІ.Розр. з бюдж'!G26</f>
        <v>-14.300000000000011</v>
      </c>
      <c r="H60" s="96">
        <f ca="1">'IІ.Розр. з бюдж'!H26</f>
        <v>85.288065843621382</v>
      </c>
    </row>
    <row r="61" spans="1:8" ht="15.6" customHeight="1">
      <c r="A61" s="38" t="s">
        <v>232</v>
      </c>
      <c r="B61" s="108">
        <v>2132</v>
      </c>
      <c r="C61" s="96">
        <f ca="1">'IІ.Розр. з бюдж'!C28</f>
        <v>119.9</v>
      </c>
      <c r="D61" s="96">
        <f ca="1">'IІ.Розр. з бюдж'!D28</f>
        <v>73.3</v>
      </c>
      <c r="E61" s="96">
        <f ca="1">'IІ.Розр. з бюдж'!E28</f>
        <v>93</v>
      </c>
      <c r="F61" s="96">
        <f ca="1">'IІ.Розр. з бюдж'!F28</f>
        <v>73.3</v>
      </c>
      <c r="G61" s="96">
        <f ca="1">'IІ.Розр. з бюдж'!G29</f>
        <v>5.3999999999999995</v>
      </c>
      <c r="H61" s="96">
        <f ca="1">'IІ.Розр. з бюдж'!H29</f>
        <v>228.57142857142856</v>
      </c>
    </row>
    <row r="62" spans="1:8">
      <c r="A62" s="38" t="s">
        <v>40</v>
      </c>
      <c r="B62" s="39">
        <v>2200</v>
      </c>
      <c r="C62" s="109">
        <f ca="1">'IІ.Розр. з бюдж'!C35</f>
        <v>351.6</v>
      </c>
      <c r="D62" s="109">
        <f ca="1">'IІ.Розр. з бюдж'!D35</f>
        <v>291.2</v>
      </c>
      <c r="E62" s="109">
        <f ca="1">'IІ.Розр. з бюдж'!E35</f>
        <v>541.70000000000005</v>
      </c>
      <c r="F62" s="109">
        <f ca="1">'IІ.Розр. з бюдж'!F35</f>
        <v>291.2</v>
      </c>
      <c r="G62" s="109">
        <f ca="1">'IІ.Розр. з бюдж'!G35</f>
        <v>-250.50000000000006</v>
      </c>
      <c r="H62" s="109">
        <f ca="1">'IІ.Розр. з бюдж'!H35</f>
        <v>53.756691895883321</v>
      </c>
    </row>
    <row r="63" spans="1:8">
      <c r="A63" s="369" t="s">
        <v>41</v>
      </c>
      <c r="B63" s="378"/>
      <c r="C63" s="370"/>
      <c r="D63" s="370"/>
      <c r="E63" s="370"/>
      <c r="F63" s="370"/>
      <c r="G63" s="370"/>
      <c r="H63" s="371"/>
    </row>
    <row r="64" spans="1:8">
      <c r="A64" s="33" t="s">
        <v>233</v>
      </c>
      <c r="B64" s="32">
        <v>3405</v>
      </c>
      <c r="C64" s="96">
        <f ca="1">'ІІІ.Рух грош.кошт'!C79</f>
        <v>1542.5</v>
      </c>
      <c r="D64" s="96">
        <f ca="1">'ІІІ.Рух грош.кошт'!D79</f>
        <v>1255</v>
      </c>
      <c r="E64" s="96">
        <f ca="1">'ІІІ.Рух грош.кошт'!E79</f>
        <v>0</v>
      </c>
      <c r="F64" s="96">
        <f ca="1">'ІІІ.Рух грош.кошт'!F79</f>
        <v>1255</v>
      </c>
      <c r="G64" s="96">
        <f ca="1">'ІІІ.Рух грош.кошт'!G79</f>
        <v>1255</v>
      </c>
      <c r="H64" s="96">
        <f ca="1">'ІІІ.Рух грош.кошт'!H79</f>
        <v>0</v>
      </c>
    </row>
    <row r="65" spans="1:9">
      <c r="A65" s="101" t="s">
        <v>234</v>
      </c>
      <c r="B65" s="102">
        <v>3040</v>
      </c>
      <c r="C65" s="96">
        <f ca="1">'ІІІ.Рух грош.кошт'!C11</f>
        <v>0</v>
      </c>
      <c r="D65" s="96">
        <f ca="1">'ІІІ.Рух грош.кошт'!D11</f>
        <v>0</v>
      </c>
      <c r="E65" s="96">
        <f ca="1">'ІІІ.Рух грош.кошт'!E11</f>
        <v>0</v>
      </c>
      <c r="F65" s="96">
        <f ca="1">'ІІІ.Рух грош.кошт'!F11</f>
        <v>0</v>
      </c>
      <c r="G65" s="96">
        <f ca="1">'ІІІ.Рух грош.кошт'!G11</f>
        <v>0</v>
      </c>
      <c r="H65" s="96">
        <f ca="1">'ІІІ.Рух грош.кошт'!H11</f>
        <v>0</v>
      </c>
      <c r="I65" s="103"/>
    </row>
    <row r="66" spans="1:9">
      <c r="A66" s="33" t="s">
        <v>235</v>
      </c>
      <c r="B66" s="32">
        <v>3195</v>
      </c>
      <c r="C66" s="96">
        <f ca="1">'ІІІ.Рух грош.кошт'!C39</f>
        <v>-568.19999999999993</v>
      </c>
      <c r="D66" s="96">
        <f ca="1">'ІІІ.Рух грош.кошт'!D39</f>
        <v>-485.7</v>
      </c>
      <c r="E66" s="96">
        <f ca="1">'ІІІ.Рух грош.кошт'!E39</f>
        <v>-411.10000000000008</v>
      </c>
      <c r="F66" s="96">
        <f ca="1">'ІІІ.Рух грош.кошт'!F39</f>
        <v>-485.7</v>
      </c>
      <c r="G66" s="96">
        <f ca="1">'ІІІ.Рух грош.кошт'!G39</f>
        <v>-74.599999999999909</v>
      </c>
      <c r="H66" s="96">
        <f ca="1">'ІІІ.Рух грош.кошт'!H39</f>
        <v>118.14643639017268</v>
      </c>
    </row>
    <row r="67" spans="1:9">
      <c r="A67" s="38" t="s">
        <v>236</v>
      </c>
      <c r="B67" s="39">
        <v>3295</v>
      </c>
      <c r="C67" s="96">
        <f ca="1">'ІІІ.Рух грош.кошт'!C58</f>
        <v>0</v>
      </c>
      <c r="D67" s="96">
        <f ca="1">'ІІІ.Рух грош.кошт'!D58</f>
        <v>0</v>
      </c>
      <c r="E67" s="96">
        <f ca="1">'ІІІ.Рух грош.кошт'!E58</f>
        <v>0</v>
      </c>
      <c r="F67" s="96">
        <f ca="1">'ІІІ.Рух грош.кошт'!F58</f>
        <v>0</v>
      </c>
      <c r="G67" s="96">
        <f ca="1">'ІІІ.Рух грош.кошт'!G58</f>
        <v>0</v>
      </c>
      <c r="H67" s="96">
        <f ca="1">'ІІІ.Рух грош.кошт'!H58</f>
        <v>0</v>
      </c>
    </row>
    <row r="68" spans="1:9">
      <c r="A68" s="38" t="s">
        <v>237</v>
      </c>
      <c r="B68" s="39">
        <v>3395</v>
      </c>
      <c r="C68" s="96">
        <f ca="1">'ІІІ.Рух грош.кошт'!C77</f>
        <v>0</v>
      </c>
      <c r="D68" s="96">
        <f ca="1">'ІІІ.Рух грош.кошт'!D77</f>
        <v>0</v>
      </c>
      <c r="E68" s="96">
        <f ca="1">'ІІІ.Рух грош.кошт'!E77</f>
        <v>0</v>
      </c>
      <c r="F68" s="96">
        <f ca="1">'ІІІ.Рух грош.кошт'!F77</f>
        <v>0</v>
      </c>
      <c r="G68" s="96">
        <f ca="1">'ІІІ.Рух грош.кошт'!G77</f>
        <v>0</v>
      </c>
      <c r="H68" s="96">
        <f ca="1">'ІІІ.Рух грош.кошт'!H77</f>
        <v>0</v>
      </c>
    </row>
    <row r="69" spans="1:9">
      <c r="A69" s="33" t="s">
        <v>238</v>
      </c>
      <c r="B69" s="32">
        <v>3410</v>
      </c>
      <c r="C69" s="96">
        <f ca="1">'ІІІ.Рух грош.кошт'!C80</f>
        <v>0</v>
      </c>
      <c r="D69" s="96">
        <f ca="1">'ІІІ.Рух грош.кошт'!D80</f>
        <v>0</v>
      </c>
      <c r="E69" s="96">
        <f ca="1">'ІІІ.Рух грош.кошт'!E80</f>
        <v>0</v>
      </c>
      <c r="F69" s="96">
        <f ca="1">'ІІІ.Рух грош.кошт'!F80</f>
        <v>0</v>
      </c>
      <c r="G69" s="96">
        <f ca="1">'ІІІ.Рух грош.кошт'!G80</f>
        <v>0</v>
      </c>
      <c r="H69" s="96">
        <f ca="1">'ІІІ.Рух грош.кошт'!H80</f>
        <v>0</v>
      </c>
    </row>
    <row r="70" spans="1:9">
      <c r="A70" s="33" t="s">
        <v>239</v>
      </c>
      <c r="B70" s="32">
        <v>3415</v>
      </c>
      <c r="C70" s="96">
        <f ca="1">'ІІІ.Рух грош.кошт'!C81</f>
        <v>46.2</v>
      </c>
      <c r="D70" s="96">
        <f ca="1">'ІІІ.Рух грош.кошт'!D81</f>
        <v>787.2</v>
      </c>
      <c r="E70" s="96">
        <f ca="1">'ІІІ.Рух грош.кошт'!E81</f>
        <v>0</v>
      </c>
      <c r="F70" s="96">
        <f ca="1">'ІІІ.Рух грош.кошт'!F81</f>
        <v>787.2</v>
      </c>
      <c r="G70" s="96">
        <f ca="1">'ІІІ.Рух грош.кошт'!G81</f>
        <v>787.2</v>
      </c>
      <c r="H70" s="96">
        <f ca="1">'ІІІ.Рух грош.кошт'!H81</f>
        <v>0</v>
      </c>
    </row>
    <row r="71" spans="1:9">
      <c r="A71" s="369" t="s">
        <v>43</v>
      </c>
      <c r="B71" s="370"/>
      <c r="C71" s="370"/>
      <c r="D71" s="370"/>
      <c r="E71" s="370"/>
      <c r="F71" s="370"/>
      <c r="G71" s="370"/>
      <c r="H71" s="371"/>
    </row>
    <row r="72" spans="1:9">
      <c r="A72" s="101" t="s">
        <v>240</v>
      </c>
      <c r="B72" s="102">
        <v>4000</v>
      </c>
      <c r="C72" s="114">
        <f ca="1">IV.Кап.інвес!C7</f>
        <v>0</v>
      </c>
      <c r="D72" s="114">
        <f ca="1">IV.Кап.інвес!D7</f>
        <v>0</v>
      </c>
      <c r="E72" s="114">
        <f ca="1">IV.Кап.інвес!E7</f>
        <v>0</v>
      </c>
      <c r="F72" s="114">
        <f ca="1">IV.Кап.інвес!F7</f>
        <v>0</v>
      </c>
      <c r="G72" s="114">
        <f ca="1">IV.Кап.інвес!G7</f>
        <v>0</v>
      </c>
      <c r="H72" s="114">
        <f ca="1">IV.Кап.інвес!H7</f>
        <v>0</v>
      </c>
    </row>
    <row r="73" spans="1:9">
      <c r="A73" s="379" t="s">
        <v>44</v>
      </c>
      <c r="B73" s="379"/>
      <c r="C73" s="379"/>
      <c r="D73" s="379"/>
      <c r="E73" s="379"/>
      <c r="F73" s="379"/>
      <c r="G73" s="379"/>
      <c r="H73" s="379"/>
    </row>
    <row r="74" spans="1:9">
      <c r="A74" s="101" t="s">
        <v>45</v>
      </c>
      <c r="B74" s="102">
        <v>5020</v>
      </c>
      <c r="C74" s="114">
        <f ca="1">V.Коеф.аналіз!D11</f>
        <v>0</v>
      </c>
      <c r="D74" s="114">
        <f ca="1">V.Коеф.аналіз!E11</f>
        <v>-3.0460501064894598E-3</v>
      </c>
      <c r="E74" s="210">
        <v>0</v>
      </c>
      <c r="F74" s="114">
        <f ca="1">V.Коеф.аналіз!F11</f>
        <v>0</v>
      </c>
      <c r="G74" s="210">
        <v>0</v>
      </c>
      <c r="H74" s="210">
        <v>0</v>
      </c>
    </row>
    <row r="75" spans="1:9">
      <c r="A75" s="101" t="s">
        <v>46</v>
      </c>
      <c r="B75" s="102">
        <v>5030</v>
      </c>
      <c r="C75" s="114">
        <f ca="1">V.Коеф.аналіз!D13</f>
        <v>-0.3</v>
      </c>
      <c r="D75" s="114">
        <f ca="1">V.Коеф.аналіз!E13</f>
        <v>-0.2760286428733803</v>
      </c>
      <c r="E75" s="210">
        <v>0</v>
      </c>
      <c r="F75" s="114">
        <f ca="1">V.Коеф.аналіз!G13</f>
        <v>-0.2760286428733803</v>
      </c>
      <c r="G75" s="210">
        <v>0</v>
      </c>
      <c r="H75" s="210">
        <v>0</v>
      </c>
    </row>
    <row r="76" spans="1:9">
      <c r="A76" s="101" t="s">
        <v>47</v>
      </c>
      <c r="B76" s="102">
        <v>5110</v>
      </c>
      <c r="C76" s="114">
        <f ca="1">V.Коеф.аналіз!D20</f>
        <v>47.9</v>
      </c>
      <c r="D76" s="114">
        <f ca="1">V.Коеф.аналіз!E20</f>
        <v>14.511159430308419</v>
      </c>
      <c r="E76" s="210">
        <v>0</v>
      </c>
      <c r="F76" s="114">
        <f ca="1">V.Коеф.аналіз!G20</f>
        <v>14.511159430308419</v>
      </c>
      <c r="G76" s="210">
        <v>0</v>
      </c>
      <c r="H76" s="210">
        <v>0</v>
      </c>
    </row>
    <row r="77" spans="1:9">
      <c r="A77" s="369" t="s">
        <v>44</v>
      </c>
      <c r="B77" s="370"/>
      <c r="C77" s="370"/>
      <c r="D77" s="370"/>
      <c r="E77" s="370"/>
      <c r="F77" s="370"/>
      <c r="G77" s="370"/>
      <c r="H77" s="371"/>
    </row>
    <row r="78" spans="1:9" ht="15.6" customHeight="1">
      <c r="A78" s="101" t="s">
        <v>241</v>
      </c>
      <c r="B78" s="102">
        <v>5040</v>
      </c>
      <c r="C78" s="114">
        <f ca="1">V.Коеф.аналіз!D15</f>
        <v>-13.2</v>
      </c>
      <c r="D78" s="114">
        <f ca="1">V.Коеф.аналіз!E15</f>
        <v>-19.663967611336034</v>
      </c>
      <c r="E78" s="210">
        <v>0</v>
      </c>
      <c r="F78" s="114">
        <f ca="1">V.Коеф.аналіз!G15</f>
        <v>-19.663967611336034</v>
      </c>
      <c r="G78" s="210">
        <v>0</v>
      </c>
      <c r="H78" s="210">
        <v>0</v>
      </c>
    </row>
    <row r="79" spans="1:9">
      <c r="A79" s="101" t="s">
        <v>242</v>
      </c>
      <c r="B79" s="102">
        <v>5020</v>
      </c>
      <c r="C79" s="114">
        <f ca="1">V.Коеф.аналіз!D11</f>
        <v>0</v>
      </c>
      <c r="D79" s="114">
        <f ca="1">V.Коеф.аналіз!E11</f>
        <v>-3.0460501064894598E-3</v>
      </c>
      <c r="E79" s="210">
        <v>0</v>
      </c>
      <c r="F79" s="114">
        <f ca="1">V.Коеф.аналіз!G11</f>
        <v>-3.0460501064894598E-3</v>
      </c>
      <c r="G79" s="210">
        <v>0</v>
      </c>
      <c r="H79" s="210">
        <v>0</v>
      </c>
    </row>
    <row r="80" spans="1:9">
      <c r="A80" s="101" t="s">
        <v>243</v>
      </c>
      <c r="B80" s="102">
        <v>5030</v>
      </c>
      <c r="C80" s="114">
        <f ca="1">V.Коеф.аналіз!D13</f>
        <v>-0.3</v>
      </c>
      <c r="D80" s="114">
        <f ca="1">V.Коеф.аналіз!E13</f>
        <v>-0.2760286428733803</v>
      </c>
      <c r="E80" s="210">
        <v>0</v>
      </c>
      <c r="F80" s="114">
        <f ca="1">V.Коеф.аналіз!G13</f>
        <v>-0.2760286428733803</v>
      </c>
      <c r="G80" s="210">
        <v>0</v>
      </c>
      <c r="H80" s="210">
        <v>0</v>
      </c>
    </row>
    <row r="81" spans="1:12">
      <c r="A81" s="101" t="s">
        <v>47</v>
      </c>
      <c r="B81" s="102">
        <v>5110</v>
      </c>
      <c r="C81" s="114">
        <f ca="1">V.Коеф.аналіз!D20</f>
        <v>47.9</v>
      </c>
      <c r="D81" s="114">
        <f ca="1">V.Коеф.аналіз!E20</f>
        <v>14.511159430308419</v>
      </c>
      <c r="E81" s="210">
        <v>0</v>
      </c>
      <c r="F81" s="114">
        <f ca="1">V.Коеф.аналіз!G20</f>
        <v>14.511159430308419</v>
      </c>
      <c r="G81" s="210">
        <v>0</v>
      </c>
      <c r="H81" s="210">
        <v>0</v>
      </c>
    </row>
    <row r="82" spans="1:12">
      <c r="A82" s="101" t="s">
        <v>148</v>
      </c>
      <c r="B82" s="102">
        <v>5220</v>
      </c>
      <c r="C82" s="114">
        <f ca="1">V.Коеф.аналіз!D29</f>
        <v>0.8</v>
      </c>
      <c r="D82" s="114">
        <f ca="1">V.Коеф.аналіз!E29</f>
        <v>0.76713586291309677</v>
      </c>
      <c r="E82" s="210">
        <v>0</v>
      </c>
      <c r="F82" s="114">
        <f ca="1">V.Коеф.аналіз!G29</f>
        <v>0.76713586291309677</v>
      </c>
      <c r="G82" s="210">
        <v>0</v>
      </c>
      <c r="H82" s="210">
        <v>0</v>
      </c>
    </row>
    <row r="83" spans="1:12">
      <c r="A83" s="369" t="s">
        <v>244</v>
      </c>
      <c r="B83" s="370"/>
      <c r="C83" s="370"/>
      <c r="D83" s="370"/>
      <c r="E83" s="370"/>
      <c r="F83" s="370"/>
      <c r="G83" s="370"/>
      <c r="H83" s="371"/>
    </row>
    <row r="84" spans="1:12" ht="16.2" customHeight="1">
      <c r="A84" s="33" t="s">
        <v>245</v>
      </c>
      <c r="B84" s="32">
        <v>6000</v>
      </c>
      <c r="C84" s="168">
        <v>109832.4</v>
      </c>
      <c r="D84" s="358">
        <f>156994.7</f>
        <v>156994.70000000001</v>
      </c>
      <c r="E84" s="169">
        <v>26605.200000000001</v>
      </c>
      <c r="F84" s="170">
        <v>156994.70000000001</v>
      </c>
      <c r="G84" s="171">
        <f>F84-E84</f>
        <v>130389.50000000001</v>
      </c>
      <c r="H84" s="171">
        <f>F84/E84*100</f>
        <v>590.09028310255144</v>
      </c>
      <c r="I84" s="362" t="s">
        <v>479</v>
      </c>
      <c r="J84" s="363"/>
      <c r="K84" s="363"/>
      <c r="L84" s="363"/>
    </row>
    <row r="85" spans="1:12">
      <c r="A85" s="33" t="s">
        <v>246</v>
      </c>
      <c r="B85" s="32">
        <v>6001</v>
      </c>
      <c r="C85" s="172">
        <v>167.1</v>
      </c>
      <c r="D85" s="359">
        <f>224.8</f>
        <v>224.8</v>
      </c>
      <c r="E85" s="169">
        <v>49.8</v>
      </c>
      <c r="F85" s="170">
        <v>224.8</v>
      </c>
      <c r="G85" s="171">
        <f t="shared" ref="G85:G96" si="0">F85-E85</f>
        <v>175</v>
      </c>
      <c r="H85" s="171">
        <f t="shared" ref="H85:H96" si="1">F85/E85*100</f>
        <v>451.40562248995985</v>
      </c>
    </row>
    <row r="86" spans="1:12">
      <c r="A86" s="33" t="s">
        <v>247</v>
      </c>
      <c r="B86" s="32">
        <v>6002</v>
      </c>
      <c r="C86" s="172">
        <v>918.5</v>
      </c>
      <c r="D86" s="359">
        <f>980.4</f>
        <v>980.4</v>
      </c>
      <c r="E86" s="169">
        <v>245.2</v>
      </c>
      <c r="F86" s="170">
        <v>980.4</v>
      </c>
      <c r="G86" s="171">
        <f t="shared" si="0"/>
        <v>735.2</v>
      </c>
      <c r="H86" s="171">
        <f t="shared" si="1"/>
        <v>399.83686786296897</v>
      </c>
    </row>
    <row r="87" spans="1:12">
      <c r="A87" s="33" t="s">
        <v>248</v>
      </c>
      <c r="B87" s="32">
        <v>6003</v>
      </c>
      <c r="C87" s="172">
        <v>751.4</v>
      </c>
      <c r="D87" s="359">
        <f>752.1</f>
        <v>752.1</v>
      </c>
      <c r="E87" s="169">
        <v>195.3</v>
      </c>
      <c r="F87" s="170">
        <v>752.1</v>
      </c>
      <c r="G87" s="171">
        <f t="shared" si="0"/>
        <v>556.79999999999995</v>
      </c>
      <c r="H87" s="171">
        <f t="shared" si="1"/>
        <v>385.09984639016898</v>
      </c>
    </row>
    <row r="88" spans="1:12">
      <c r="A88" s="33" t="s">
        <v>249</v>
      </c>
      <c r="B88" s="32">
        <v>6010</v>
      </c>
      <c r="C88" s="212">
        <v>8024.4</v>
      </c>
      <c r="D88" s="359">
        <f>2457.7</f>
        <v>2457.6999999999998</v>
      </c>
      <c r="E88" s="169">
        <v>565.79999999999995</v>
      </c>
      <c r="F88" s="170">
        <v>2457.6999999999998</v>
      </c>
      <c r="G88" s="171">
        <f t="shared" si="0"/>
        <v>1891.8999999999999</v>
      </c>
      <c r="H88" s="171">
        <f t="shared" si="1"/>
        <v>434.37610463061151</v>
      </c>
    </row>
    <row r="89" spans="1:12">
      <c r="A89" s="33" t="s">
        <v>250</v>
      </c>
      <c r="B89" s="32">
        <v>6011</v>
      </c>
      <c r="C89" s="172">
        <v>46.2</v>
      </c>
      <c r="D89" s="359">
        <f>787.2</f>
        <v>787.2</v>
      </c>
      <c r="E89" s="169">
        <v>100.1</v>
      </c>
      <c r="F89" s="170">
        <v>787.2</v>
      </c>
      <c r="G89" s="171">
        <f t="shared" si="0"/>
        <v>687.1</v>
      </c>
      <c r="H89" s="171">
        <f t="shared" si="1"/>
        <v>786.41358641358647</v>
      </c>
    </row>
    <row r="90" spans="1:12">
      <c r="A90" s="214" t="s">
        <v>48</v>
      </c>
      <c r="B90" s="32">
        <v>6020</v>
      </c>
      <c r="C90" s="211">
        <f>C84+C88</f>
        <v>117856.79999999999</v>
      </c>
      <c r="D90" s="211">
        <f>D84+D88</f>
        <v>159452.40000000002</v>
      </c>
      <c r="E90" s="211">
        <f>E84+E88</f>
        <v>27171</v>
      </c>
      <c r="F90" s="211">
        <f>F84+F88</f>
        <v>159452.40000000002</v>
      </c>
      <c r="G90" s="171">
        <f t="shared" si="0"/>
        <v>132281.40000000002</v>
      </c>
      <c r="H90" s="171">
        <f t="shared" si="1"/>
        <v>586.8477420779509</v>
      </c>
    </row>
    <row r="91" spans="1:12">
      <c r="A91" s="33" t="s">
        <v>49</v>
      </c>
      <c r="B91" s="32">
        <v>6030</v>
      </c>
      <c r="C91" s="172">
        <v>115859.1</v>
      </c>
      <c r="D91" s="359">
        <f>157678.3</f>
        <v>157678.29999999999</v>
      </c>
      <c r="E91" s="169">
        <v>26744.6</v>
      </c>
      <c r="F91" s="170">
        <v>157678.29999999999</v>
      </c>
      <c r="G91" s="171">
        <f t="shared" si="0"/>
        <v>130933.69999999998</v>
      </c>
      <c r="H91" s="171">
        <f t="shared" si="1"/>
        <v>589.57060490715878</v>
      </c>
    </row>
    <row r="92" spans="1:12">
      <c r="A92" s="33" t="s">
        <v>50</v>
      </c>
      <c r="B92" s="32">
        <v>6040</v>
      </c>
      <c r="C92" s="172">
        <v>47.9</v>
      </c>
      <c r="D92" s="359">
        <f>14.5</f>
        <v>14.5</v>
      </c>
      <c r="E92" s="169">
        <v>49.3</v>
      </c>
      <c r="F92" s="170">
        <v>14.5</v>
      </c>
      <c r="G92" s="171">
        <f t="shared" si="0"/>
        <v>-34.799999999999997</v>
      </c>
      <c r="H92" s="171">
        <f t="shared" si="1"/>
        <v>29.411764705882355</v>
      </c>
    </row>
    <row r="93" spans="1:12">
      <c r="A93" s="214" t="s">
        <v>51</v>
      </c>
      <c r="B93" s="32">
        <v>6050</v>
      </c>
      <c r="C93" s="213">
        <f>C91+C92</f>
        <v>115907</v>
      </c>
      <c r="D93" s="213">
        <f>D91+D92</f>
        <v>157692.79999999999</v>
      </c>
      <c r="E93" s="213">
        <f>E91+E92</f>
        <v>26793.899999999998</v>
      </c>
      <c r="F93" s="213">
        <f>F91+F92</f>
        <v>157692.79999999999</v>
      </c>
      <c r="G93" s="171">
        <f t="shared" si="0"/>
        <v>130898.9</v>
      </c>
      <c r="H93" s="171">
        <f t="shared" si="1"/>
        <v>588.53992886440562</v>
      </c>
    </row>
    <row r="94" spans="1:12">
      <c r="A94" s="33" t="s">
        <v>251</v>
      </c>
      <c r="B94" s="32">
        <v>6060</v>
      </c>
      <c r="C94" s="172">
        <v>0</v>
      </c>
      <c r="D94" s="172">
        <v>0</v>
      </c>
      <c r="E94" s="172">
        <v>0</v>
      </c>
      <c r="F94" s="172">
        <v>0</v>
      </c>
      <c r="G94" s="172">
        <v>0</v>
      </c>
      <c r="H94" s="172">
        <v>0</v>
      </c>
    </row>
    <row r="95" spans="1:12">
      <c r="A95" s="33" t="s">
        <v>252</v>
      </c>
      <c r="B95" s="32">
        <v>6070</v>
      </c>
      <c r="C95" s="172">
        <v>0</v>
      </c>
      <c r="D95" s="172">
        <v>0</v>
      </c>
      <c r="E95" s="172">
        <v>0</v>
      </c>
      <c r="F95" s="172">
        <v>0</v>
      </c>
      <c r="G95" s="172">
        <v>0</v>
      </c>
      <c r="H95" s="172">
        <v>0</v>
      </c>
    </row>
    <row r="96" spans="1:12">
      <c r="A96" s="33" t="s">
        <v>52</v>
      </c>
      <c r="B96" s="32">
        <v>6080</v>
      </c>
      <c r="C96" s="172">
        <v>1949.8</v>
      </c>
      <c r="D96" s="359">
        <f>1759.6</f>
        <v>1759.6</v>
      </c>
      <c r="E96" s="169">
        <v>377.1</v>
      </c>
      <c r="F96" s="170">
        <v>1759.6</v>
      </c>
      <c r="G96" s="171">
        <f t="shared" si="0"/>
        <v>1382.5</v>
      </c>
      <c r="H96" s="171">
        <f t="shared" si="1"/>
        <v>466.6136303367806</v>
      </c>
    </row>
    <row r="97" spans="1:8">
      <c r="A97" s="369" t="s">
        <v>253</v>
      </c>
      <c r="B97" s="370"/>
      <c r="C97" s="370"/>
      <c r="D97" s="370"/>
      <c r="E97" s="370"/>
      <c r="F97" s="370"/>
      <c r="G97" s="370"/>
      <c r="H97" s="371"/>
    </row>
    <row r="98" spans="1:8">
      <c r="A98" s="33" t="s">
        <v>254</v>
      </c>
      <c r="B98" s="32">
        <v>7000</v>
      </c>
      <c r="C98" s="121">
        <v>0</v>
      </c>
      <c r="D98" s="121">
        <v>0</v>
      </c>
      <c r="E98" s="121">
        <v>0</v>
      </c>
      <c r="F98" s="121">
        <v>0</v>
      </c>
      <c r="G98" s="121">
        <v>0</v>
      </c>
      <c r="H98" s="121">
        <v>0</v>
      </c>
    </row>
    <row r="99" spans="1:8">
      <c r="A99" s="33" t="s">
        <v>255</v>
      </c>
      <c r="B99" s="32">
        <v>7001</v>
      </c>
      <c r="C99" s="121">
        <v>0</v>
      </c>
      <c r="D99" s="121">
        <v>0</v>
      </c>
      <c r="E99" s="121">
        <v>0</v>
      </c>
      <c r="F99" s="121">
        <v>0</v>
      </c>
      <c r="G99" s="121">
        <v>0</v>
      </c>
      <c r="H99" s="121">
        <v>0</v>
      </c>
    </row>
    <row r="100" spans="1:8">
      <c r="A100" s="33" t="s">
        <v>256</v>
      </c>
      <c r="B100" s="32">
        <v>7002</v>
      </c>
      <c r="C100" s="121">
        <v>0</v>
      </c>
      <c r="D100" s="121">
        <v>0</v>
      </c>
      <c r="E100" s="121">
        <v>0</v>
      </c>
      <c r="F100" s="121">
        <v>0</v>
      </c>
      <c r="G100" s="121">
        <v>0</v>
      </c>
      <c r="H100" s="121">
        <v>0</v>
      </c>
    </row>
    <row r="101" spans="1:8">
      <c r="A101" s="33" t="s">
        <v>257</v>
      </c>
      <c r="B101" s="32">
        <v>7003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</row>
    <row r="102" spans="1:8">
      <c r="A102" s="33" t="s">
        <v>258</v>
      </c>
      <c r="B102" s="32">
        <v>7010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</row>
    <row r="103" spans="1:8">
      <c r="A103" s="33" t="s">
        <v>255</v>
      </c>
      <c r="B103" s="32">
        <v>7011</v>
      </c>
      <c r="C103" s="121">
        <v>0</v>
      </c>
      <c r="D103" s="121">
        <v>0</v>
      </c>
      <c r="E103" s="121">
        <v>0</v>
      </c>
      <c r="F103" s="121">
        <v>0</v>
      </c>
      <c r="G103" s="121">
        <v>0</v>
      </c>
      <c r="H103" s="121">
        <v>0</v>
      </c>
    </row>
    <row r="104" spans="1:8">
      <c r="A104" s="33" t="s">
        <v>256</v>
      </c>
      <c r="B104" s="32">
        <v>7012</v>
      </c>
      <c r="C104" s="121">
        <v>0</v>
      </c>
      <c r="D104" s="121">
        <v>0</v>
      </c>
      <c r="E104" s="121">
        <v>0</v>
      </c>
      <c r="F104" s="121">
        <v>0</v>
      </c>
      <c r="G104" s="121">
        <v>0</v>
      </c>
      <c r="H104" s="121">
        <v>0</v>
      </c>
    </row>
    <row r="105" spans="1:8">
      <c r="A105" s="33" t="s">
        <v>257</v>
      </c>
      <c r="B105" s="32">
        <v>7013</v>
      </c>
      <c r="C105" s="121">
        <v>0</v>
      </c>
      <c r="D105" s="121">
        <v>0</v>
      </c>
      <c r="E105" s="121">
        <v>0</v>
      </c>
      <c r="F105" s="121">
        <v>0</v>
      </c>
      <c r="G105" s="121">
        <v>0</v>
      </c>
      <c r="H105" s="121">
        <v>0</v>
      </c>
    </row>
    <row r="106" spans="1:8">
      <c r="A106" s="369" t="s">
        <v>259</v>
      </c>
      <c r="B106" s="370"/>
      <c r="C106" s="370"/>
      <c r="D106" s="370"/>
      <c r="E106" s="370"/>
      <c r="F106" s="370"/>
      <c r="G106" s="370"/>
      <c r="H106" s="371"/>
    </row>
    <row r="107" spans="1:8" ht="26.4">
      <c r="A107" s="38" t="s">
        <v>268</v>
      </c>
      <c r="B107" s="32">
        <v>8000</v>
      </c>
      <c r="C107" s="96">
        <f ca="1">'Інф.до звіту про викон'!B8</f>
        <v>25</v>
      </c>
      <c r="D107" s="114">
        <f ca="1">F107</f>
        <v>12</v>
      </c>
      <c r="E107" s="96">
        <f ca="1">'Інф.до звіту про викон'!C8</f>
        <v>8</v>
      </c>
      <c r="F107" s="114">
        <f ca="1">'Інф.до звіту про викон'!D8</f>
        <v>12</v>
      </c>
      <c r="G107" s="96">
        <f ca="1">'Інф.до звіту про викон'!F8</f>
        <v>150</v>
      </c>
      <c r="H107" s="96">
        <f ca="1">'Інф.до звіту про викон'!G8</f>
        <v>0</v>
      </c>
    </row>
    <row r="108" spans="1:8">
      <c r="A108" s="33" t="s">
        <v>260</v>
      </c>
      <c r="B108" s="32">
        <v>8001</v>
      </c>
      <c r="C108" s="96">
        <f ca="1">'Інф.до звіту про викон'!B9</f>
        <v>0</v>
      </c>
      <c r="D108" s="114">
        <f t="shared" ref="D108:D119" si="2">F108</f>
        <v>0</v>
      </c>
      <c r="E108" s="96">
        <f ca="1">'Інф.до звіту про викон'!C9</f>
        <v>0</v>
      </c>
      <c r="F108" s="114">
        <f ca="1">'Інф.до звіту про викон'!D9</f>
        <v>0</v>
      </c>
      <c r="G108" s="96">
        <f ca="1">'Інф.до звіту про викон'!F9</f>
        <v>0</v>
      </c>
      <c r="H108" s="96">
        <f ca="1">'Інф.до звіту про викон'!G9</f>
        <v>0</v>
      </c>
    </row>
    <row r="109" spans="1:8">
      <c r="A109" s="33" t="s">
        <v>261</v>
      </c>
      <c r="B109" s="32">
        <v>8002</v>
      </c>
      <c r="C109" s="96">
        <f ca="1">'Інф.до звіту про викон'!B10</f>
        <v>0</v>
      </c>
      <c r="D109" s="114">
        <f t="shared" si="2"/>
        <v>0</v>
      </c>
      <c r="E109" s="96">
        <f ca="1">'Інф.до звіту про викон'!C10</f>
        <v>0</v>
      </c>
      <c r="F109" s="114">
        <f ca="1">'Інф.до звіту про викон'!D10</f>
        <v>0</v>
      </c>
      <c r="G109" s="96">
        <f ca="1">'Інф.до звіту про викон'!F10</f>
        <v>0</v>
      </c>
      <c r="H109" s="96">
        <f ca="1">'Інф.до звіту про викон'!G10</f>
        <v>0</v>
      </c>
    </row>
    <row r="110" spans="1:8">
      <c r="A110" s="33" t="s">
        <v>262</v>
      </c>
      <c r="B110" s="32">
        <v>8003</v>
      </c>
      <c r="C110" s="96">
        <f ca="1">'Інф.до звіту про викон'!B11</f>
        <v>1</v>
      </c>
      <c r="D110" s="114">
        <f t="shared" si="2"/>
        <v>1</v>
      </c>
      <c r="E110" s="96">
        <f ca="1">'Інф.до звіту про викон'!C11</f>
        <v>1</v>
      </c>
      <c r="F110" s="114">
        <f ca="1">'Інф.до звіту про викон'!D11</f>
        <v>1</v>
      </c>
      <c r="G110" s="96">
        <f ca="1">'Інф.до звіту про викон'!F11</f>
        <v>100</v>
      </c>
      <c r="H110" s="96">
        <f ca="1">'Інф.до звіту про викон'!G11</f>
        <v>0</v>
      </c>
    </row>
    <row r="111" spans="1:8">
      <c r="A111" s="33" t="s">
        <v>154</v>
      </c>
      <c r="B111" s="32">
        <v>8004</v>
      </c>
      <c r="C111" s="96">
        <f ca="1">'Інф.до звіту про викон'!B12</f>
        <v>0</v>
      </c>
      <c r="D111" s="114">
        <f t="shared" si="2"/>
        <v>0</v>
      </c>
      <c r="E111" s="96">
        <f ca="1">'Інф.до звіту про викон'!C12</f>
        <v>0</v>
      </c>
      <c r="F111" s="114">
        <f ca="1">'Інф.до звіту про викон'!D12</f>
        <v>0</v>
      </c>
      <c r="G111" s="96">
        <f ca="1">'Інф.до звіту про викон'!F12</f>
        <v>0</v>
      </c>
      <c r="H111" s="96">
        <f ca="1">'Інф.до звіту про викон'!G12</f>
        <v>0</v>
      </c>
    </row>
    <row r="112" spans="1:8">
      <c r="A112" s="33" t="s">
        <v>155</v>
      </c>
      <c r="B112" s="32">
        <v>8005</v>
      </c>
      <c r="C112" s="96">
        <f ca="1">'Інф.до звіту про викон'!B13</f>
        <v>24</v>
      </c>
      <c r="D112" s="114">
        <f t="shared" si="2"/>
        <v>11</v>
      </c>
      <c r="E112" s="96">
        <f ca="1">'Інф.до звіту про викон'!C13</f>
        <v>7</v>
      </c>
      <c r="F112" s="114">
        <f ca="1">'Інф.до звіту про викон'!D13</f>
        <v>11</v>
      </c>
      <c r="G112" s="96">
        <f ca="1">'Інф.до звіту про викон'!F13</f>
        <v>157.14285714285714</v>
      </c>
      <c r="H112" s="96">
        <f ca="1">'Інф.до звіту про викон'!G13</f>
        <v>0</v>
      </c>
    </row>
    <row r="113" spans="1:8">
      <c r="A113" s="33" t="s">
        <v>107</v>
      </c>
      <c r="B113" s="32">
        <v>8010</v>
      </c>
      <c r="C113" s="96">
        <f ca="1">'Інф.до звіту про викон'!B20</f>
        <v>511</v>
      </c>
      <c r="D113" s="114">
        <f t="shared" si="2"/>
        <v>336.59999999999997</v>
      </c>
      <c r="E113" s="96">
        <f ca="1">'Інф.до звіту про викон'!C20</f>
        <v>422.90000000000003</v>
      </c>
      <c r="F113" s="114">
        <f ca="1">'Інф.до звіту про викон'!D20</f>
        <v>336.59999999999997</v>
      </c>
      <c r="G113" s="96">
        <f ca="1">'Інф.до звіту про викон'!F20</f>
        <v>79.593284464412378</v>
      </c>
      <c r="H113" s="96">
        <f ca="1">'Інф.до звіту про викон'!G20</f>
        <v>0</v>
      </c>
    </row>
    <row r="114" spans="1:8" ht="26.4">
      <c r="A114" s="33" t="s">
        <v>263</v>
      </c>
      <c r="B114" s="32">
        <v>8020</v>
      </c>
      <c r="C114" s="96">
        <f ca="1">'Інф.до звіту про викон'!B26</f>
        <v>6.8</v>
      </c>
      <c r="D114" s="114">
        <f t="shared" si="2"/>
        <v>9.3000000000000007</v>
      </c>
      <c r="E114" s="96">
        <f ca="1">'Інф.до звіту про викон'!C26</f>
        <v>17.620833333333334</v>
      </c>
      <c r="F114" s="114">
        <f ca="1">'Інф.до звіту про викон'!D26</f>
        <v>9.3000000000000007</v>
      </c>
      <c r="G114" s="96">
        <f ca="1">'Інф.до звіту про викон'!F26</f>
        <v>52.778434618113032</v>
      </c>
      <c r="H114" s="96">
        <f ca="1">'Інф.до звіту про викон'!G26</f>
        <v>0</v>
      </c>
    </row>
    <row r="115" spans="1:8">
      <c r="A115" s="33" t="s">
        <v>264</v>
      </c>
      <c r="B115" s="32">
        <v>8021</v>
      </c>
      <c r="C115" s="96">
        <f ca="1">'Інф.до звіту про викон'!B27</f>
        <v>0</v>
      </c>
      <c r="D115" s="114">
        <f t="shared" si="2"/>
        <v>0</v>
      </c>
      <c r="E115" s="96">
        <f ca="1">'Інф.до звіту про викон'!C27</f>
        <v>0</v>
      </c>
      <c r="F115" s="114">
        <f ca="1">'Інф.до звіту про викон'!D27</f>
        <v>0</v>
      </c>
      <c r="G115" s="96">
        <f ca="1">'Інф.до звіту про викон'!F27</f>
        <v>0</v>
      </c>
      <c r="H115" s="96">
        <f ca="1">'Інф.до звіту про викон'!G27</f>
        <v>0</v>
      </c>
    </row>
    <row r="116" spans="1:8">
      <c r="A116" s="33" t="s">
        <v>265</v>
      </c>
      <c r="B116" s="32">
        <v>8022</v>
      </c>
      <c r="C116" s="96">
        <f ca="1">'Інф.до звіту про викон'!B28</f>
        <v>0</v>
      </c>
      <c r="D116" s="114">
        <f t="shared" si="2"/>
        <v>0</v>
      </c>
      <c r="E116" s="96">
        <f ca="1">'Інф.до звіту про викон'!C28</f>
        <v>0</v>
      </c>
      <c r="F116" s="114">
        <f ca="1">'Інф.до звіту про викон'!D28</f>
        <v>0</v>
      </c>
      <c r="G116" s="96">
        <f ca="1">'Інф.до звіту про викон'!F28</f>
        <v>0</v>
      </c>
      <c r="H116" s="96">
        <f ca="1">'Інф.до звіту про викон'!G28</f>
        <v>0</v>
      </c>
    </row>
    <row r="117" spans="1:8">
      <c r="A117" s="33" t="s">
        <v>262</v>
      </c>
      <c r="B117" s="32">
        <v>8023</v>
      </c>
      <c r="C117" s="96">
        <f ca="1">'Інф.до звіту про викон'!B29</f>
        <v>17.8</v>
      </c>
      <c r="D117" s="114">
        <f t="shared" si="2"/>
        <v>8.1999999999999993</v>
      </c>
      <c r="E117" s="96">
        <f ca="1">'Інф.до звіту про викон'!C29</f>
        <v>28.1</v>
      </c>
      <c r="F117" s="114">
        <f ca="1">'Інф.до звіту про викон'!D29</f>
        <v>8.1999999999999993</v>
      </c>
      <c r="G117" s="96">
        <f ca="1">'Інф.до звіту про викон'!F29</f>
        <v>29.181494661921704</v>
      </c>
      <c r="H117" s="96">
        <f ca="1">'Інф.до звіту про викон'!G29</f>
        <v>0</v>
      </c>
    </row>
    <row r="118" spans="1:8">
      <c r="A118" s="33" t="s">
        <v>266</v>
      </c>
      <c r="B118" s="32">
        <v>8024</v>
      </c>
      <c r="C118" s="96">
        <f ca="1">'Інф.до звіту про викон'!B33</f>
        <v>0</v>
      </c>
      <c r="D118" s="114">
        <f t="shared" si="2"/>
        <v>0</v>
      </c>
      <c r="E118" s="96">
        <f ca="1">'Інф.до звіту про викон'!C33</f>
        <v>0</v>
      </c>
      <c r="F118" s="114">
        <f ca="1">'Інф.до звіту про викон'!D33</f>
        <v>0</v>
      </c>
      <c r="G118" s="96">
        <f ca="1">'Інф.до звіту про викон'!F33</f>
        <v>0</v>
      </c>
      <c r="H118" s="96">
        <f ca="1">'Інф.до звіту про викон'!G33</f>
        <v>0</v>
      </c>
    </row>
    <row r="119" spans="1:8">
      <c r="A119" s="33" t="s">
        <v>267</v>
      </c>
      <c r="B119" s="32">
        <v>8025</v>
      </c>
      <c r="C119" s="96">
        <f ca="1">'Інф.до звіту про викон'!B34</f>
        <v>6.3</v>
      </c>
      <c r="D119" s="114">
        <f t="shared" si="2"/>
        <v>9.1999999999999993</v>
      </c>
      <c r="E119" s="96">
        <f ca="1">'Інф.до звіту про викон'!C34</f>
        <v>16.100000000000001</v>
      </c>
      <c r="F119" s="114">
        <f ca="1">'Інф.до звіту про викон'!D34</f>
        <v>9.1999999999999993</v>
      </c>
      <c r="G119" s="96">
        <f ca="1">'Інф.до звіту про викон'!F34</f>
        <v>57.142857142857132</v>
      </c>
      <c r="H119" s="96">
        <f ca="1">'Інф.до звіту про викон'!G34</f>
        <v>0</v>
      </c>
    </row>
    <row r="120" spans="1:8" ht="57" customHeight="1">
      <c r="A120" s="35" t="s">
        <v>485</v>
      </c>
      <c r="B120" s="365" t="s">
        <v>56</v>
      </c>
      <c r="C120" s="365"/>
      <c r="D120" s="365"/>
      <c r="E120" s="365"/>
      <c r="F120" s="366" t="s">
        <v>442</v>
      </c>
      <c r="G120" s="367"/>
      <c r="H120" s="368"/>
    </row>
    <row r="121" spans="1:8">
      <c r="A121" s="36" t="s">
        <v>53</v>
      </c>
      <c r="B121" s="364" t="s">
        <v>54</v>
      </c>
      <c r="C121" s="364"/>
      <c r="D121" s="364"/>
      <c r="E121" s="364"/>
      <c r="F121" s="364" t="s">
        <v>482</v>
      </c>
      <c r="G121" s="364"/>
      <c r="H121" s="364"/>
    </row>
  </sheetData>
  <mergeCells count="40">
    <mergeCell ref="A17:H17"/>
    <mergeCell ref="B15:E15"/>
    <mergeCell ref="B16:E16"/>
    <mergeCell ref="A4:E4"/>
    <mergeCell ref="B5:E5"/>
    <mergeCell ref="B6:E6"/>
    <mergeCell ref="B11:E11"/>
    <mergeCell ref="B7:E7"/>
    <mergeCell ref="B8:E8"/>
    <mergeCell ref="B9:E9"/>
    <mergeCell ref="B10:E10"/>
    <mergeCell ref="F12:G12"/>
    <mergeCell ref="F11:G11"/>
    <mergeCell ref="B14:E14"/>
    <mergeCell ref="B13:E13"/>
    <mergeCell ref="B12:E12"/>
    <mergeCell ref="A18:H18"/>
    <mergeCell ref="A19:H19"/>
    <mergeCell ref="I36:J36"/>
    <mergeCell ref="A26:H26"/>
    <mergeCell ref="B23:B24"/>
    <mergeCell ref="A21:H21"/>
    <mergeCell ref="A23:A24"/>
    <mergeCell ref="C23:D23"/>
    <mergeCell ref="E23:H23"/>
    <mergeCell ref="A22:H22"/>
    <mergeCell ref="A71:H71"/>
    <mergeCell ref="A97:H97"/>
    <mergeCell ref="A77:H77"/>
    <mergeCell ref="A20:H20"/>
    <mergeCell ref="A51:H51"/>
    <mergeCell ref="A63:H63"/>
    <mergeCell ref="A83:H83"/>
    <mergeCell ref="A73:H73"/>
    <mergeCell ref="I84:L84"/>
    <mergeCell ref="F121:H121"/>
    <mergeCell ref="B120:E120"/>
    <mergeCell ref="B121:E121"/>
    <mergeCell ref="F120:H120"/>
    <mergeCell ref="A106:H106"/>
  </mergeCells>
  <phoneticPr fontId="0" type="noConversion"/>
  <pageMargins left="0" right="0" top="0.15748031496062992" bottom="0.15748031496062992" header="0.31496062992125984" footer="0.31496062992125984"/>
  <pageSetup paperSize="9" orientation="landscape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G15"/>
  <sheetViews>
    <sheetView workbookViewId="0">
      <selection activeCell="A21" sqref="A21"/>
    </sheetView>
  </sheetViews>
  <sheetFormatPr defaultColWidth="10.69921875" defaultRowHeight="15.6"/>
  <cols>
    <col min="1" max="1" width="54.796875" style="13" customWidth="1"/>
    <col min="2" max="7" width="12.69921875" style="11" customWidth="1"/>
    <col min="8" max="16384" width="10.69921875" style="13"/>
  </cols>
  <sheetData>
    <row r="1" spans="1:7" ht="16.2" thickBot="1"/>
    <row r="2" spans="1:7" ht="16.2" thickBot="1">
      <c r="A2" s="380" t="s">
        <v>172</v>
      </c>
      <c r="B2" s="381"/>
      <c r="C2" s="381"/>
      <c r="D2" s="381"/>
      <c r="E2" s="381"/>
      <c r="F2" s="381"/>
      <c r="G2" s="382"/>
    </row>
    <row r="3" spans="1:7" ht="61.2" customHeight="1" thickBot="1">
      <c r="A3" s="494" t="s">
        <v>173</v>
      </c>
      <c r="B3" s="496" t="s">
        <v>174</v>
      </c>
      <c r="C3" s="419" t="s">
        <v>175</v>
      </c>
      <c r="D3" s="420"/>
      <c r="E3" s="419" t="s">
        <v>176</v>
      </c>
      <c r="F3" s="420"/>
      <c r="G3" s="496" t="s">
        <v>177</v>
      </c>
    </row>
    <row r="4" spans="1:7" ht="16.2" thickBot="1">
      <c r="A4" s="495"/>
      <c r="B4" s="497"/>
      <c r="C4" s="93" t="s">
        <v>20</v>
      </c>
      <c r="D4" s="93" t="s">
        <v>21</v>
      </c>
      <c r="E4" s="93" t="s">
        <v>20</v>
      </c>
      <c r="F4" s="93" t="s">
        <v>21</v>
      </c>
      <c r="G4" s="497"/>
    </row>
    <row r="5" spans="1:7" ht="16.2" thickBot="1">
      <c r="A5" s="6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ht="16.2" thickBot="1">
      <c r="A6" s="3" t="s">
        <v>178</v>
      </c>
      <c r="B6" s="119">
        <v>0</v>
      </c>
      <c r="C6" s="119">
        <v>0</v>
      </c>
      <c r="D6" s="119">
        <v>0</v>
      </c>
      <c r="E6" s="119">
        <v>0</v>
      </c>
      <c r="F6" s="119">
        <v>0</v>
      </c>
      <c r="G6" s="119">
        <v>0</v>
      </c>
    </row>
    <row r="7" spans="1:7" ht="16.2" thickBot="1">
      <c r="A7" s="3" t="s">
        <v>130</v>
      </c>
      <c r="B7" s="119"/>
      <c r="C7" s="119"/>
      <c r="D7" s="119"/>
      <c r="E7" s="119"/>
      <c r="F7" s="119"/>
      <c r="G7" s="119"/>
    </row>
    <row r="8" spans="1:7" ht="16.2" thickBot="1">
      <c r="A8" s="3" t="s">
        <v>179</v>
      </c>
      <c r="B8" s="119">
        <v>0</v>
      </c>
      <c r="C8" s="119">
        <v>0</v>
      </c>
      <c r="D8" s="119">
        <v>0</v>
      </c>
      <c r="E8" s="119">
        <v>0</v>
      </c>
      <c r="F8" s="119">
        <v>0</v>
      </c>
      <c r="G8" s="119">
        <v>0</v>
      </c>
    </row>
    <row r="9" spans="1:7" ht="16.2" thickBot="1">
      <c r="A9" s="3" t="s">
        <v>180</v>
      </c>
      <c r="B9" s="119"/>
      <c r="C9" s="119"/>
      <c r="D9" s="119"/>
      <c r="E9" s="119"/>
      <c r="F9" s="119"/>
      <c r="G9" s="119"/>
    </row>
    <row r="10" spans="1:7" ht="16.2" thickBot="1">
      <c r="A10" s="3"/>
      <c r="B10" s="119">
        <v>0</v>
      </c>
      <c r="C10" s="119">
        <v>0</v>
      </c>
      <c r="D10" s="119">
        <v>0</v>
      </c>
      <c r="E10" s="119">
        <v>0</v>
      </c>
      <c r="F10" s="119">
        <v>0</v>
      </c>
      <c r="G10" s="119">
        <v>0</v>
      </c>
    </row>
    <row r="11" spans="1:7" ht="16.2" thickBot="1">
      <c r="A11" s="3" t="s">
        <v>181</v>
      </c>
      <c r="B11" s="119">
        <v>0</v>
      </c>
      <c r="C11" s="119">
        <v>0</v>
      </c>
      <c r="D11" s="119">
        <v>0</v>
      </c>
      <c r="E11" s="119">
        <v>0</v>
      </c>
      <c r="F11" s="119">
        <v>0</v>
      </c>
      <c r="G11" s="119">
        <v>0</v>
      </c>
    </row>
    <row r="12" spans="1:7" ht="16.2" thickBot="1">
      <c r="A12" s="3" t="s">
        <v>130</v>
      </c>
      <c r="B12" s="119"/>
      <c r="C12" s="119"/>
      <c r="D12" s="119"/>
      <c r="E12" s="119"/>
      <c r="F12" s="119"/>
      <c r="G12" s="119"/>
    </row>
    <row r="13" spans="1:7" ht="16.2" thickBot="1">
      <c r="A13" s="352" t="s">
        <v>111</v>
      </c>
      <c r="B13" s="353">
        <f t="shared" ref="B13:G13" si="0">B6+B8+B11</f>
        <v>0</v>
      </c>
      <c r="C13" s="353">
        <f t="shared" si="0"/>
        <v>0</v>
      </c>
      <c r="D13" s="353">
        <f t="shared" si="0"/>
        <v>0</v>
      </c>
      <c r="E13" s="353">
        <f t="shared" si="0"/>
        <v>0</v>
      </c>
      <c r="F13" s="353">
        <f t="shared" si="0"/>
        <v>0</v>
      </c>
      <c r="G13" s="353">
        <f t="shared" si="0"/>
        <v>0</v>
      </c>
    </row>
    <row r="14" spans="1:7" ht="45" customHeight="1" thickBot="1">
      <c r="A14" s="354" t="s">
        <v>488</v>
      </c>
      <c r="B14" s="498" t="s">
        <v>56</v>
      </c>
      <c r="C14" s="498"/>
      <c r="D14" s="498"/>
      <c r="E14" s="498"/>
      <c r="F14" s="500" t="s">
        <v>481</v>
      </c>
      <c r="G14" s="501"/>
    </row>
    <row r="15" spans="1:7" ht="16.2" thickBot="1">
      <c r="A15" s="355" t="s">
        <v>53</v>
      </c>
      <c r="B15" s="477" t="s">
        <v>54</v>
      </c>
      <c r="C15" s="477"/>
      <c r="D15" s="477"/>
      <c r="E15" s="477"/>
      <c r="F15" s="499" t="s">
        <v>464</v>
      </c>
      <c r="G15" s="499"/>
    </row>
  </sheetData>
  <mergeCells count="10">
    <mergeCell ref="B14:E14"/>
    <mergeCell ref="B15:E15"/>
    <mergeCell ref="F15:G15"/>
    <mergeCell ref="F14:G14"/>
    <mergeCell ref="A2:G2"/>
    <mergeCell ref="A3:A4"/>
    <mergeCell ref="B3:B4"/>
    <mergeCell ref="C3:D3"/>
    <mergeCell ref="E3:F3"/>
    <mergeCell ref="G3:G4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I9"/>
  <sheetViews>
    <sheetView workbookViewId="0">
      <selection activeCell="F14" sqref="F14"/>
    </sheetView>
  </sheetViews>
  <sheetFormatPr defaultColWidth="10.69921875" defaultRowHeight="15.6"/>
  <cols>
    <col min="1" max="1" width="5.19921875" style="11" bestFit="1" customWidth="1"/>
    <col min="2" max="2" width="16.19921875" style="11" customWidth="1"/>
    <col min="3" max="3" width="13.09765625" style="11" customWidth="1"/>
    <col min="4" max="4" width="15.3984375" style="11" customWidth="1"/>
    <col min="5" max="5" width="17.5" style="11" customWidth="1"/>
    <col min="6" max="6" width="15.8984375" style="11" customWidth="1"/>
    <col min="7" max="7" width="14.69921875" style="11" customWidth="1"/>
    <col min="8" max="8" width="17.5" style="11" customWidth="1"/>
    <col min="9" max="9" width="13.59765625" style="11" customWidth="1"/>
    <col min="10" max="16384" width="10.69921875" style="11"/>
  </cols>
  <sheetData>
    <row r="1" spans="1:9" ht="16.2" thickBot="1"/>
    <row r="2" spans="1:9" ht="16.2" thickBot="1">
      <c r="A2" s="380" t="s">
        <v>402</v>
      </c>
      <c r="B2" s="381"/>
      <c r="C2" s="381"/>
      <c r="D2" s="381"/>
      <c r="E2" s="381"/>
      <c r="F2" s="381"/>
      <c r="G2" s="381"/>
      <c r="H2" s="381"/>
      <c r="I2" s="382"/>
    </row>
    <row r="3" spans="1:9" ht="16.5" customHeight="1" thickBot="1">
      <c r="A3" s="502" t="s">
        <v>185</v>
      </c>
      <c r="B3" s="502" t="s">
        <v>186</v>
      </c>
      <c r="C3" s="502" t="s">
        <v>182</v>
      </c>
      <c r="D3" s="502" t="s">
        <v>183</v>
      </c>
      <c r="E3" s="506" t="s">
        <v>184</v>
      </c>
      <c r="F3" s="507"/>
      <c r="G3" s="508"/>
      <c r="H3" s="356" t="s">
        <v>406</v>
      </c>
      <c r="I3" s="357" t="s">
        <v>153</v>
      </c>
    </row>
    <row r="4" spans="1:9" ht="29.25" customHeight="1" thickBot="1">
      <c r="A4" s="418"/>
      <c r="B4" s="418"/>
      <c r="C4" s="418"/>
      <c r="D4" s="418"/>
      <c r="E4" s="68" t="s">
        <v>403</v>
      </c>
      <c r="F4" s="52" t="s">
        <v>404</v>
      </c>
      <c r="G4" s="52" t="s">
        <v>405</v>
      </c>
      <c r="H4" s="56" t="s">
        <v>407</v>
      </c>
      <c r="I4" s="40" t="s">
        <v>407</v>
      </c>
    </row>
    <row r="5" spans="1:9" ht="16.2" thickBot="1">
      <c r="A5" s="19"/>
      <c r="B5" s="4"/>
      <c r="C5" s="4"/>
      <c r="D5" s="4"/>
      <c r="E5" s="4"/>
      <c r="F5" s="4"/>
      <c r="G5" s="4"/>
      <c r="H5" s="4"/>
      <c r="I5" s="4"/>
    </row>
    <row r="6" spans="1:9" ht="16.2" thickBot="1">
      <c r="A6" s="19"/>
      <c r="B6" s="4"/>
      <c r="C6" s="4"/>
      <c r="D6" s="4"/>
      <c r="E6" s="4"/>
      <c r="F6" s="4"/>
      <c r="G6" s="4"/>
      <c r="H6" s="4"/>
      <c r="I6" s="4"/>
    </row>
    <row r="7" spans="1:9" ht="16.2" thickBot="1">
      <c r="A7" s="6"/>
      <c r="B7" s="2"/>
      <c r="C7" s="2"/>
      <c r="D7" s="2"/>
      <c r="E7" s="2"/>
      <c r="F7" s="2"/>
      <c r="G7" s="2"/>
      <c r="H7" s="2"/>
      <c r="I7" s="2"/>
    </row>
    <row r="8" spans="1:9" ht="16.2" thickBot="1">
      <c r="A8" s="6"/>
      <c r="B8" s="2"/>
      <c r="C8" s="2"/>
      <c r="D8" s="2"/>
      <c r="E8" s="2"/>
      <c r="F8" s="2"/>
      <c r="G8" s="2"/>
      <c r="H8" s="2"/>
      <c r="I8" s="2"/>
    </row>
    <row r="9" spans="1:9" ht="16.2" thickBot="1">
      <c r="A9" s="503" t="s">
        <v>111</v>
      </c>
      <c r="B9" s="504"/>
      <c r="C9" s="504"/>
      <c r="D9" s="505"/>
      <c r="E9" s="27"/>
      <c r="F9" s="27"/>
      <c r="G9" s="27"/>
      <c r="H9" s="27"/>
      <c r="I9" s="2"/>
    </row>
  </sheetData>
  <mergeCells count="7">
    <mergeCell ref="A2:I2"/>
    <mergeCell ref="D3:D4"/>
    <mergeCell ref="A9:D9"/>
    <mergeCell ref="A3:A4"/>
    <mergeCell ref="B3:B4"/>
    <mergeCell ref="C3:C4"/>
    <mergeCell ref="E3:G3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M11"/>
  <sheetViews>
    <sheetView workbookViewId="0">
      <selection activeCell="H18" sqref="H18"/>
    </sheetView>
  </sheetViews>
  <sheetFormatPr defaultColWidth="10.69921875" defaultRowHeight="15.6"/>
  <cols>
    <col min="1" max="1" width="5.19921875" style="11" bestFit="1" customWidth="1"/>
    <col min="2" max="3" width="14.19921875" style="11" customWidth="1"/>
    <col min="4" max="4" width="14.69921875" style="11" customWidth="1"/>
    <col min="5" max="5" width="13.59765625" style="11" customWidth="1"/>
    <col min="6" max="6" width="13.5" style="11" customWidth="1"/>
    <col min="7" max="7" width="11.8984375" style="11" customWidth="1"/>
    <col min="8" max="8" width="12.19921875" style="11" customWidth="1"/>
    <col min="9" max="9" width="11.59765625" style="11" customWidth="1"/>
    <col min="10" max="11" width="18.5" style="11" customWidth="1"/>
    <col min="12" max="16384" width="10.69921875" style="11"/>
  </cols>
  <sheetData>
    <row r="1" spans="1:13" ht="16.2" thickBot="1"/>
    <row r="2" spans="1:13" ht="16.2" thickBot="1">
      <c r="A2" s="380" t="s">
        <v>408</v>
      </c>
      <c r="B2" s="381"/>
      <c r="C2" s="381"/>
      <c r="D2" s="381"/>
      <c r="E2" s="381"/>
      <c r="F2" s="381"/>
      <c r="G2" s="381"/>
      <c r="H2" s="381"/>
      <c r="I2" s="381"/>
      <c r="J2" s="382"/>
      <c r="K2" s="20"/>
      <c r="L2" s="20"/>
      <c r="M2" s="21"/>
    </row>
    <row r="3" spans="1:13" ht="16.5" customHeight="1" thickBot="1">
      <c r="A3" s="417" t="s">
        <v>185</v>
      </c>
      <c r="B3" s="417" t="s">
        <v>188</v>
      </c>
      <c r="C3" s="417" t="s">
        <v>186</v>
      </c>
      <c r="D3" s="417" t="s">
        <v>183</v>
      </c>
      <c r="E3" s="417" t="s">
        <v>187</v>
      </c>
      <c r="F3" s="481" t="s">
        <v>184</v>
      </c>
      <c r="G3" s="414"/>
      <c r="H3" s="415"/>
      <c r="I3" s="417" t="s">
        <v>409</v>
      </c>
      <c r="J3" s="417" t="s">
        <v>410</v>
      </c>
      <c r="K3" s="37"/>
    </row>
    <row r="4" spans="1:13" ht="15.75" customHeight="1">
      <c r="A4" s="502"/>
      <c r="B4" s="502"/>
      <c r="C4" s="502"/>
      <c r="D4" s="502"/>
      <c r="E4" s="502"/>
      <c r="F4" s="502" t="s">
        <v>403</v>
      </c>
      <c r="G4" s="502" t="s">
        <v>404</v>
      </c>
      <c r="H4" s="502" t="s">
        <v>405</v>
      </c>
      <c r="I4" s="502"/>
      <c r="J4" s="502"/>
      <c r="K4" s="37"/>
    </row>
    <row r="5" spans="1:13" ht="39" customHeight="1" thickBot="1">
      <c r="A5" s="418"/>
      <c r="B5" s="418"/>
      <c r="C5" s="418"/>
      <c r="D5" s="418"/>
      <c r="E5" s="418"/>
      <c r="F5" s="418"/>
      <c r="G5" s="418"/>
      <c r="H5" s="418"/>
      <c r="I5" s="418"/>
      <c r="J5" s="418"/>
      <c r="K5" s="37"/>
    </row>
    <row r="6" spans="1:13" ht="16.2" thickBot="1">
      <c r="A6" s="6"/>
      <c r="B6" s="2"/>
      <c r="C6" s="2"/>
      <c r="D6" s="2"/>
      <c r="E6" s="2"/>
      <c r="F6" s="2"/>
      <c r="G6" s="2"/>
      <c r="H6" s="2"/>
      <c r="I6" s="2"/>
      <c r="J6" s="2"/>
      <c r="K6" s="37"/>
    </row>
    <row r="7" spans="1:13" ht="16.2" thickBot="1">
      <c r="A7" s="6"/>
      <c r="B7" s="2"/>
      <c r="C7" s="2"/>
      <c r="D7" s="2"/>
      <c r="E7" s="2"/>
      <c r="F7" s="2"/>
      <c r="G7" s="2"/>
      <c r="H7" s="2"/>
      <c r="I7" s="2"/>
      <c r="J7" s="2"/>
      <c r="K7" s="37"/>
    </row>
    <row r="8" spans="1:13" ht="16.2" thickBot="1">
      <c r="A8" s="6"/>
      <c r="B8" s="2"/>
      <c r="C8" s="2"/>
      <c r="D8" s="2"/>
      <c r="E8" s="2"/>
      <c r="F8" s="2"/>
      <c r="G8" s="2"/>
      <c r="H8" s="2"/>
      <c r="I8" s="2"/>
      <c r="J8" s="2"/>
      <c r="K8" s="37"/>
    </row>
    <row r="9" spans="1:13" ht="16.2" thickBot="1">
      <c r="A9" s="6"/>
      <c r="B9" s="2"/>
      <c r="C9" s="2"/>
      <c r="D9" s="2"/>
      <c r="E9" s="2"/>
      <c r="F9" s="2"/>
      <c r="G9" s="2"/>
      <c r="H9" s="2"/>
      <c r="I9" s="2"/>
      <c r="J9" s="2"/>
      <c r="K9" s="37"/>
    </row>
    <row r="10" spans="1:13" ht="16.2" thickBot="1">
      <c r="A10" s="6"/>
      <c r="B10" s="2"/>
      <c r="C10" s="2"/>
      <c r="D10" s="2"/>
      <c r="E10" s="2"/>
      <c r="F10" s="2"/>
      <c r="G10" s="2"/>
      <c r="H10" s="2"/>
      <c r="I10" s="2"/>
      <c r="J10" s="2"/>
      <c r="K10" s="37"/>
    </row>
    <row r="11" spans="1:13" ht="16.2" thickBot="1">
      <c r="A11" s="503" t="s">
        <v>111</v>
      </c>
      <c r="B11" s="504"/>
      <c r="C11" s="504"/>
      <c r="D11" s="504"/>
      <c r="E11" s="504"/>
      <c r="F11" s="504"/>
      <c r="G11" s="504"/>
      <c r="H11" s="504"/>
      <c r="I11" s="504"/>
      <c r="J11" s="505"/>
      <c r="K11" s="67"/>
    </row>
  </sheetData>
  <mergeCells count="13">
    <mergeCell ref="J3:J5"/>
    <mergeCell ref="F4:F5"/>
    <mergeCell ref="G4:G5"/>
    <mergeCell ref="H4:H5"/>
    <mergeCell ref="E3:E5"/>
    <mergeCell ref="F3:H3"/>
    <mergeCell ref="I3:I5"/>
    <mergeCell ref="A2:J2"/>
    <mergeCell ref="A11:J11"/>
    <mergeCell ref="A3:A5"/>
    <mergeCell ref="B3:B5"/>
    <mergeCell ref="C3:C5"/>
    <mergeCell ref="D3:D5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W13"/>
  <sheetViews>
    <sheetView workbookViewId="0">
      <selection activeCell="U20" sqref="U20"/>
    </sheetView>
  </sheetViews>
  <sheetFormatPr defaultColWidth="10.69921875" defaultRowHeight="15.6"/>
  <cols>
    <col min="1" max="1" width="3.69921875" style="11" customWidth="1"/>
    <col min="2" max="2" width="32.3984375" style="11" customWidth="1"/>
    <col min="3" max="22" width="4.69921875" style="11" customWidth="1"/>
    <col min="23" max="23" width="10.69921875" style="348"/>
    <col min="24" max="16384" width="10.69921875" style="11"/>
  </cols>
  <sheetData>
    <row r="1" spans="1:23" ht="16.2" thickBot="1"/>
    <row r="2" spans="1:23" ht="16.2" thickBot="1">
      <c r="A2" s="512" t="s">
        <v>189</v>
      </c>
      <c r="B2" s="512"/>
      <c r="C2" s="512"/>
      <c r="D2" s="512"/>
      <c r="E2" s="512"/>
      <c r="F2" s="512"/>
      <c r="G2" s="512"/>
      <c r="H2" s="512"/>
      <c r="I2" s="512"/>
      <c r="J2" s="512"/>
      <c r="K2" s="512"/>
      <c r="L2" s="512"/>
      <c r="M2" s="512"/>
      <c r="N2" s="512"/>
      <c r="O2" s="512"/>
      <c r="P2" s="512"/>
      <c r="Q2" s="512"/>
      <c r="R2" s="512"/>
      <c r="S2" s="512"/>
      <c r="T2" s="512"/>
      <c r="U2" s="512"/>
      <c r="V2" s="512"/>
      <c r="W2" s="349"/>
    </row>
    <row r="3" spans="1:23" ht="16.2" thickBot="1">
      <c r="A3" s="513" t="s">
        <v>190</v>
      </c>
      <c r="B3" s="513"/>
      <c r="C3" s="513"/>
      <c r="D3" s="513"/>
      <c r="E3" s="513"/>
      <c r="F3" s="513"/>
      <c r="G3" s="513"/>
      <c r="H3" s="513"/>
      <c r="I3" s="513"/>
      <c r="J3" s="513"/>
      <c r="K3" s="513"/>
      <c r="L3" s="513"/>
      <c r="M3" s="513"/>
      <c r="N3" s="513"/>
      <c r="O3" s="513"/>
      <c r="P3" s="513"/>
      <c r="Q3" s="513"/>
      <c r="R3" s="513"/>
      <c r="S3" s="513"/>
      <c r="T3" s="513"/>
      <c r="U3" s="513"/>
      <c r="V3" s="513"/>
      <c r="W3" s="349"/>
    </row>
    <row r="4" spans="1:23" ht="33" customHeight="1" thickBot="1">
      <c r="A4" s="511" t="s">
        <v>185</v>
      </c>
      <c r="B4" s="511" t="s">
        <v>191</v>
      </c>
      <c r="C4" s="511" t="s">
        <v>192</v>
      </c>
      <c r="D4" s="511"/>
      <c r="E4" s="511"/>
      <c r="F4" s="511"/>
      <c r="G4" s="511" t="s">
        <v>193</v>
      </c>
      <c r="H4" s="511"/>
      <c r="I4" s="511"/>
      <c r="J4" s="511"/>
      <c r="K4" s="511" t="s">
        <v>194</v>
      </c>
      <c r="L4" s="511"/>
      <c r="M4" s="511"/>
      <c r="N4" s="511"/>
      <c r="O4" s="511" t="s">
        <v>411</v>
      </c>
      <c r="P4" s="511"/>
      <c r="Q4" s="511"/>
      <c r="R4" s="511"/>
      <c r="S4" s="511" t="s">
        <v>111</v>
      </c>
      <c r="T4" s="511"/>
      <c r="U4" s="511"/>
      <c r="V4" s="511"/>
      <c r="W4" s="349"/>
    </row>
    <row r="5" spans="1:23" ht="58.2" customHeight="1" thickBot="1">
      <c r="A5" s="511"/>
      <c r="B5" s="511"/>
      <c r="C5" s="510" t="s">
        <v>20</v>
      </c>
      <c r="D5" s="510" t="s">
        <v>21</v>
      </c>
      <c r="E5" s="510" t="s">
        <v>22</v>
      </c>
      <c r="F5" s="510" t="s">
        <v>23</v>
      </c>
      <c r="G5" s="510" t="s">
        <v>20</v>
      </c>
      <c r="H5" s="510" t="s">
        <v>21</v>
      </c>
      <c r="I5" s="510" t="s">
        <v>22</v>
      </c>
      <c r="J5" s="510" t="s">
        <v>23</v>
      </c>
      <c r="K5" s="510" t="s">
        <v>20</v>
      </c>
      <c r="L5" s="510" t="s">
        <v>21</v>
      </c>
      <c r="M5" s="510" t="s">
        <v>22</v>
      </c>
      <c r="N5" s="510" t="s">
        <v>23</v>
      </c>
      <c r="O5" s="510" t="s">
        <v>20</v>
      </c>
      <c r="P5" s="510" t="s">
        <v>21</v>
      </c>
      <c r="Q5" s="510" t="s">
        <v>22</v>
      </c>
      <c r="R5" s="510" t="s">
        <v>23</v>
      </c>
      <c r="S5" s="510" t="s">
        <v>20</v>
      </c>
      <c r="T5" s="510" t="s">
        <v>21</v>
      </c>
      <c r="U5" s="510" t="s">
        <v>22</v>
      </c>
      <c r="V5" s="510" t="s">
        <v>23</v>
      </c>
      <c r="W5" s="349"/>
    </row>
    <row r="6" spans="1:23" ht="31.95" customHeight="1" thickBot="1">
      <c r="A6" s="511"/>
      <c r="B6" s="511"/>
      <c r="C6" s="510"/>
      <c r="D6" s="510"/>
      <c r="E6" s="510"/>
      <c r="F6" s="510"/>
      <c r="G6" s="510"/>
      <c r="H6" s="510"/>
      <c r="I6" s="510"/>
      <c r="J6" s="510"/>
      <c r="K6" s="510"/>
      <c r="L6" s="510"/>
      <c r="M6" s="510"/>
      <c r="N6" s="510"/>
      <c r="O6" s="510"/>
      <c r="P6" s="510"/>
      <c r="Q6" s="510"/>
      <c r="R6" s="510"/>
      <c r="S6" s="510"/>
      <c r="T6" s="510"/>
      <c r="U6" s="510"/>
      <c r="V6" s="510"/>
      <c r="W6" s="349"/>
    </row>
    <row r="7" spans="1:23" ht="16.2" thickBot="1">
      <c r="A7" s="350">
        <v>1</v>
      </c>
      <c r="B7" s="350">
        <v>2</v>
      </c>
      <c r="C7" s="350">
        <v>3</v>
      </c>
      <c r="D7" s="350">
        <v>4</v>
      </c>
      <c r="E7" s="350">
        <v>5</v>
      </c>
      <c r="F7" s="350">
        <v>6</v>
      </c>
      <c r="G7" s="350">
        <v>7</v>
      </c>
      <c r="H7" s="350">
        <v>8</v>
      </c>
      <c r="I7" s="350">
        <v>9</v>
      </c>
      <c r="J7" s="350">
        <v>10</v>
      </c>
      <c r="K7" s="350">
        <v>11</v>
      </c>
      <c r="L7" s="350">
        <v>12</v>
      </c>
      <c r="M7" s="350">
        <v>13</v>
      </c>
      <c r="N7" s="350">
        <v>14</v>
      </c>
      <c r="O7" s="350">
        <v>15</v>
      </c>
      <c r="P7" s="350">
        <v>16</v>
      </c>
      <c r="Q7" s="350">
        <v>17</v>
      </c>
      <c r="R7" s="350">
        <v>18</v>
      </c>
      <c r="S7" s="350">
        <v>19</v>
      </c>
      <c r="T7" s="350">
        <v>20</v>
      </c>
      <c r="U7" s="350">
        <v>21</v>
      </c>
      <c r="V7" s="350">
        <v>22</v>
      </c>
      <c r="W7" s="349"/>
    </row>
    <row r="8" spans="1:23" ht="16.2" thickBot="1">
      <c r="A8" s="350">
        <v>1</v>
      </c>
      <c r="B8" s="350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0"/>
      <c r="P8" s="350"/>
      <c r="Q8" s="350"/>
      <c r="R8" s="350"/>
      <c r="S8" s="350"/>
      <c r="T8" s="350"/>
      <c r="U8" s="350"/>
      <c r="V8" s="350"/>
      <c r="W8" s="349"/>
    </row>
    <row r="9" spans="1:23" ht="16.2" thickBot="1">
      <c r="A9" s="350"/>
      <c r="B9" s="350"/>
      <c r="C9" s="350"/>
      <c r="D9" s="350"/>
      <c r="E9" s="350"/>
      <c r="F9" s="350"/>
      <c r="G9" s="350"/>
      <c r="H9" s="350"/>
      <c r="I9" s="350"/>
      <c r="J9" s="350"/>
      <c r="K9" s="350"/>
      <c r="L9" s="350"/>
      <c r="M9" s="350"/>
      <c r="N9" s="350"/>
      <c r="O9" s="350"/>
      <c r="P9" s="350"/>
      <c r="Q9" s="350"/>
      <c r="R9" s="350"/>
      <c r="S9" s="350"/>
      <c r="T9" s="350"/>
      <c r="U9" s="350"/>
      <c r="V9" s="350"/>
      <c r="W9" s="349"/>
    </row>
    <row r="10" spans="1:23" ht="16.2" thickBot="1">
      <c r="A10" s="350"/>
      <c r="B10" s="350"/>
      <c r="C10" s="350"/>
      <c r="D10" s="350"/>
      <c r="E10" s="350"/>
      <c r="F10" s="350"/>
      <c r="G10" s="350"/>
      <c r="H10" s="350"/>
      <c r="I10" s="350"/>
      <c r="J10" s="350"/>
      <c r="K10" s="350"/>
      <c r="L10" s="350"/>
      <c r="M10" s="350"/>
      <c r="N10" s="350"/>
      <c r="O10" s="350"/>
      <c r="P10" s="350"/>
      <c r="Q10" s="350"/>
      <c r="R10" s="350"/>
      <c r="S10" s="350"/>
      <c r="T10" s="350"/>
      <c r="U10" s="350"/>
      <c r="V10" s="350"/>
      <c r="W10" s="349"/>
    </row>
    <row r="11" spans="1:23" ht="16.2" thickBot="1">
      <c r="A11" s="350"/>
      <c r="B11" s="350"/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349"/>
    </row>
    <row r="12" spans="1:23" ht="16.2" thickBot="1">
      <c r="A12" s="509" t="s">
        <v>111</v>
      </c>
      <c r="B12" s="509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349"/>
    </row>
    <row r="13" spans="1:23" ht="16.2" thickBot="1">
      <c r="A13" s="509" t="s">
        <v>195</v>
      </c>
      <c r="B13" s="509"/>
      <c r="C13" s="351"/>
      <c r="D13" s="351"/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0"/>
      <c r="V13" s="350"/>
      <c r="W13" s="349"/>
    </row>
  </sheetData>
  <mergeCells count="31">
    <mergeCell ref="J5:J6"/>
    <mergeCell ref="U5:U6"/>
    <mergeCell ref="Q5:Q6"/>
    <mergeCell ref="N5:N6"/>
    <mergeCell ref="R5:R6"/>
    <mergeCell ref="T5:T6"/>
    <mergeCell ref="A2:V2"/>
    <mergeCell ref="A3:V3"/>
    <mergeCell ref="A4:A6"/>
    <mergeCell ref="B4:B6"/>
    <mergeCell ref="C4:F4"/>
    <mergeCell ref="S4:V4"/>
    <mergeCell ref="G4:J4"/>
    <mergeCell ref="K5:K6"/>
    <mergeCell ref="V5:V6"/>
    <mergeCell ref="S5:S6"/>
    <mergeCell ref="K4:N4"/>
    <mergeCell ref="O4:R4"/>
    <mergeCell ref="P5:P6"/>
    <mergeCell ref="O5:O6"/>
    <mergeCell ref="L5:L6"/>
    <mergeCell ref="M5:M6"/>
    <mergeCell ref="A13:B13"/>
    <mergeCell ref="A12:B12"/>
    <mergeCell ref="C5:C6"/>
    <mergeCell ref="I5:I6"/>
    <mergeCell ref="H5:H6"/>
    <mergeCell ref="G5:G6"/>
    <mergeCell ref="D5:D6"/>
    <mergeCell ref="F5:F6"/>
    <mergeCell ref="E5:E6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enableFormatConditionsCalculation="0">
    <tabColor indexed="46"/>
  </sheetPr>
  <dimension ref="A1:M17"/>
  <sheetViews>
    <sheetView workbookViewId="0">
      <selection activeCell="A3" sqref="A3:M3"/>
    </sheetView>
  </sheetViews>
  <sheetFormatPr defaultColWidth="10.69921875" defaultRowHeight="15.6"/>
  <cols>
    <col min="1" max="1" width="2.69921875" style="11" bestFit="1" customWidth="1"/>
    <col min="2" max="7" width="8.69921875" style="11" customWidth="1"/>
    <col min="8" max="13" width="12.69921875" style="11" customWidth="1"/>
    <col min="14" max="16384" width="10.69921875" style="11"/>
  </cols>
  <sheetData>
    <row r="1" spans="1:13" ht="16.2" thickBot="1"/>
    <row r="2" spans="1:13" ht="16.2" thickBot="1">
      <c r="A2" s="380" t="s">
        <v>196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2"/>
    </row>
    <row r="3" spans="1:13" ht="16.2" thickBot="1">
      <c r="A3" s="514" t="s">
        <v>190</v>
      </c>
      <c r="B3" s="515"/>
      <c r="C3" s="515"/>
      <c r="D3" s="515"/>
      <c r="E3" s="515"/>
      <c r="F3" s="515"/>
      <c r="G3" s="515"/>
      <c r="H3" s="515"/>
      <c r="I3" s="515"/>
      <c r="J3" s="515"/>
      <c r="K3" s="515"/>
      <c r="L3" s="515"/>
      <c r="M3" s="516"/>
    </row>
    <row r="4" spans="1:13" ht="70.5" customHeight="1" thickBot="1">
      <c r="A4" s="417" t="s">
        <v>197</v>
      </c>
      <c r="B4" s="517" t="s">
        <v>191</v>
      </c>
      <c r="C4" s="517" t="s">
        <v>198</v>
      </c>
      <c r="D4" s="517" t="s">
        <v>199</v>
      </c>
      <c r="E4" s="517" t="s">
        <v>200</v>
      </c>
      <c r="F4" s="517" t="s">
        <v>201</v>
      </c>
      <c r="G4" s="380" t="s">
        <v>202</v>
      </c>
      <c r="H4" s="381"/>
      <c r="I4" s="381"/>
      <c r="J4" s="381"/>
      <c r="K4" s="382"/>
      <c r="L4" s="517" t="s">
        <v>203</v>
      </c>
      <c r="M4" s="517" t="s">
        <v>204</v>
      </c>
    </row>
    <row r="5" spans="1:13" ht="33" customHeight="1" thickBot="1">
      <c r="A5" s="502"/>
      <c r="B5" s="518"/>
      <c r="C5" s="518"/>
      <c r="D5" s="518"/>
      <c r="E5" s="518"/>
      <c r="F5" s="518"/>
      <c r="G5" s="517" t="s">
        <v>205</v>
      </c>
      <c r="H5" s="517" t="s">
        <v>206</v>
      </c>
      <c r="I5" s="481" t="s">
        <v>207</v>
      </c>
      <c r="J5" s="414"/>
      <c r="K5" s="415"/>
      <c r="L5" s="518"/>
      <c r="M5" s="518"/>
    </row>
    <row r="6" spans="1:13" ht="64.5" customHeight="1" thickBot="1">
      <c r="A6" s="418"/>
      <c r="B6" s="519"/>
      <c r="C6" s="519"/>
      <c r="D6" s="519"/>
      <c r="E6" s="519"/>
      <c r="F6" s="519"/>
      <c r="G6" s="519"/>
      <c r="H6" s="519"/>
      <c r="I6" s="22" t="s">
        <v>208</v>
      </c>
      <c r="J6" s="22" t="s">
        <v>209</v>
      </c>
      <c r="K6" s="22" t="s">
        <v>210</v>
      </c>
      <c r="L6" s="519"/>
      <c r="M6" s="519"/>
    </row>
    <row r="7" spans="1:13" ht="16.2" thickBot="1">
      <c r="A7" s="6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  <c r="L7" s="2">
        <v>12</v>
      </c>
      <c r="M7" s="2">
        <v>13</v>
      </c>
    </row>
    <row r="8" spans="1:13" ht="16.2" thickBot="1">
      <c r="A8" s="1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6.2" thickBot="1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16.2" thickBot="1">
      <c r="A10" s="6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 ht="16.2" thickBot="1">
      <c r="A11" s="6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6.2" thickBot="1">
      <c r="A12" s="6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6.2" thickBot="1">
      <c r="A13" s="6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16.2" thickBot="1">
      <c r="A14" s="6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6.2" thickBot="1">
      <c r="A15" s="481" t="s">
        <v>111</v>
      </c>
      <c r="B15" s="414"/>
      <c r="C15" s="415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ht="49.95" customHeight="1" thickBot="1">
      <c r="A16" s="527" t="s">
        <v>489</v>
      </c>
      <c r="B16" s="528"/>
      <c r="C16" s="528"/>
      <c r="D16" s="528"/>
      <c r="E16" s="528"/>
      <c r="F16" s="520" t="s">
        <v>462</v>
      </c>
      <c r="G16" s="520"/>
      <c r="H16" s="520"/>
      <c r="I16" s="520"/>
      <c r="J16" s="525" t="s">
        <v>442</v>
      </c>
      <c r="K16" s="525"/>
      <c r="L16" s="525"/>
      <c r="M16" s="526"/>
    </row>
    <row r="17" spans="1:13" ht="19.95" customHeight="1" thickBot="1">
      <c r="A17" s="523" t="s">
        <v>53</v>
      </c>
      <c r="B17" s="524"/>
      <c r="C17" s="524"/>
      <c r="D17" s="524"/>
      <c r="E17" s="524"/>
      <c r="F17" s="414" t="s">
        <v>463</v>
      </c>
      <c r="G17" s="414"/>
      <c r="H17" s="414"/>
      <c r="I17" s="414"/>
      <c r="J17" s="521" t="s">
        <v>464</v>
      </c>
      <c r="K17" s="521"/>
      <c r="L17" s="521"/>
      <c r="M17" s="522"/>
    </row>
  </sheetData>
  <mergeCells count="21">
    <mergeCell ref="J17:M17"/>
    <mergeCell ref="A17:E17"/>
    <mergeCell ref="E4:E6"/>
    <mergeCell ref="J16:M16"/>
    <mergeCell ref="M4:M6"/>
    <mergeCell ref="A16:E16"/>
    <mergeCell ref="H5:H6"/>
    <mergeCell ref="A15:C15"/>
    <mergeCell ref="G5:G6"/>
    <mergeCell ref="F4:F6"/>
    <mergeCell ref="F17:I17"/>
    <mergeCell ref="D4:D6"/>
    <mergeCell ref="F16:I16"/>
    <mergeCell ref="A2:M2"/>
    <mergeCell ref="A3:M3"/>
    <mergeCell ref="A4:A6"/>
    <mergeCell ref="B4:B6"/>
    <mergeCell ref="C4:C6"/>
    <mergeCell ref="G4:K4"/>
    <mergeCell ref="I5:K5"/>
    <mergeCell ref="L4:L6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K137"/>
  <sheetViews>
    <sheetView zoomScale="120" workbookViewId="0">
      <pane xSplit="2" ySplit="6" topLeftCell="C127" activePane="bottomRight" state="frozen"/>
      <selection pane="topRight" activeCell="C1" sqref="C1"/>
      <selection pane="bottomLeft" activeCell="A7" sqref="A7"/>
      <selection pane="bottomRight" activeCell="B137" sqref="B137"/>
    </sheetView>
  </sheetViews>
  <sheetFormatPr defaultColWidth="10.69921875" defaultRowHeight="15.6"/>
  <cols>
    <col min="1" max="1" width="48" style="13" customWidth="1"/>
    <col min="2" max="2" width="8.69921875" style="11" customWidth="1"/>
    <col min="3" max="4" width="10.69921875" style="13"/>
    <col min="5" max="5" width="7.19921875" style="13" customWidth="1"/>
    <col min="6" max="6" width="7.69921875" style="13" customWidth="1"/>
    <col min="7" max="7" width="9.09765625" style="13" customWidth="1"/>
    <col min="8" max="8" width="8.09765625" style="13" customWidth="1"/>
    <col min="9" max="9" width="21.5" style="13" customWidth="1"/>
    <col min="10" max="16384" width="10.69921875" style="13"/>
  </cols>
  <sheetData>
    <row r="1" spans="1:11" ht="16.2" thickBot="1">
      <c r="I1" s="13" t="s">
        <v>269</v>
      </c>
    </row>
    <row r="2" spans="1:11" ht="16.2" thickBot="1">
      <c r="A2" s="380" t="s">
        <v>213</v>
      </c>
      <c r="B2" s="381"/>
      <c r="C2" s="381"/>
      <c r="D2" s="381"/>
      <c r="E2" s="381"/>
      <c r="F2" s="381"/>
      <c r="G2" s="381"/>
      <c r="H2" s="381"/>
      <c r="I2" s="382"/>
    </row>
    <row r="3" spans="1:11" ht="25.95" customHeight="1" thickBot="1">
      <c r="A3" s="417" t="s">
        <v>14</v>
      </c>
      <c r="B3" s="417" t="s">
        <v>15</v>
      </c>
      <c r="C3" s="419" t="s">
        <v>16</v>
      </c>
      <c r="D3" s="420"/>
      <c r="E3" s="419" t="s">
        <v>17</v>
      </c>
      <c r="F3" s="421"/>
      <c r="G3" s="421"/>
      <c r="H3" s="421"/>
      <c r="I3" s="420"/>
    </row>
    <row r="4" spans="1:11" ht="53.4" thickBot="1">
      <c r="A4" s="418"/>
      <c r="B4" s="418"/>
      <c r="C4" s="93" t="s">
        <v>18</v>
      </c>
      <c r="D4" s="93" t="s">
        <v>19</v>
      </c>
      <c r="E4" s="93" t="s">
        <v>20</v>
      </c>
      <c r="F4" s="93" t="s">
        <v>21</v>
      </c>
      <c r="G4" s="93" t="s">
        <v>22</v>
      </c>
      <c r="H4" s="93" t="s">
        <v>23</v>
      </c>
      <c r="I4" s="93" t="s">
        <v>57</v>
      </c>
    </row>
    <row r="5" spans="1:11" ht="16.2" thickBot="1">
      <c r="A5" s="6">
        <v>1</v>
      </c>
      <c r="B5" s="2">
        <v>2</v>
      </c>
      <c r="C5" s="94">
        <v>3</v>
      </c>
      <c r="D5" s="94">
        <v>4</v>
      </c>
      <c r="E5" s="94">
        <v>5</v>
      </c>
      <c r="F5" s="94">
        <v>6</v>
      </c>
      <c r="G5" s="94">
        <v>7</v>
      </c>
      <c r="H5" s="94">
        <v>8</v>
      </c>
      <c r="I5" s="94">
        <v>9</v>
      </c>
    </row>
    <row r="6" spans="1:11" ht="16.2" thickBot="1">
      <c r="A6" s="380" t="s">
        <v>58</v>
      </c>
      <c r="B6" s="381"/>
      <c r="C6" s="381"/>
      <c r="D6" s="381"/>
      <c r="E6" s="381"/>
      <c r="F6" s="381"/>
      <c r="G6" s="381"/>
      <c r="H6" s="381"/>
      <c r="I6" s="382"/>
    </row>
    <row r="7" spans="1:11" ht="34.950000000000003" customHeight="1" thickBot="1">
      <c r="A7" s="79" t="s">
        <v>25</v>
      </c>
      <c r="B7" s="80">
        <v>1000</v>
      </c>
      <c r="C7" s="86">
        <f>43.2</f>
        <v>43.2</v>
      </c>
      <c r="D7" s="86">
        <f>24.7</f>
        <v>24.7</v>
      </c>
      <c r="E7" s="86">
        <v>338.8</v>
      </c>
      <c r="F7" s="86">
        <v>24.7</v>
      </c>
      <c r="G7" s="115">
        <f>F7-E7</f>
        <v>-314.10000000000002</v>
      </c>
      <c r="H7" s="115">
        <f>F7/E7*100</f>
        <v>7.2904368358913816</v>
      </c>
      <c r="I7" s="284" t="s">
        <v>475</v>
      </c>
    </row>
    <row r="8" spans="1:11" ht="25.05" customHeight="1" thickBot="1">
      <c r="A8" s="81" t="s">
        <v>26</v>
      </c>
      <c r="B8" s="82">
        <v>1010</v>
      </c>
      <c r="C8" s="116">
        <f>SUM(C9:C15)+C16</f>
        <v>181.2</v>
      </c>
      <c r="D8" s="116">
        <f>SUM(D9:D15)+D16</f>
        <v>231.60000000000002</v>
      </c>
      <c r="E8" s="116">
        <f>SUM(E9:E15)+E16</f>
        <v>298.20000000000005</v>
      </c>
      <c r="F8" s="116">
        <f>SUM(F9:F15)+F16</f>
        <v>231.60000000000002</v>
      </c>
      <c r="G8" s="116">
        <f>F8-E8</f>
        <v>-66.600000000000023</v>
      </c>
      <c r="H8" s="116">
        <f>F8/E8*100</f>
        <v>77.665995975855125</v>
      </c>
      <c r="I8" s="285" t="s">
        <v>476</v>
      </c>
    </row>
    <row r="9" spans="1:11" ht="16.2" thickBot="1">
      <c r="A9" s="42" t="s">
        <v>270</v>
      </c>
      <c r="B9" s="43">
        <v>1011</v>
      </c>
      <c r="C9" s="167">
        <v>0</v>
      </c>
      <c r="D9" s="274">
        <v>0</v>
      </c>
      <c r="E9" s="88">
        <v>0</v>
      </c>
      <c r="F9" s="88">
        <v>0</v>
      </c>
      <c r="G9" s="110">
        <f>F9-E9</f>
        <v>0</v>
      </c>
      <c r="H9" s="134">
        <v>0</v>
      </c>
      <c r="I9" s="89"/>
      <c r="J9" s="422" t="s">
        <v>480</v>
      </c>
      <c r="K9" s="423"/>
    </row>
    <row r="10" spans="1:11" ht="16.2" thickBot="1">
      <c r="A10" s="42" t="s">
        <v>271</v>
      </c>
      <c r="B10" s="43">
        <v>1012</v>
      </c>
      <c r="C10" s="167">
        <v>0</v>
      </c>
      <c r="D10" s="274">
        <v>0</v>
      </c>
      <c r="E10" s="88">
        <v>0</v>
      </c>
      <c r="F10" s="88">
        <v>0</v>
      </c>
      <c r="G10" s="110">
        <f t="shared" ref="G10:G109" si="0">F10-E10</f>
        <v>0</v>
      </c>
      <c r="H10" s="134">
        <v>0</v>
      </c>
      <c r="I10" s="89"/>
    </row>
    <row r="11" spans="1:11" ht="16.2" thickBot="1">
      <c r="A11" s="42" t="s">
        <v>272</v>
      </c>
      <c r="B11" s="43">
        <v>1013</v>
      </c>
      <c r="C11" s="167">
        <v>0</v>
      </c>
      <c r="D11" s="274">
        <v>0</v>
      </c>
      <c r="E11" s="91">
        <v>21</v>
      </c>
      <c r="F11" s="88">
        <v>0</v>
      </c>
      <c r="G11" s="110">
        <f t="shared" si="0"/>
        <v>-21</v>
      </c>
      <c r="H11" s="110">
        <f>F11/E11*100</f>
        <v>0</v>
      </c>
      <c r="I11" s="89"/>
    </row>
    <row r="12" spans="1:11" ht="25.05" customHeight="1" thickBot="1">
      <c r="A12" s="42" t="s">
        <v>107</v>
      </c>
      <c r="B12" s="43">
        <v>1014</v>
      </c>
      <c r="C12" s="88">
        <f>146.2</f>
        <v>146.19999999999999</v>
      </c>
      <c r="D12" s="272">
        <f>187.1</f>
        <v>187.1</v>
      </c>
      <c r="E12" s="90">
        <v>218.8</v>
      </c>
      <c r="F12" s="88">
        <v>187.1</v>
      </c>
      <c r="G12" s="110">
        <f t="shared" si="0"/>
        <v>-31.700000000000017</v>
      </c>
      <c r="H12" s="110">
        <f>F12/E12*100</f>
        <v>85.511882998171842</v>
      </c>
      <c r="I12" s="286" t="s">
        <v>476</v>
      </c>
    </row>
    <row r="13" spans="1:11" ht="25.05" customHeight="1" thickBot="1">
      <c r="A13" s="42" t="s">
        <v>108</v>
      </c>
      <c r="B13" s="43">
        <v>1015</v>
      </c>
      <c r="C13" s="88">
        <f>32.5</f>
        <v>32.5</v>
      </c>
      <c r="D13" s="272">
        <f>41.2</f>
        <v>41.2</v>
      </c>
      <c r="E13" s="91">
        <v>48.1</v>
      </c>
      <c r="F13" s="88">
        <v>41.2</v>
      </c>
      <c r="G13" s="110">
        <f t="shared" si="0"/>
        <v>-6.8999999999999986</v>
      </c>
      <c r="H13" s="110">
        <f>F13/E13*100</f>
        <v>85.654885654885661</v>
      </c>
      <c r="I13" s="286" t="s">
        <v>476</v>
      </c>
    </row>
    <row r="14" spans="1:11" ht="40.200000000000003" thickBot="1">
      <c r="A14" s="42" t="s">
        <v>273</v>
      </c>
      <c r="B14" s="43">
        <v>1016</v>
      </c>
      <c r="C14" s="88">
        <v>0</v>
      </c>
      <c r="D14" s="274">
        <v>0</v>
      </c>
      <c r="E14" s="88">
        <v>0</v>
      </c>
      <c r="F14" s="88">
        <v>0</v>
      </c>
      <c r="G14" s="110">
        <f t="shared" si="0"/>
        <v>0</v>
      </c>
      <c r="H14" s="134">
        <v>0</v>
      </c>
      <c r="I14" s="89"/>
    </row>
    <row r="15" spans="1:11" ht="16.2" thickBot="1">
      <c r="A15" s="42" t="s">
        <v>274</v>
      </c>
      <c r="B15" s="43">
        <v>1017</v>
      </c>
      <c r="C15" s="193">
        <f>2.5</f>
        <v>2.5</v>
      </c>
      <c r="D15" s="273">
        <f>3</f>
        <v>3</v>
      </c>
      <c r="E15" s="87">
        <v>3</v>
      </c>
      <c r="F15" s="88">
        <v>3</v>
      </c>
      <c r="G15" s="110">
        <f t="shared" si="0"/>
        <v>0</v>
      </c>
      <c r="H15" s="110">
        <f>F15/E15*100</f>
        <v>100</v>
      </c>
      <c r="I15" s="89"/>
    </row>
    <row r="16" spans="1:11" ht="25.05" customHeight="1" thickBot="1">
      <c r="A16" s="152" t="s">
        <v>275</v>
      </c>
      <c r="B16" s="153">
        <v>1018</v>
      </c>
      <c r="C16" s="154">
        <f>SUM(C17:C26)</f>
        <v>0</v>
      </c>
      <c r="D16" s="154">
        <f>SUM(D17:D26)</f>
        <v>0.30000000000000004</v>
      </c>
      <c r="E16" s="155">
        <f>SUM(E17:E26)</f>
        <v>7.3</v>
      </c>
      <c r="F16" s="307">
        <f>SUM(F17:F26)</f>
        <v>0.30000000000000004</v>
      </c>
      <c r="G16" s="116">
        <f t="shared" si="0"/>
        <v>-7</v>
      </c>
      <c r="H16" s="116">
        <f>F16/E16*100</f>
        <v>4.1095890410958908</v>
      </c>
      <c r="I16" s="286" t="s">
        <v>476</v>
      </c>
      <c r="J16" s="103"/>
    </row>
    <row r="17" spans="1:10" ht="16.2" thickBot="1">
      <c r="A17" s="123" t="s">
        <v>432</v>
      </c>
      <c r="B17" s="82"/>
      <c r="C17" s="88">
        <v>0</v>
      </c>
      <c r="D17" s="274">
        <v>0</v>
      </c>
      <c r="E17" s="156">
        <v>0.3</v>
      </c>
      <c r="F17" s="88">
        <v>0</v>
      </c>
      <c r="G17" s="125">
        <f t="shared" ref="G17:G26" si="1">F17-E17</f>
        <v>-0.3</v>
      </c>
      <c r="H17" s="125">
        <f t="shared" ref="H17:H25" si="2">F17/E17*100</f>
        <v>0</v>
      </c>
      <c r="I17" s="89"/>
      <c r="J17" s="103"/>
    </row>
    <row r="18" spans="1:10" ht="16.2" thickBot="1">
      <c r="A18" s="127" t="s">
        <v>433</v>
      </c>
      <c r="B18" s="82"/>
      <c r="C18" s="88">
        <v>0</v>
      </c>
      <c r="D18" s="274">
        <v>0</v>
      </c>
      <c r="E18" s="156">
        <v>0.7</v>
      </c>
      <c r="F18" s="88">
        <v>0</v>
      </c>
      <c r="G18" s="125">
        <f t="shared" si="1"/>
        <v>-0.7</v>
      </c>
      <c r="H18" s="125">
        <f t="shared" si="2"/>
        <v>0</v>
      </c>
      <c r="I18" s="89"/>
      <c r="J18" s="103"/>
    </row>
    <row r="19" spans="1:10" ht="16.2" thickBot="1">
      <c r="A19" s="127" t="s">
        <v>434</v>
      </c>
      <c r="B19" s="82"/>
      <c r="C19" s="88">
        <v>0</v>
      </c>
      <c r="D19" s="274">
        <v>0</v>
      </c>
      <c r="E19" s="157">
        <v>0.3</v>
      </c>
      <c r="F19" s="88">
        <v>0</v>
      </c>
      <c r="G19" s="125">
        <f t="shared" si="1"/>
        <v>-0.3</v>
      </c>
      <c r="H19" s="125">
        <f t="shared" si="2"/>
        <v>0</v>
      </c>
      <c r="I19" s="89"/>
      <c r="J19" s="103"/>
    </row>
    <row r="20" spans="1:10" ht="16.2" thickBot="1">
      <c r="A20" s="127" t="s">
        <v>435</v>
      </c>
      <c r="B20" s="82"/>
      <c r="C20" s="88">
        <v>0</v>
      </c>
      <c r="D20" s="271">
        <f>0.2</f>
        <v>0.2</v>
      </c>
      <c r="E20" s="157">
        <v>2.8</v>
      </c>
      <c r="F20" s="124">
        <v>0.2</v>
      </c>
      <c r="G20" s="125">
        <f t="shared" si="1"/>
        <v>-2.5999999999999996</v>
      </c>
      <c r="H20" s="125">
        <f t="shared" si="2"/>
        <v>7.1428571428571441</v>
      </c>
      <c r="I20" s="89"/>
      <c r="J20" s="103"/>
    </row>
    <row r="21" spans="1:10" ht="16.2" thickBot="1">
      <c r="A21" s="127" t="s">
        <v>436</v>
      </c>
      <c r="B21" s="82"/>
      <c r="C21" s="88">
        <v>0</v>
      </c>
      <c r="D21" s="274">
        <v>0</v>
      </c>
      <c r="E21" s="157">
        <v>0</v>
      </c>
      <c r="F21" s="88">
        <v>0</v>
      </c>
      <c r="G21" s="125">
        <f t="shared" si="1"/>
        <v>0</v>
      </c>
      <c r="H21" s="134">
        <v>0</v>
      </c>
      <c r="I21" s="89"/>
      <c r="J21" s="103"/>
    </row>
    <row r="22" spans="1:10" ht="16.2" thickBot="1">
      <c r="A22" s="127" t="s">
        <v>437</v>
      </c>
      <c r="B22" s="82"/>
      <c r="C22" s="88">
        <v>0</v>
      </c>
      <c r="D22" s="274">
        <v>0</v>
      </c>
      <c r="E22" s="157">
        <v>1.3</v>
      </c>
      <c r="F22" s="88">
        <v>0</v>
      </c>
      <c r="G22" s="125">
        <f t="shared" si="1"/>
        <v>-1.3</v>
      </c>
      <c r="H22" s="125">
        <f t="shared" si="2"/>
        <v>0</v>
      </c>
      <c r="I22" s="89"/>
      <c r="J22" s="103"/>
    </row>
    <row r="23" spans="1:10" ht="16.2" thickBot="1">
      <c r="A23" s="225" t="s">
        <v>438</v>
      </c>
      <c r="B23" s="308"/>
      <c r="C23" s="193">
        <v>0</v>
      </c>
      <c r="D23" s="312">
        <f>0.1</f>
        <v>0.1</v>
      </c>
      <c r="E23" s="309">
        <v>0.2</v>
      </c>
      <c r="F23" s="227">
        <v>0.1</v>
      </c>
      <c r="G23" s="301">
        <f t="shared" si="1"/>
        <v>-0.1</v>
      </c>
      <c r="H23" s="301">
        <f t="shared" si="2"/>
        <v>50</v>
      </c>
      <c r="I23" s="310"/>
      <c r="J23" s="103"/>
    </row>
    <row r="24" spans="1:10" ht="16.2" thickBot="1">
      <c r="A24" s="229" t="s">
        <v>439</v>
      </c>
      <c r="B24" s="318"/>
      <c r="C24" s="319">
        <v>0</v>
      </c>
      <c r="D24" s="320">
        <v>0</v>
      </c>
      <c r="E24" s="91">
        <v>0.9</v>
      </c>
      <c r="F24" s="319">
        <v>0</v>
      </c>
      <c r="G24" s="321">
        <f t="shared" si="1"/>
        <v>-0.9</v>
      </c>
      <c r="H24" s="321">
        <f t="shared" si="2"/>
        <v>0</v>
      </c>
      <c r="I24" s="322"/>
      <c r="J24" s="103"/>
    </row>
    <row r="25" spans="1:10" ht="16.2" thickBot="1">
      <c r="A25" s="229" t="s">
        <v>440</v>
      </c>
      <c r="B25" s="318"/>
      <c r="C25" s="319">
        <v>0</v>
      </c>
      <c r="D25" s="320">
        <v>0</v>
      </c>
      <c r="E25" s="91">
        <v>0.8</v>
      </c>
      <c r="F25" s="319">
        <v>0</v>
      </c>
      <c r="G25" s="321">
        <f t="shared" si="1"/>
        <v>-0.8</v>
      </c>
      <c r="H25" s="321">
        <f t="shared" si="2"/>
        <v>0</v>
      </c>
      <c r="I25" s="322"/>
      <c r="J25" s="103"/>
    </row>
    <row r="26" spans="1:10" ht="16.2" thickBot="1">
      <c r="A26" s="225" t="s">
        <v>441</v>
      </c>
      <c r="B26" s="308"/>
      <c r="C26" s="193">
        <v>0</v>
      </c>
      <c r="D26" s="311">
        <v>0</v>
      </c>
      <c r="E26" s="309">
        <v>0</v>
      </c>
      <c r="F26" s="88">
        <v>0</v>
      </c>
      <c r="G26" s="301">
        <f t="shared" si="1"/>
        <v>0</v>
      </c>
      <c r="H26" s="134">
        <v>0</v>
      </c>
      <c r="I26" s="310"/>
      <c r="J26" s="103"/>
    </row>
    <row r="27" spans="1:10" ht="16.2" thickBot="1">
      <c r="A27" s="44" t="s">
        <v>63</v>
      </c>
      <c r="B27" s="45">
        <v>1020</v>
      </c>
      <c r="C27" s="236">
        <f>C7-C8</f>
        <v>-138</v>
      </c>
      <c r="D27" s="236">
        <f>D7-D8</f>
        <v>-206.90000000000003</v>
      </c>
      <c r="E27" s="236">
        <f>E7-E8</f>
        <v>40.599999999999966</v>
      </c>
      <c r="F27" s="236">
        <f>F7-F8</f>
        <v>-206.90000000000003</v>
      </c>
      <c r="G27" s="236">
        <f t="shared" si="0"/>
        <v>-247.5</v>
      </c>
      <c r="H27" s="236">
        <f>F27/E27*100</f>
        <v>-509.60591133004971</v>
      </c>
      <c r="I27" s="237"/>
      <c r="J27" s="103"/>
    </row>
    <row r="28" spans="1:10" ht="25.05" customHeight="1" thickBot="1">
      <c r="A28" s="234" t="s">
        <v>65</v>
      </c>
      <c r="B28" s="230">
        <v>1030</v>
      </c>
      <c r="C28" s="235">
        <f>SUM(C29:C49)+C50</f>
        <v>603</v>
      </c>
      <c r="D28" s="235">
        <f>SUM(D29:D49)+D50</f>
        <v>327.79999999999995</v>
      </c>
      <c r="E28" s="235">
        <f>SUM(E29:E49)+E50</f>
        <v>515.80000000000007</v>
      </c>
      <c r="F28" s="235">
        <f>SUM(F29:F49)+F50</f>
        <v>327.79999999999995</v>
      </c>
      <c r="G28" s="235">
        <f t="shared" si="0"/>
        <v>-188.00000000000011</v>
      </c>
      <c r="H28" s="235">
        <f>F28/E28*100</f>
        <v>63.551764249709173</v>
      </c>
      <c r="I28" s="287" t="s">
        <v>476</v>
      </c>
    </row>
    <row r="29" spans="1:10" ht="27" thickBot="1">
      <c r="A29" s="42" t="s">
        <v>66</v>
      </c>
      <c r="B29" s="43">
        <v>1031</v>
      </c>
      <c r="C29" s="88">
        <v>0</v>
      </c>
      <c r="D29" s="271">
        <v>0</v>
      </c>
      <c r="E29" s="88">
        <v>0</v>
      </c>
      <c r="F29" s="88">
        <v>0</v>
      </c>
      <c r="G29" s="110">
        <f t="shared" si="0"/>
        <v>0</v>
      </c>
      <c r="H29" s="134">
        <v>0</v>
      </c>
      <c r="I29" s="89"/>
    </row>
    <row r="30" spans="1:10" ht="16.2" thickBot="1">
      <c r="A30" s="48" t="s">
        <v>67</v>
      </c>
      <c r="B30" s="40">
        <v>1032</v>
      </c>
      <c r="C30" s="88">
        <v>0</v>
      </c>
      <c r="D30" s="271">
        <v>0</v>
      </c>
      <c r="E30" s="88">
        <v>0</v>
      </c>
      <c r="F30" s="88">
        <v>0</v>
      </c>
      <c r="G30" s="110">
        <f t="shared" si="0"/>
        <v>0</v>
      </c>
      <c r="H30" s="134">
        <v>0</v>
      </c>
      <c r="I30" s="23"/>
    </row>
    <row r="31" spans="1:10" ht="16.2" thickBot="1">
      <c r="A31" s="48" t="s">
        <v>68</v>
      </c>
      <c r="B31" s="40">
        <v>1033</v>
      </c>
      <c r="C31" s="88">
        <v>0</v>
      </c>
      <c r="D31" s="271">
        <v>0</v>
      </c>
      <c r="E31" s="88">
        <v>0</v>
      </c>
      <c r="F31" s="88">
        <v>0</v>
      </c>
      <c r="G31" s="110">
        <f t="shared" si="0"/>
        <v>0</v>
      </c>
      <c r="H31" s="134">
        <v>0</v>
      </c>
      <c r="I31" s="1"/>
    </row>
    <row r="32" spans="1:10" ht="16.2" thickBot="1">
      <c r="A32" s="48" t="s">
        <v>69</v>
      </c>
      <c r="B32" s="40">
        <v>1034</v>
      </c>
      <c r="C32" s="88">
        <v>0</v>
      </c>
      <c r="D32" s="271">
        <v>0</v>
      </c>
      <c r="E32" s="88">
        <v>0</v>
      </c>
      <c r="F32" s="88">
        <v>0</v>
      </c>
      <c r="G32" s="110">
        <f t="shared" si="0"/>
        <v>0</v>
      </c>
      <c r="H32" s="134">
        <v>0</v>
      </c>
      <c r="I32" s="1"/>
    </row>
    <row r="33" spans="1:9" ht="16.2" thickBot="1">
      <c r="A33" s="48" t="s">
        <v>70</v>
      </c>
      <c r="B33" s="40">
        <v>1035</v>
      </c>
      <c r="C33" s="88">
        <v>0</v>
      </c>
      <c r="D33" s="271">
        <v>0</v>
      </c>
      <c r="E33" s="88">
        <v>0</v>
      </c>
      <c r="F33" s="88">
        <v>0</v>
      </c>
      <c r="G33" s="110">
        <f t="shared" si="0"/>
        <v>0</v>
      </c>
      <c r="H33" s="134">
        <v>0</v>
      </c>
      <c r="I33" s="1"/>
    </row>
    <row r="34" spans="1:9" ht="16.2" thickBot="1">
      <c r="A34" s="48" t="s">
        <v>71</v>
      </c>
      <c r="B34" s="40">
        <v>1036</v>
      </c>
      <c r="C34" s="88">
        <v>0</v>
      </c>
      <c r="D34" s="271">
        <v>0</v>
      </c>
      <c r="E34" s="88">
        <v>0.2</v>
      </c>
      <c r="F34" s="88">
        <v>0</v>
      </c>
      <c r="G34" s="110">
        <f t="shared" si="0"/>
        <v>-0.2</v>
      </c>
      <c r="H34" s="110">
        <f>F34/E34*100</f>
        <v>0</v>
      </c>
      <c r="I34" s="1"/>
    </row>
    <row r="35" spans="1:9" ht="16.2" thickBot="1">
      <c r="A35" s="48" t="s">
        <v>276</v>
      </c>
      <c r="B35" s="40">
        <v>1037</v>
      </c>
      <c r="C35" s="88">
        <v>1</v>
      </c>
      <c r="D35" s="271">
        <f>1</f>
        <v>1</v>
      </c>
      <c r="E35" s="88">
        <v>0.4</v>
      </c>
      <c r="F35" s="88">
        <v>1</v>
      </c>
      <c r="G35" s="110">
        <f t="shared" si="0"/>
        <v>0.6</v>
      </c>
      <c r="H35" s="110">
        <f>F35/E35*100</f>
        <v>250</v>
      </c>
      <c r="I35" s="1"/>
    </row>
    <row r="36" spans="1:9" ht="16.2" thickBot="1">
      <c r="A36" s="48" t="s">
        <v>60</v>
      </c>
      <c r="B36" s="40">
        <v>1038</v>
      </c>
      <c r="C36" s="88">
        <v>364.8</v>
      </c>
      <c r="D36" s="271">
        <f>141.1</f>
        <v>141.1</v>
      </c>
      <c r="E36" s="88">
        <v>204.1</v>
      </c>
      <c r="F36" s="88">
        <v>141.1</v>
      </c>
      <c r="G36" s="110">
        <f t="shared" si="0"/>
        <v>-63</v>
      </c>
      <c r="H36" s="110">
        <f>F36/E36*100</f>
        <v>69.132778049975499</v>
      </c>
      <c r="I36" s="23"/>
    </row>
    <row r="37" spans="1:9" ht="16.2" thickBot="1">
      <c r="A37" s="48" t="s">
        <v>61</v>
      </c>
      <c r="B37" s="40">
        <v>1039</v>
      </c>
      <c r="C37" s="88">
        <v>79.7</v>
      </c>
      <c r="D37" s="271">
        <f>29.7</f>
        <v>29.7</v>
      </c>
      <c r="E37" s="88">
        <v>44.9</v>
      </c>
      <c r="F37" s="88">
        <v>29.7</v>
      </c>
      <c r="G37" s="110">
        <f t="shared" si="0"/>
        <v>-15.2</v>
      </c>
      <c r="H37" s="110">
        <f>F37/E37*100</f>
        <v>66.146993318485528</v>
      </c>
      <c r="I37" s="1"/>
    </row>
    <row r="38" spans="1:9" ht="27" thickBot="1">
      <c r="A38" s="48" t="s">
        <v>72</v>
      </c>
      <c r="B38" s="40">
        <v>1040</v>
      </c>
      <c r="C38" s="88">
        <v>6.8</v>
      </c>
      <c r="D38" s="271">
        <f>6.1</f>
        <v>6.1</v>
      </c>
      <c r="E38" s="88">
        <v>6.3</v>
      </c>
      <c r="F38" s="88">
        <v>6.1</v>
      </c>
      <c r="G38" s="110">
        <f t="shared" si="0"/>
        <v>-0.20000000000000018</v>
      </c>
      <c r="H38" s="110">
        <f>F38/E38*100</f>
        <v>96.825396825396822</v>
      </c>
      <c r="I38" s="23"/>
    </row>
    <row r="39" spans="1:9" ht="27" thickBot="1">
      <c r="A39" s="48" t="s">
        <v>73</v>
      </c>
      <c r="B39" s="40">
        <v>1041</v>
      </c>
      <c r="C39" s="88">
        <v>0</v>
      </c>
      <c r="D39" s="271">
        <v>0</v>
      </c>
      <c r="E39" s="88">
        <v>0</v>
      </c>
      <c r="F39" s="88">
        <v>0</v>
      </c>
      <c r="G39" s="110">
        <f t="shared" si="0"/>
        <v>0</v>
      </c>
      <c r="H39" s="134">
        <v>0</v>
      </c>
      <c r="I39" s="23"/>
    </row>
    <row r="40" spans="1:9" ht="27" thickBot="1">
      <c r="A40" s="48" t="s">
        <v>74</v>
      </c>
      <c r="B40" s="40">
        <v>1042</v>
      </c>
      <c r="C40" s="88">
        <v>0</v>
      </c>
      <c r="D40" s="271">
        <v>0</v>
      </c>
      <c r="E40" s="88">
        <v>0</v>
      </c>
      <c r="F40" s="88">
        <v>0</v>
      </c>
      <c r="G40" s="110">
        <f t="shared" si="0"/>
        <v>0</v>
      </c>
      <c r="H40" s="134">
        <v>0</v>
      </c>
      <c r="I40" s="1"/>
    </row>
    <row r="41" spans="1:9" ht="16.2" thickBot="1">
      <c r="A41" s="48" t="s">
        <v>75</v>
      </c>
      <c r="B41" s="40">
        <v>1043</v>
      </c>
      <c r="C41" s="88">
        <v>0</v>
      </c>
      <c r="D41" s="271">
        <v>0</v>
      </c>
      <c r="E41" s="88">
        <v>0</v>
      </c>
      <c r="F41" s="88">
        <v>0</v>
      </c>
      <c r="G41" s="110">
        <f t="shared" si="0"/>
        <v>0</v>
      </c>
      <c r="H41" s="134">
        <v>0</v>
      </c>
      <c r="I41" s="1"/>
    </row>
    <row r="42" spans="1:9" ht="16.2" thickBot="1">
      <c r="A42" s="48" t="s">
        <v>76</v>
      </c>
      <c r="B42" s="40">
        <v>1044</v>
      </c>
      <c r="C42" s="88">
        <v>0</v>
      </c>
      <c r="D42" s="271">
        <v>0</v>
      </c>
      <c r="E42" s="88">
        <v>0</v>
      </c>
      <c r="F42" s="88">
        <v>0</v>
      </c>
      <c r="G42" s="110">
        <f t="shared" si="0"/>
        <v>0</v>
      </c>
      <c r="H42" s="134">
        <v>0</v>
      </c>
      <c r="I42" s="1"/>
    </row>
    <row r="43" spans="1:9" ht="16.2" thickBot="1">
      <c r="A43" s="48" t="s">
        <v>77</v>
      </c>
      <c r="B43" s="40">
        <v>1045</v>
      </c>
      <c r="C43" s="88">
        <v>0</v>
      </c>
      <c r="D43" s="271">
        <v>0</v>
      </c>
      <c r="E43" s="88">
        <v>0</v>
      </c>
      <c r="F43" s="88">
        <v>0</v>
      </c>
      <c r="G43" s="110">
        <f t="shared" si="0"/>
        <v>0</v>
      </c>
      <c r="H43" s="134">
        <v>0</v>
      </c>
      <c r="I43" s="1"/>
    </row>
    <row r="44" spans="1:9" ht="16.2" thickBot="1">
      <c r="A44" s="48" t="s">
        <v>78</v>
      </c>
      <c r="B44" s="40">
        <v>1046</v>
      </c>
      <c r="C44" s="88">
        <v>0</v>
      </c>
      <c r="D44" s="271">
        <v>0</v>
      </c>
      <c r="E44" s="88">
        <v>0</v>
      </c>
      <c r="F44" s="88">
        <v>0</v>
      </c>
      <c r="G44" s="110">
        <f t="shared" si="0"/>
        <v>0</v>
      </c>
      <c r="H44" s="134">
        <v>0</v>
      </c>
      <c r="I44" s="1"/>
    </row>
    <row r="45" spans="1:9" ht="16.2" thickBot="1">
      <c r="A45" s="48" t="s">
        <v>79</v>
      </c>
      <c r="B45" s="40">
        <v>1047</v>
      </c>
      <c r="C45" s="88">
        <v>0</v>
      </c>
      <c r="D45" s="271">
        <v>0</v>
      </c>
      <c r="E45" s="88">
        <v>0</v>
      </c>
      <c r="F45" s="88">
        <v>0</v>
      </c>
      <c r="G45" s="110">
        <f t="shared" si="0"/>
        <v>0</v>
      </c>
      <c r="H45" s="134">
        <v>0</v>
      </c>
      <c r="I45" s="1"/>
    </row>
    <row r="46" spans="1:9" ht="16.2" thickBot="1">
      <c r="A46" s="48" t="s">
        <v>80</v>
      </c>
      <c r="B46" s="40">
        <v>1048</v>
      </c>
      <c r="C46" s="88">
        <v>0</v>
      </c>
      <c r="D46" s="271">
        <v>0</v>
      </c>
      <c r="E46" s="88">
        <v>0</v>
      </c>
      <c r="F46" s="88">
        <v>0</v>
      </c>
      <c r="G46" s="110">
        <f t="shared" si="0"/>
        <v>0</v>
      </c>
      <c r="H46" s="134">
        <v>0</v>
      </c>
      <c r="I46" s="1"/>
    </row>
    <row r="47" spans="1:9" ht="16.2" thickBot="1">
      <c r="A47" s="48" t="s">
        <v>81</v>
      </c>
      <c r="B47" s="40">
        <v>1049</v>
      </c>
      <c r="C47" s="88">
        <v>0</v>
      </c>
      <c r="D47" s="271">
        <v>0</v>
      </c>
      <c r="E47" s="88">
        <v>0</v>
      </c>
      <c r="F47" s="88">
        <v>0</v>
      </c>
      <c r="G47" s="110">
        <f t="shared" si="0"/>
        <v>0</v>
      </c>
      <c r="H47" s="134">
        <v>0</v>
      </c>
      <c r="I47" s="1"/>
    </row>
    <row r="48" spans="1:9" ht="27" thickBot="1">
      <c r="A48" s="48" t="s">
        <v>277</v>
      </c>
      <c r="B48" s="40">
        <v>1050</v>
      </c>
      <c r="C48" s="88">
        <v>0</v>
      </c>
      <c r="D48" s="271">
        <v>0</v>
      </c>
      <c r="E48" s="88">
        <v>0</v>
      </c>
      <c r="F48" s="88">
        <v>0</v>
      </c>
      <c r="G48" s="110">
        <f t="shared" si="0"/>
        <v>0</v>
      </c>
      <c r="H48" s="134">
        <v>0</v>
      </c>
      <c r="I48" s="1"/>
    </row>
    <row r="49" spans="1:9" ht="16.2" thickBot="1">
      <c r="A49" s="48" t="s">
        <v>82</v>
      </c>
      <c r="B49" s="40" t="s">
        <v>278</v>
      </c>
      <c r="C49" s="88">
        <v>0</v>
      </c>
      <c r="D49" s="271">
        <v>0</v>
      </c>
      <c r="E49" s="88">
        <v>0</v>
      </c>
      <c r="F49" s="88">
        <v>0</v>
      </c>
      <c r="G49" s="110">
        <f t="shared" si="0"/>
        <v>0</v>
      </c>
      <c r="H49" s="134">
        <v>0</v>
      </c>
      <c r="I49" s="1"/>
    </row>
    <row r="50" spans="1:9" ht="25.05" customHeight="1" thickBot="1">
      <c r="A50" s="323" t="s">
        <v>83</v>
      </c>
      <c r="B50" s="226">
        <v>1051</v>
      </c>
      <c r="C50" s="324">
        <f>SUM(C51:C68)</f>
        <v>150.69999999999999</v>
      </c>
      <c r="D50" s="324">
        <f>SUM(D51:D68)</f>
        <v>149.89999999999998</v>
      </c>
      <c r="E50" s="324">
        <f>SUM(E51:E68)</f>
        <v>259.90000000000003</v>
      </c>
      <c r="F50" s="324">
        <f>SUM(F51:F68)</f>
        <v>149.89999999999998</v>
      </c>
      <c r="G50" s="324">
        <f t="shared" si="0"/>
        <v>-110.00000000000006</v>
      </c>
      <c r="H50" s="324">
        <f>F50/E50*100</f>
        <v>57.676029242016149</v>
      </c>
      <c r="I50" s="325" t="s">
        <v>476</v>
      </c>
    </row>
    <row r="51" spans="1:9" ht="16.2" customHeight="1" thickBot="1">
      <c r="A51" s="326" t="s">
        <v>443</v>
      </c>
      <c r="B51" s="327"/>
      <c r="C51" s="328">
        <v>0</v>
      </c>
      <c r="D51" s="329">
        <v>0</v>
      </c>
      <c r="E51" s="319">
        <v>0</v>
      </c>
      <c r="F51" s="319">
        <v>0</v>
      </c>
      <c r="G51" s="147">
        <f t="shared" ref="G51:G68" si="3">F51-E51</f>
        <v>0</v>
      </c>
      <c r="H51" s="303">
        <v>0</v>
      </c>
      <c r="I51" s="330"/>
    </row>
    <row r="52" spans="1:9" ht="16.2" customHeight="1" thickBot="1">
      <c r="A52" s="229" t="s">
        <v>444</v>
      </c>
      <c r="B52" s="327"/>
      <c r="C52" s="328">
        <v>28.5</v>
      </c>
      <c r="D52" s="329">
        <f>15.9</f>
        <v>15.9</v>
      </c>
      <c r="E52" s="328">
        <v>12.6</v>
      </c>
      <c r="F52" s="328">
        <v>15.9</v>
      </c>
      <c r="G52" s="147">
        <f t="shared" si="3"/>
        <v>3.3000000000000007</v>
      </c>
      <c r="H52" s="147">
        <f t="shared" ref="H52:H65" si="4">F52/E52*100</f>
        <v>126.19047619047619</v>
      </c>
      <c r="I52" s="330"/>
    </row>
    <row r="53" spans="1:9" ht="16.2" customHeight="1" thickBot="1">
      <c r="A53" s="127" t="s">
        <v>445</v>
      </c>
      <c r="B53" s="122"/>
      <c r="C53" s="124">
        <v>0</v>
      </c>
      <c r="D53" s="271">
        <f>1.1</f>
        <v>1.1000000000000001</v>
      </c>
      <c r="E53" s="124">
        <v>1.3</v>
      </c>
      <c r="F53" s="124">
        <v>1.1000000000000001</v>
      </c>
      <c r="G53" s="110">
        <f t="shared" si="3"/>
        <v>-0.19999999999999996</v>
      </c>
      <c r="H53" s="110">
        <f t="shared" si="4"/>
        <v>84.615384615384613</v>
      </c>
      <c r="I53" s="126"/>
    </row>
    <row r="54" spans="1:9" ht="16.2" customHeight="1" thickBot="1">
      <c r="A54" s="225" t="s">
        <v>271</v>
      </c>
      <c r="B54" s="226"/>
      <c r="C54" s="227">
        <v>0</v>
      </c>
      <c r="D54" s="271">
        <v>0</v>
      </c>
      <c r="E54" s="227">
        <v>0</v>
      </c>
      <c r="F54" s="88">
        <v>0</v>
      </c>
      <c r="G54" s="145">
        <f t="shared" si="3"/>
        <v>0</v>
      </c>
      <c r="H54" s="134">
        <v>0</v>
      </c>
      <c r="I54" s="228"/>
    </row>
    <row r="55" spans="1:9" ht="16.2" customHeight="1" thickBot="1">
      <c r="A55" s="229" t="s">
        <v>446</v>
      </c>
      <c r="B55" s="230"/>
      <c r="C55" s="238">
        <v>2.1</v>
      </c>
      <c r="D55" s="275">
        <f>1.5</f>
        <v>1.5</v>
      </c>
      <c r="E55" s="238">
        <v>1.1000000000000001</v>
      </c>
      <c r="F55" s="238">
        <v>1.5</v>
      </c>
      <c r="G55" s="236">
        <f t="shared" si="3"/>
        <v>0.39999999999999991</v>
      </c>
      <c r="H55" s="236">
        <f t="shared" si="4"/>
        <v>136.36363636363635</v>
      </c>
      <c r="I55" s="239"/>
    </row>
    <row r="56" spans="1:9" ht="16.2" customHeight="1" thickBot="1">
      <c r="A56" s="229" t="s">
        <v>435</v>
      </c>
      <c r="B56" s="230"/>
      <c r="C56" s="231">
        <v>0.5</v>
      </c>
      <c r="D56" s="276">
        <f>2.3</f>
        <v>2.2999999999999998</v>
      </c>
      <c r="E56" s="231">
        <v>1.7</v>
      </c>
      <c r="F56" s="231">
        <v>2.2999999999999998</v>
      </c>
      <c r="G56" s="232">
        <f t="shared" si="3"/>
        <v>0.59999999999999987</v>
      </c>
      <c r="H56" s="232">
        <f t="shared" si="4"/>
        <v>135.29411764705881</v>
      </c>
      <c r="I56" s="233"/>
    </row>
    <row r="57" spans="1:9" ht="16.2" customHeight="1" thickBot="1">
      <c r="A57" s="127" t="s">
        <v>436</v>
      </c>
      <c r="B57" s="122"/>
      <c r="C57" s="124">
        <v>1</v>
      </c>
      <c r="D57" s="271">
        <f>1</f>
        <v>1</v>
      </c>
      <c r="E57" s="124">
        <v>1</v>
      </c>
      <c r="F57" s="124">
        <v>1</v>
      </c>
      <c r="G57" s="110">
        <f t="shared" si="3"/>
        <v>0</v>
      </c>
      <c r="H57" s="110">
        <f t="shared" si="4"/>
        <v>100</v>
      </c>
      <c r="I57" s="126"/>
    </row>
    <row r="58" spans="1:9" ht="16.2" customHeight="1" thickBot="1">
      <c r="A58" s="123" t="s">
        <v>472</v>
      </c>
      <c r="B58" s="122"/>
      <c r="C58" s="124">
        <v>0.8</v>
      </c>
      <c r="D58" s="271">
        <f>0.5</f>
        <v>0.5</v>
      </c>
      <c r="E58" s="124">
        <v>0.2</v>
      </c>
      <c r="F58" s="124">
        <v>0.5</v>
      </c>
      <c r="G58" s="110">
        <f t="shared" si="3"/>
        <v>0.3</v>
      </c>
      <c r="H58" s="110">
        <f t="shared" si="4"/>
        <v>250</v>
      </c>
      <c r="I58" s="126"/>
    </row>
    <row r="59" spans="1:9" ht="16.2" customHeight="1" thickBot="1">
      <c r="A59" s="127" t="s">
        <v>447</v>
      </c>
      <c r="B59" s="122"/>
      <c r="C59" s="124">
        <v>7.2</v>
      </c>
      <c r="D59" s="271">
        <f>9.1</f>
        <v>9.1</v>
      </c>
      <c r="E59" s="124">
        <v>4.3</v>
      </c>
      <c r="F59" s="124">
        <v>9.1</v>
      </c>
      <c r="G59" s="110">
        <f t="shared" si="3"/>
        <v>4.8</v>
      </c>
      <c r="H59" s="110">
        <f t="shared" si="4"/>
        <v>211.62790697674421</v>
      </c>
      <c r="I59" s="126"/>
    </row>
    <row r="60" spans="1:9" ht="16.2" customHeight="1" thickBot="1">
      <c r="A60" s="127" t="s">
        <v>437</v>
      </c>
      <c r="B60" s="122"/>
      <c r="C60" s="124">
        <v>1.5</v>
      </c>
      <c r="D60" s="271">
        <f>3.1</f>
        <v>3.1</v>
      </c>
      <c r="E60" s="124">
        <v>0.7</v>
      </c>
      <c r="F60" s="124">
        <v>3.1</v>
      </c>
      <c r="G60" s="110">
        <f t="shared" si="3"/>
        <v>2.4000000000000004</v>
      </c>
      <c r="H60" s="110">
        <f t="shared" si="4"/>
        <v>442.85714285714289</v>
      </c>
      <c r="I60" s="126"/>
    </row>
    <row r="61" spans="1:9" ht="16.2" customHeight="1" thickBot="1">
      <c r="A61" s="127" t="s">
        <v>448</v>
      </c>
      <c r="B61" s="122"/>
      <c r="C61" s="124">
        <v>99.9</v>
      </c>
      <c r="D61" s="271">
        <f>112.5</f>
        <v>112.5</v>
      </c>
      <c r="E61" s="124">
        <v>234.6</v>
      </c>
      <c r="F61" s="124">
        <v>112.5</v>
      </c>
      <c r="G61" s="110">
        <f t="shared" si="3"/>
        <v>-122.1</v>
      </c>
      <c r="H61" s="110">
        <f t="shared" si="4"/>
        <v>47.953964194373405</v>
      </c>
      <c r="I61" s="126"/>
    </row>
    <row r="62" spans="1:9" ht="16.2" customHeight="1" thickBot="1">
      <c r="A62" s="127" t="s">
        <v>439</v>
      </c>
      <c r="B62" s="122"/>
      <c r="C62" s="124">
        <v>1.2</v>
      </c>
      <c r="D62" s="271">
        <f>1.2</f>
        <v>1.2</v>
      </c>
      <c r="E62" s="124">
        <v>0.5</v>
      </c>
      <c r="F62" s="124">
        <v>1.2</v>
      </c>
      <c r="G62" s="110">
        <f t="shared" si="3"/>
        <v>0.7</v>
      </c>
      <c r="H62" s="110">
        <f t="shared" si="4"/>
        <v>240</v>
      </c>
      <c r="I62" s="126"/>
    </row>
    <row r="63" spans="1:9" ht="16.2" customHeight="1" thickBot="1">
      <c r="A63" s="127" t="s">
        <v>449</v>
      </c>
      <c r="B63" s="122"/>
      <c r="C63" s="124">
        <v>0</v>
      </c>
      <c r="D63" s="271">
        <v>0</v>
      </c>
      <c r="E63" s="124">
        <v>1.3</v>
      </c>
      <c r="F63" s="88">
        <v>0</v>
      </c>
      <c r="G63" s="110">
        <f t="shared" si="3"/>
        <v>-1.3</v>
      </c>
      <c r="H63" s="110">
        <f t="shared" si="4"/>
        <v>0</v>
      </c>
      <c r="I63" s="126"/>
    </row>
    <row r="64" spans="1:9" ht="16.2" customHeight="1" thickBot="1">
      <c r="A64" s="127" t="s">
        <v>438</v>
      </c>
      <c r="B64" s="122"/>
      <c r="C64" s="124">
        <v>0.3</v>
      </c>
      <c r="D64" s="271">
        <v>0</v>
      </c>
      <c r="E64" s="124">
        <v>0.1</v>
      </c>
      <c r="F64" s="88">
        <v>0</v>
      </c>
      <c r="G64" s="110">
        <f t="shared" si="3"/>
        <v>-0.1</v>
      </c>
      <c r="H64" s="110">
        <f t="shared" si="4"/>
        <v>0</v>
      </c>
      <c r="I64" s="126"/>
    </row>
    <row r="65" spans="1:11" ht="16.2" customHeight="1" thickBot="1">
      <c r="A65" s="127" t="s">
        <v>440</v>
      </c>
      <c r="B65" s="122"/>
      <c r="C65" s="124">
        <v>1.1000000000000001</v>
      </c>
      <c r="D65" s="271">
        <f>1.1</f>
        <v>1.1000000000000001</v>
      </c>
      <c r="E65" s="124">
        <v>0.5</v>
      </c>
      <c r="F65" s="124">
        <v>1.1000000000000001</v>
      </c>
      <c r="G65" s="110">
        <f t="shared" si="3"/>
        <v>0.60000000000000009</v>
      </c>
      <c r="H65" s="110">
        <f t="shared" si="4"/>
        <v>220.00000000000003</v>
      </c>
      <c r="I65" s="126"/>
    </row>
    <row r="66" spans="1:11" ht="16.2" customHeight="1" thickBot="1">
      <c r="A66" s="195" t="s">
        <v>469</v>
      </c>
      <c r="B66" s="122"/>
      <c r="C66" s="124">
        <v>0.7</v>
      </c>
      <c r="D66" s="271">
        <v>0</v>
      </c>
      <c r="E66" s="124">
        <v>0</v>
      </c>
      <c r="F66" s="88">
        <v>0</v>
      </c>
      <c r="G66" s="110">
        <f t="shared" si="3"/>
        <v>0</v>
      </c>
      <c r="H66" s="134">
        <v>0</v>
      </c>
      <c r="I66" s="126"/>
    </row>
    <row r="67" spans="1:11" ht="16.2" customHeight="1" thickBot="1">
      <c r="A67" s="127" t="s">
        <v>468</v>
      </c>
      <c r="B67" s="122"/>
      <c r="C67" s="124">
        <v>2.4</v>
      </c>
      <c r="D67" s="271">
        <v>0</v>
      </c>
      <c r="E67" s="88">
        <v>0</v>
      </c>
      <c r="F67" s="88">
        <v>0</v>
      </c>
      <c r="G67" s="134">
        <v>0</v>
      </c>
      <c r="H67" s="134">
        <v>0</v>
      </c>
      <c r="I67" s="126"/>
    </row>
    <row r="68" spans="1:11" ht="16.05" customHeight="1" thickBot="1">
      <c r="A68" s="123" t="s">
        <v>473</v>
      </c>
      <c r="B68" s="122"/>
      <c r="C68" s="124">
        <v>3.5</v>
      </c>
      <c r="D68" s="271">
        <f>0.6</f>
        <v>0.6</v>
      </c>
      <c r="E68" s="124">
        <v>0</v>
      </c>
      <c r="F68" s="124">
        <v>0.6</v>
      </c>
      <c r="G68" s="110">
        <f t="shared" si="3"/>
        <v>0.6</v>
      </c>
      <c r="H68" s="134">
        <v>0</v>
      </c>
      <c r="I68" s="126"/>
    </row>
    <row r="69" spans="1:11" ht="16.2" thickBot="1">
      <c r="A69" s="141" t="s">
        <v>84</v>
      </c>
      <c r="B69" s="84">
        <v>1060</v>
      </c>
      <c r="C69" s="142">
        <v>0</v>
      </c>
      <c r="D69" s="142">
        <v>0</v>
      </c>
      <c r="E69" s="142">
        <v>0</v>
      </c>
      <c r="F69" s="142">
        <v>0</v>
      </c>
      <c r="G69" s="117">
        <f t="shared" si="0"/>
        <v>0</v>
      </c>
      <c r="H69" s="142">
        <v>0</v>
      </c>
      <c r="I69" s="143"/>
      <c r="J69" s="424" t="s">
        <v>453</v>
      </c>
      <c r="K69" s="425"/>
    </row>
    <row r="70" spans="1:11" ht="16.2" thickBot="1">
      <c r="A70" s="83" t="s">
        <v>85</v>
      </c>
      <c r="B70" s="85">
        <v>1061</v>
      </c>
      <c r="C70" s="142">
        <v>0</v>
      </c>
      <c r="D70" s="142">
        <v>0</v>
      </c>
      <c r="E70" s="142">
        <v>0</v>
      </c>
      <c r="F70" s="142">
        <v>0</v>
      </c>
      <c r="G70" s="117">
        <f t="shared" si="0"/>
        <v>0</v>
      </c>
      <c r="H70" s="142">
        <v>0</v>
      </c>
      <c r="I70" s="143"/>
    </row>
    <row r="71" spans="1:11" ht="16.2" thickBot="1">
      <c r="A71" s="83" t="s">
        <v>86</v>
      </c>
      <c r="B71" s="85">
        <v>1062</v>
      </c>
      <c r="C71" s="142">
        <v>0</v>
      </c>
      <c r="D71" s="142">
        <v>0</v>
      </c>
      <c r="E71" s="142">
        <v>0</v>
      </c>
      <c r="F71" s="142">
        <v>0</v>
      </c>
      <c r="G71" s="117">
        <f t="shared" si="0"/>
        <v>0</v>
      </c>
      <c r="H71" s="142">
        <v>0</v>
      </c>
      <c r="I71" s="143"/>
    </row>
    <row r="72" spans="1:11" ht="16.2" thickBot="1">
      <c r="A72" s="83" t="s">
        <v>60</v>
      </c>
      <c r="B72" s="85">
        <v>1063</v>
      </c>
      <c r="C72" s="142">
        <v>0</v>
      </c>
      <c r="D72" s="142">
        <v>0</v>
      </c>
      <c r="E72" s="142">
        <v>0</v>
      </c>
      <c r="F72" s="142">
        <v>0</v>
      </c>
      <c r="G72" s="117">
        <f t="shared" si="0"/>
        <v>0</v>
      </c>
      <c r="H72" s="142">
        <v>0</v>
      </c>
      <c r="I72" s="143"/>
    </row>
    <row r="73" spans="1:11" ht="16.2" thickBot="1">
      <c r="A73" s="83" t="s">
        <v>61</v>
      </c>
      <c r="B73" s="85">
        <v>1064</v>
      </c>
      <c r="C73" s="142">
        <v>0</v>
      </c>
      <c r="D73" s="142">
        <v>0</v>
      </c>
      <c r="E73" s="142">
        <v>0</v>
      </c>
      <c r="F73" s="142">
        <v>0</v>
      </c>
      <c r="G73" s="117">
        <f t="shared" si="0"/>
        <v>0</v>
      </c>
      <c r="H73" s="142">
        <v>0</v>
      </c>
      <c r="I73" s="143"/>
    </row>
    <row r="74" spans="1:11" ht="16.2" thickBot="1">
      <c r="A74" s="83" t="s">
        <v>62</v>
      </c>
      <c r="B74" s="85">
        <v>1065</v>
      </c>
      <c r="C74" s="142">
        <v>0</v>
      </c>
      <c r="D74" s="142">
        <v>0</v>
      </c>
      <c r="E74" s="142">
        <v>0</v>
      </c>
      <c r="F74" s="142">
        <v>0</v>
      </c>
      <c r="G74" s="117">
        <f t="shared" si="0"/>
        <v>0</v>
      </c>
      <c r="H74" s="142">
        <v>0</v>
      </c>
      <c r="I74" s="143"/>
    </row>
    <row r="75" spans="1:11" ht="16.2" thickBot="1">
      <c r="A75" s="83" t="s">
        <v>87</v>
      </c>
      <c r="B75" s="85">
        <v>1066</v>
      </c>
      <c r="C75" s="142">
        <v>0</v>
      </c>
      <c r="D75" s="142">
        <v>0</v>
      </c>
      <c r="E75" s="142">
        <v>0</v>
      </c>
      <c r="F75" s="142">
        <v>0</v>
      </c>
      <c r="G75" s="117">
        <f t="shared" si="0"/>
        <v>0</v>
      </c>
      <c r="H75" s="142">
        <v>0</v>
      </c>
      <c r="I75" s="143"/>
    </row>
    <row r="76" spans="1:11" ht="16.2" thickBot="1">
      <c r="A76" s="83" t="s">
        <v>88</v>
      </c>
      <c r="B76" s="85">
        <v>1067</v>
      </c>
      <c r="C76" s="142">
        <v>0</v>
      </c>
      <c r="D76" s="142">
        <v>0</v>
      </c>
      <c r="E76" s="142">
        <v>0</v>
      </c>
      <c r="F76" s="142">
        <v>0</v>
      </c>
      <c r="G76" s="117">
        <f t="shared" si="0"/>
        <v>0</v>
      </c>
      <c r="H76" s="142">
        <v>0</v>
      </c>
      <c r="I76" s="143"/>
    </row>
    <row r="77" spans="1:11" ht="34.950000000000003" customHeight="1" thickBot="1">
      <c r="A77" s="128" t="s">
        <v>279</v>
      </c>
      <c r="B77" s="129">
        <v>1070</v>
      </c>
      <c r="C77" s="115">
        <f>SUM(C78:C83)</f>
        <v>228.9</v>
      </c>
      <c r="D77" s="115">
        <f>SUM(D78:D84)</f>
        <v>51.5</v>
      </c>
      <c r="E77" s="115">
        <f>SUM(E78:E84)</f>
        <v>64.100000000000009</v>
      </c>
      <c r="F77" s="115">
        <f>SUM(F78:F84)</f>
        <v>51.5</v>
      </c>
      <c r="G77" s="115">
        <f t="shared" si="0"/>
        <v>-12.600000000000009</v>
      </c>
      <c r="H77" s="115">
        <f>F77/E77*100</f>
        <v>80.343213728549131</v>
      </c>
      <c r="I77" s="284" t="s">
        <v>477</v>
      </c>
    </row>
    <row r="78" spans="1:11" ht="16.2" thickBot="1">
      <c r="A78" s="127" t="s">
        <v>64</v>
      </c>
      <c r="B78" s="130">
        <v>1071</v>
      </c>
      <c r="C78" s="131">
        <v>0</v>
      </c>
      <c r="D78" s="131">
        <v>0</v>
      </c>
      <c r="E78" s="131">
        <v>0</v>
      </c>
      <c r="F78" s="131">
        <v>0</v>
      </c>
      <c r="G78" s="125">
        <f t="shared" si="0"/>
        <v>0</v>
      </c>
      <c r="H78" s="131">
        <v>0</v>
      </c>
      <c r="I78" s="132"/>
    </row>
    <row r="79" spans="1:11" ht="16.2" thickBot="1">
      <c r="A79" s="42" t="s">
        <v>280</v>
      </c>
      <c r="B79" s="43">
        <v>1072</v>
      </c>
      <c r="C79" s="131">
        <v>0</v>
      </c>
      <c r="D79" s="131">
        <v>0</v>
      </c>
      <c r="E79" s="131">
        <v>0</v>
      </c>
      <c r="F79" s="131">
        <v>0</v>
      </c>
      <c r="G79" s="110">
        <f t="shared" si="0"/>
        <v>0</v>
      </c>
      <c r="H79" s="134">
        <v>0</v>
      </c>
      <c r="I79" s="1"/>
    </row>
    <row r="80" spans="1:11" ht="16.2" thickBot="1">
      <c r="A80" s="166" t="s">
        <v>467</v>
      </c>
      <c r="B80" s="133"/>
      <c r="C80" s="131">
        <v>115.5</v>
      </c>
      <c r="D80" s="131">
        <f>50.2</f>
        <v>50.2</v>
      </c>
      <c r="E80" s="131">
        <v>63.7</v>
      </c>
      <c r="F80" s="131">
        <v>50.2</v>
      </c>
      <c r="G80" s="110">
        <f>F80-E80</f>
        <v>-13.5</v>
      </c>
      <c r="H80" s="110">
        <f>F80/E80*100</f>
        <v>78.80690737833595</v>
      </c>
      <c r="I80" s="1"/>
    </row>
    <row r="81" spans="1:11" ht="16.2" thickBot="1">
      <c r="A81" s="294" t="s">
        <v>450</v>
      </c>
      <c r="B81" s="313"/>
      <c r="C81" s="314">
        <v>14</v>
      </c>
      <c r="D81" s="314">
        <f>0.4</f>
        <v>0.4</v>
      </c>
      <c r="E81" s="314">
        <v>0.4</v>
      </c>
      <c r="F81" s="314">
        <v>0.4</v>
      </c>
      <c r="G81" s="145">
        <f>F81-E81</f>
        <v>0</v>
      </c>
      <c r="H81" s="145">
        <f>F81/E81*100</f>
        <v>100</v>
      </c>
      <c r="I81" s="53"/>
    </row>
    <row r="82" spans="1:11" ht="16.2" thickBot="1">
      <c r="A82" s="253" t="s">
        <v>451</v>
      </c>
      <c r="B82" s="331"/>
      <c r="C82" s="332">
        <v>2</v>
      </c>
      <c r="D82" s="332">
        <f>0.9</f>
        <v>0.9</v>
      </c>
      <c r="E82" s="332">
        <v>0</v>
      </c>
      <c r="F82" s="332">
        <v>0.9</v>
      </c>
      <c r="G82" s="147">
        <f>F82-E82</f>
        <v>0.9</v>
      </c>
      <c r="H82" s="303">
        <v>0</v>
      </c>
      <c r="I82" s="333"/>
    </row>
    <row r="83" spans="1:11" ht="16.2" thickBot="1">
      <c r="A83" s="334" t="s">
        <v>484</v>
      </c>
      <c r="B83" s="331"/>
      <c r="C83" s="332">
        <v>97.4</v>
      </c>
      <c r="D83" s="332">
        <v>0</v>
      </c>
      <c r="E83" s="332">
        <v>0</v>
      </c>
      <c r="F83" s="332">
        <v>0</v>
      </c>
      <c r="G83" s="147">
        <f>F83-E83</f>
        <v>0</v>
      </c>
      <c r="H83" s="303">
        <v>0</v>
      </c>
      <c r="I83" s="333"/>
    </row>
    <row r="84" spans="1:11" ht="16.2" thickBot="1">
      <c r="A84" s="141" t="s">
        <v>281</v>
      </c>
      <c r="B84" s="84">
        <v>1073</v>
      </c>
      <c r="C84" s="241">
        <v>0</v>
      </c>
      <c r="D84" s="241">
        <v>0</v>
      </c>
      <c r="E84" s="241">
        <v>0</v>
      </c>
      <c r="F84" s="241">
        <v>0</v>
      </c>
      <c r="G84" s="241">
        <f t="shared" si="0"/>
        <v>0</v>
      </c>
      <c r="H84" s="241">
        <v>0</v>
      </c>
      <c r="I84" s="315"/>
      <c r="J84" s="426" t="s">
        <v>453</v>
      </c>
      <c r="K84" s="425"/>
    </row>
    <row r="85" spans="1:11" ht="16.2" customHeight="1" thickBot="1">
      <c r="A85" s="83" t="s">
        <v>89</v>
      </c>
      <c r="B85" s="85">
        <v>1080</v>
      </c>
      <c r="C85" s="142">
        <v>0</v>
      </c>
      <c r="D85" s="142">
        <v>0</v>
      </c>
      <c r="E85" s="142">
        <v>0</v>
      </c>
      <c r="F85" s="142">
        <v>0</v>
      </c>
      <c r="G85" s="117">
        <f t="shared" si="0"/>
        <v>0</v>
      </c>
      <c r="H85" s="117">
        <v>0</v>
      </c>
      <c r="I85" s="1"/>
    </row>
    <row r="86" spans="1:11" ht="16.2" thickBot="1">
      <c r="A86" s="218" t="s">
        <v>64</v>
      </c>
      <c r="B86" s="219">
        <v>1081</v>
      </c>
      <c r="C86" s="220">
        <v>0</v>
      </c>
      <c r="D86" s="220">
        <v>0</v>
      </c>
      <c r="E86" s="220">
        <v>0</v>
      </c>
      <c r="F86" s="220">
        <v>0</v>
      </c>
      <c r="G86" s="221">
        <f t="shared" si="0"/>
        <v>0</v>
      </c>
      <c r="H86" s="117">
        <v>0</v>
      </c>
      <c r="I86" s="53"/>
    </row>
    <row r="87" spans="1:11" ht="16.2" thickBot="1">
      <c r="A87" s="141" t="s">
        <v>282</v>
      </c>
      <c r="B87" s="84">
        <v>1082</v>
      </c>
      <c r="C87" s="240">
        <v>0</v>
      </c>
      <c r="D87" s="240">
        <v>0</v>
      </c>
      <c r="E87" s="240">
        <v>0</v>
      </c>
      <c r="F87" s="240">
        <v>0</v>
      </c>
      <c r="G87" s="241">
        <f t="shared" si="0"/>
        <v>0</v>
      </c>
      <c r="H87" s="117">
        <v>0</v>
      </c>
      <c r="I87" s="242"/>
    </row>
    <row r="88" spans="1:11" ht="16.2" thickBot="1">
      <c r="A88" s="141" t="s">
        <v>90</v>
      </c>
      <c r="B88" s="84">
        <v>1083</v>
      </c>
      <c r="C88" s="222">
        <v>0</v>
      </c>
      <c r="D88" s="222">
        <v>0</v>
      </c>
      <c r="E88" s="222">
        <v>0</v>
      </c>
      <c r="F88" s="222">
        <v>0</v>
      </c>
      <c r="G88" s="223">
        <f t="shared" si="0"/>
        <v>0</v>
      </c>
      <c r="H88" s="117">
        <v>0</v>
      </c>
      <c r="I88" s="224"/>
    </row>
    <row r="89" spans="1:11" ht="16.2" thickBot="1">
      <c r="A89" s="83" t="s">
        <v>91</v>
      </c>
      <c r="B89" s="85">
        <v>1084</v>
      </c>
      <c r="C89" s="142">
        <v>0</v>
      </c>
      <c r="D89" s="142">
        <v>0</v>
      </c>
      <c r="E89" s="142">
        <v>0</v>
      </c>
      <c r="F89" s="142">
        <v>0</v>
      </c>
      <c r="G89" s="117">
        <f t="shared" si="0"/>
        <v>0</v>
      </c>
      <c r="H89" s="117">
        <v>0</v>
      </c>
      <c r="I89" s="1"/>
    </row>
    <row r="90" spans="1:11" ht="16.2" thickBot="1">
      <c r="A90" s="83" t="s">
        <v>92</v>
      </c>
      <c r="B90" s="85">
        <v>1085</v>
      </c>
      <c r="C90" s="142">
        <v>0</v>
      </c>
      <c r="D90" s="142">
        <v>0</v>
      </c>
      <c r="E90" s="142">
        <v>0</v>
      </c>
      <c r="F90" s="142">
        <v>0</v>
      </c>
      <c r="G90" s="117">
        <f t="shared" si="0"/>
        <v>0</v>
      </c>
      <c r="H90" s="117">
        <v>0</v>
      </c>
      <c r="I90" s="1"/>
    </row>
    <row r="91" spans="1:11" ht="19.95" customHeight="1" thickBot="1">
      <c r="A91" s="197" t="s">
        <v>283</v>
      </c>
      <c r="B91" s="130">
        <v>1086</v>
      </c>
      <c r="C91" s="196">
        <f>SUM(C92:C93)</f>
        <v>67.2</v>
      </c>
      <c r="D91" s="196">
        <f>SUM(D92:D93)</f>
        <v>22.7</v>
      </c>
      <c r="E91" s="196">
        <f>SUM(E92:E93)</f>
        <v>3.8</v>
      </c>
      <c r="F91" s="196">
        <f>SUM(F92:F93)</f>
        <v>22.7</v>
      </c>
      <c r="G91" s="125">
        <f t="shared" si="0"/>
        <v>18.899999999999999</v>
      </c>
      <c r="H91" s="125">
        <f>F91/E91*100</f>
        <v>597.36842105263156</v>
      </c>
      <c r="I91" s="288" t="s">
        <v>478</v>
      </c>
    </row>
    <row r="92" spans="1:11" ht="16.2" thickBot="1">
      <c r="A92" s="194" t="s">
        <v>470</v>
      </c>
      <c r="B92" s="130"/>
      <c r="C92" s="131">
        <v>10</v>
      </c>
      <c r="D92" s="131">
        <v>0</v>
      </c>
      <c r="E92" s="131">
        <v>0</v>
      </c>
      <c r="F92" s="131">
        <v>0</v>
      </c>
      <c r="G92" s="125">
        <f>F92-E92</f>
        <v>0</v>
      </c>
      <c r="H92" s="125">
        <v>0</v>
      </c>
      <c r="I92" s="1"/>
    </row>
    <row r="93" spans="1:11" ht="53.4" thickBot="1">
      <c r="A93" s="194" t="s">
        <v>474</v>
      </c>
      <c r="B93" s="130"/>
      <c r="C93" s="131">
        <v>57.2</v>
      </c>
      <c r="D93" s="131">
        <f>22.7</f>
        <v>22.7</v>
      </c>
      <c r="E93" s="131">
        <v>3.8</v>
      </c>
      <c r="F93" s="131">
        <v>22.7</v>
      </c>
      <c r="G93" s="110">
        <f>F93-E93</f>
        <v>18.899999999999999</v>
      </c>
      <c r="H93" s="110">
        <f>F93/E93*100</f>
        <v>597.36842105263156</v>
      </c>
      <c r="I93" s="288" t="s">
        <v>478</v>
      </c>
    </row>
    <row r="94" spans="1:11" ht="16.2" thickBot="1">
      <c r="A94" s="199" t="s">
        <v>30</v>
      </c>
      <c r="B94" s="45">
        <v>1100</v>
      </c>
      <c r="C94" s="111">
        <f>C7+C77+C101-C8-C28-C91</f>
        <v>-568.19999999999993</v>
      </c>
      <c r="D94" s="111">
        <f>D7+D77+D101-D8-D28-D91</f>
        <v>-485.7</v>
      </c>
      <c r="E94" s="111">
        <f>E7+E77+E101-E8-E28</f>
        <v>-411.10000000000008</v>
      </c>
      <c r="F94" s="111">
        <f>F7+F77+F101-F8-F28-F91</f>
        <v>-485.7</v>
      </c>
      <c r="G94" s="110">
        <f t="shared" si="0"/>
        <v>-74.599999999999909</v>
      </c>
      <c r="H94" s="110">
        <f>F94/E94*100</f>
        <v>118.14643639017268</v>
      </c>
      <c r="I94" s="1"/>
    </row>
    <row r="95" spans="1:11" ht="16.2" thickBot="1">
      <c r="A95" s="83" t="s">
        <v>93</v>
      </c>
      <c r="B95" s="85">
        <v>1110</v>
      </c>
      <c r="C95" s="92">
        <v>0</v>
      </c>
      <c r="D95" s="92">
        <v>0</v>
      </c>
      <c r="E95" s="92">
        <v>0</v>
      </c>
      <c r="F95" s="92">
        <v>0</v>
      </c>
      <c r="G95" s="117">
        <f t="shared" si="0"/>
        <v>0</v>
      </c>
      <c r="H95" s="117">
        <v>0</v>
      </c>
      <c r="I95" s="1"/>
      <c r="J95" s="424" t="s">
        <v>453</v>
      </c>
      <c r="K95" s="425"/>
    </row>
    <row r="96" spans="1:11" ht="16.2" thickBot="1">
      <c r="A96" s="83" t="s">
        <v>95</v>
      </c>
      <c r="B96" s="85">
        <v>1120</v>
      </c>
      <c r="C96" s="92">
        <v>0</v>
      </c>
      <c r="D96" s="92">
        <v>0</v>
      </c>
      <c r="E96" s="92">
        <v>0</v>
      </c>
      <c r="F96" s="92">
        <v>0</v>
      </c>
      <c r="G96" s="117">
        <f t="shared" si="0"/>
        <v>0</v>
      </c>
      <c r="H96" s="117">
        <v>0</v>
      </c>
      <c r="I96" s="23"/>
    </row>
    <row r="97" spans="1:11" ht="16.2" thickBot="1">
      <c r="A97" s="83" t="s">
        <v>94</v>
      </c>
      <c r="B97" s="85">
        <v>1130</v>
      </c>
      <c r="C97" s="92">
        <v>0</v>
      </c>
      <c r="D97" s="92">
        <v>0</v>
      </c>
      <c r="E97" s="92">
        <v>0</v>
      </c>
      <c r="F97" s="92">
        <v>0</v>
      </c>
      <c r="G97" s="117">
        <f t="shared" si="0"/>
        <v>0</v>
      </c>
      <c r="H97" s="117">
        <v>0</v>
      </c>
      <c r="I97" s="23"/>
    </row>
    <row r="98" spans="1:11" ht="16.2" thickBot="1">
      <c r="A98" s="83" t="s">
        <v>96</v>
      </c>
      <c r="B98" s="85">
        <v>1140</v>
      </c>
      <c r="C98" s="92">
        <v>0</v>
      </c>
      <c r="D98" s="92">
        <v>0</v>
      </c>
      <c r="E98" s="92">
        <v>0</v>
      </c>
      <c r="F98" s="92">
        <v>0</v>
      </c>
      <c r="G98" s="117">
        <f t="shared" si="0"/>
        <v>0</v>
      </c>
      <c r="H98" s="117">
        <v>0</v>
      </c>
      <c r="I98" s="23"/>
    </row>
    <row r="99" spans="1:11" ht="16.2" thickBot="1">
      <c r="A99" s="128" t="s">
        <v>284</v>
      </c>
      <c r="B99" s="129">
        <v>1150</v>
      </c>
      <c r="C99" s="277">
        <f>C100+C101</f>
        <v>11.1</v>
      </c>
      <c r="D99" s="277">
        <f>D100+D101</f>
        <v>20.2</v>
      </c>
      <c r="E99" s="277">
        <f>E100+E101</f>
        <v>0</v>
      </c>
      <c r="F99" s="277">
        <f>F100+F101</f>
        <v>20.2</v>
      </c>
      <c r="G99" s="277">
        <f t="shared" si="0"/>
        <v>20.2</v>
      </c>
      <c r="H99" s="283">
        <v>0</v>
      </c>
      <c r="I99" s="278"/>
    </row>
    <row r="100" spans="1:11" ht="16.2" thickBot="1">
      <c r="A100" s="127" t="s">
        <v>64</v>
      </c>
      <c r="B100" s="130">
        <v>1151</v>
      </c>
      <c r="C100" s="124">
        <v>0</v>
      </c>
      <c r="D100" s="124">
        <v>0</v>
      </c>
      <c r="E100" s="124">
        <v>0</v>
      </c>
      <c r="F100" s="124">
        <v>0</v>
      </c>
      <c r="G100" s="125">
        <f t="shared" si="0"/>
        <v>0</v>
      </c>
      <c r="H100" s="125">
        <v>0</v>
      </c>
      <c r="I100" s="23"/>
    </row>
    <row r="101" spans="1:11" ht="16.2" customHeight="1" thickBot="1">
      <c r="A101" s="194" t="s">
        <v>285</v>
      </c>
      <c r="B101" s="130">
        <v>1152</v>
      </c>
      <c r="C101" s="196">
        <f>SUM(C102:C103)</f>
        <v>11.1</v>
      </c>
      <c r="D101" s="196">
        <f>SUM(D102:D103)</f>
        <v>20.2</v>
      </c>
      <c r="E101" s="196">
        <f>SUM(E102:E103)</f>
        <v>0</v>
      </c>
      <c r="F101" s="196">
        <f>SUM(F102:F103)</f>
        <v>20.2</v>
      </c>
      <c r="G101" s="125">
        <f t="shared" si="0"/>
        <v>20.2</v>
      </c>
      <c r="H101" s="131">
        <v>0</v>
      </c>
      <c r="I101" s="132"/>
    </row>
    <row r="102" spans="1:11" ht="16.2" customHeight="1" thickBot="1">
      <c r="A102" s="194" t="s">
        <v>465</v>
      </c>
      <c r="B102" s="130"/>
      <c r="C102" s="131">
        <v>10.1</v>
      </c>
      <c r="D102" s="131">
        <f>19.3</f>
        <v>19.3</v>
      </c>
      <c r="E102" s="131">
        <v>0</v>
      </c>
      <c r="F102" s="131">
        <v>19.3</v>
      </c>
      <c r="G102" s="125">
        <f>F102-E102</f>
        <v>19.3</v>
      </c>
      <c r="H102" s="131">
        <v>0</v>
      </c>
      <c r="I102" s="23"/>
    </row>
    <row r="103" spans="1:11" ht="16.2" thickBot="1">
      <c r="A103" s="194" t="s">
        <v>466</v>
      </c>
      <c r="B103" s="130"/>
      <c r="C103" s="124">
        <v>1</v>
      </c>
      <c r="D103" s="124">
        <f>0.9</f>
        <v>0.9</v>
      </c>
      <c r="E103" s="124">
        <v>0</v>
      </c>
      <c r="F103" s="124">
        <v>0.9</v>
      </c>
      <c r="G103" s="125">
        <f>F103-E103</f>
        <v>0.9</v>
      </c>
      <c r="H103" s="131">
        <v>0</v>
      </c>
      <c r="I103" s="23"/>
    </row>
    <row r="104" spans="1:11" ht="16.2" thickBot="1">
      <c r="A104" s="83" t="s">
        <v>286</v>
      </c>
      <c r="B104" s="85">
        <v>1160</v>
      </c>
      <c r="C104" s="92">
        <v>0</v>
      </c>
      <c r="D104" s="92">
        <v>0</v>
      </c>
      <c r="E104" s="92">
        <v>0</v>
      </c>
      <c r="F104" s="92">
        <v>0</v>
      </c>
      <c r="G104" s="117">
        <f t="shared" si="0"/>
        <v>0</v>
      </c>
      <c r="H104" s="142">
        <v>0</v>
      </c>
      <c r="I104" s="23"/>
      <c r="J104" s="424" t="s">
        <v>453</v>
      </c>
      <c r="K104" s="425"/>
    </row>
    <row r="105" spans="1:11" ht="16.2" thickBot="1">
      <c r="A105" s="83" t="s">
        <v>64</v>
      </c>
      <c r="B105" s="85">
        <v>1161</v>
      </c>
      <c r="C105" s="92">
        <v>0</v>
      </c>
      <c r="D105" s="92">
        <v>0</v>
      </c>
      <c r="E105" s="92">
        <v>0</v>
      </c>
      <c r="F105" s="92">
        <v>0</v>
      </c>
      <c r="G105" s="117">
        <f t="shared" si="0"/>
        <v>0</v>
      </c>
      <c r="H105" s="142">
        <v>0</v>
      </c>
      <c r="I105" s="23"/>
    </row>
    <row r="106" spans="1:11" ht="16.2" thickBot="1">
      <c r="A106" s="141" t="s">
        <v>287</v>
      </c>
      <c r="B106" s="84">
        <v>1162</v>
      </c>
      <c r="C106" s="92">
        <v>0</v>
      </c>
      <c r="D106" s="92">
        <v>0</v>
      </c>
      <c r="E106" s="92">
        <v>0</v>
      </c>
      <c r="F106" s="92">
        <v>0</v>
      </c>
      <c r="G106" s="117">
        <f t="shared" si="0"/>
        <v>0</v>
      </c>
      <c r="H106" s="142">
        <v>0</v>
      </c>
      <c r="I106" s="23"/>
    </row>
    <row r="107" spans="1:11" ht="16.2" thickBot="1">
      <c r="A107" s="198" t="s">
        <v>37</v>
      </c>
      <c r="B107" s="136">
        <v>1170</v>
      </c>
      <c r="C107" s="137">
        <f>C7+C77+C101-C8-C28-C91</f>
        <v>-568.19999999999993</v>
      </c>
      <c r="D107" s="137">
        <f>D7+D77+D101-D8-D28-D91</f>
        <v>-485.7</v>
      </c>
      <c r="E107" s="137">
        <f>E7+E77+E101-E8-E28</f>
        <v>-411.10000000000008</v>
      </c>
      <c r="F107" s="137">
        <f>F7+F77+F101-F8-F28-F91</f>
        <v>-485.7</v>
      </c>
      <c r="G107" s="138">
        <f t="shared" si="0"/>
        <v>-74.599999999999909</v>
      </c>
      <c r="H107" s="138">
        <f>F107/E107*100</f>
        <v>118.14643639017268</v>
      </c>
      <c r="I107" s="23"/>
    </row>
    <row r="108" spans="1:11" ht="16.2" thickBot="1">
      <c r="A108" s="48" t="s">
        <v>218</v>
      </c>
      <c r="B108" s="43">
        <v>1180</v>
      </c>
      <c r="C108" s="88">
        <v>0</v>
      </c>
      <c r="D108" s="88">
        <v>0</v>
      </c>
      <c r="E108" s="88">
        <v>0</v>
      </c>
      <c r="F108" s="88">
        <v>0</v>
      </c>
      <c r="G108" s="110">
        <f t="shared" si="0"/>
        <v>0</v>
      </c>
      <c r="H108" s="110">
        <v>0</v>
      </c>
      <c r="I108" s="23"/>
    </row>
    <row r="109" spans="1:11" ht="16.2" thickBot="1">
      <c r="A109" s="83" t="s">
        <v>229</v>
      </c>
      <c r="B109" s="85">
        <v>1181</v>
      </c>
      <c r="C109" s="92">
        <v>0</v>
      </c>
      <c r="D109" s="92">
        <v>0</v>
      </c>
      <c r="E109" s="92">
        <v>0</v>
      </c>
      <c r="F109" s="92">
        <v>0</v>
      </c>
      <c r="G109" s="117">
        <f t="shared" si="0"/>
        <v>0</v>
      </c>
      <c r="H109" s="142">
        <v>0</v>
      </c>
      <c r="I109" s="1"/>
    </row>
    <row r="110" spans="1:11" ht="16.2" thickBot="1">
      <c r="A110" s="218" t="s">
        <v>288</v>
      </c>
      <c r="B110" s="219">
        <v>1190</v>
      </c>
      <c r="C110" s="316">
        <v>0</v>
      </c>
      <c r="D110" s="316">
        <v>0</v>
      </c>
      <c r="E110" s="316">
        <v>0</v>
      </c>
      <c r="F110" s="316">
        <v>0</v>
      </c>
      <c r="G110" s="221">
        <f t="shared" ref="G110:G116" si="5">F110-E110</f>
        <v>0</v>
      </c>
      <c r="H110" s="220">
        <v>0</v>
      </c>
      <c r="I110" s="335"/>
    </row>
    <row r="111" spans="1:11" ht="16.2" thickBot="1">
      <c r="A111" s="141" t="s">
        <v>289</v>
      </c>
      <c r="B111" s="336">
        <v>1191</v>
      </c>
      <c r="C111" s="337">
        <v>0</v>
      </c>
      <c r="D111" s="337">
        <v>0</v>
      </c>
      <c r="E111" s="337">
        <v>0</v>
      </c>
      <c r="F111" s="337">
        <v>0</v>
      </c>
      <c r="G111" s="338">
        <f t="shared" si="5"/>
        <v>0</v>
      </c>
      <c r="H111" s="339">
        <v>0</v>
      </c>
      <c r="I111" s="333"/>
    </row>
    <row r="112" spans="1:11" ht="19.95" customHeight="1" thickBot="1">
      <c r="A112" s="317" t="s">
        <v>290</v>
      </c>
      <c r="B112" s="57">
        <v>1200</v>
      </c>
      <c r="C112" s="302">
        <f>C107-C108</f>
        <v>-568.19999999999993</v>
      </c>
      <c r="D112" s="302">
        <f>D107-D108</f>
        <v>-485.7</v>
      </c>
      <c r="E112" s="302">
        <f>E107-E108</f>
        <v>-411.10000000000008</v>
      </c>
      <c r="F112" s="302">
        <f>F107-F108</f>
        <v>-485.7</v>
      </c>
      <c r="G112" s="147">
        <f t="shared" si="5"/>
        <v>-74.599999999999909</v>
      </c>
      <c r="H112" s="147">
        <f>F112/E112*100</f>
        <v>118.14643639017268</v>
      </c>
      <c r="I112" s="333"/>
    </row>
    <row r="113" spans="1:11" ht="16.2" thickBot="1">
      <c r="A113" s="48" t="s">
        <v>97</v>
      </c>
      <c r="B113" s="43">
        <v>1201</v>
      </c>
      <c r="C113" s="88">
        <v>0</v>
      </c>
      <c r="D113" s="88">
        <v>0</v>
      </c>
      <c r="E113" s="124">
        <v>0</v>
      </c>
      <c r="F113" s="88">
        <v>0</v>
      </c>
      <c r="G113" s="110">
        <f t="shared" si="5"/>
        <v>0</v>
      </c>
      <c r="H113" s="131">
        <v>0</v>
      </c>
      <c r="I113" s="1"/>
      <c r="J113" s="424" t="s">
        <v>452</v>
      </c>
      <c r="K113" s="425"/>
    </row>
    <row r="114" spans="1:11" ht="16.2" thickBot="1">
      <c r="A114" s="48" t="s">
        <v>98</v>
      </c>
      <c r="B114" s="43">
        <v>1202</v>
      </c>
      <c r="C114" s="89">
        <v>-568.20000000000005</v>
      </c>
      <c r="D114" s="89">
        <v>-485.7</v>
      </c>
      <c r="E114" s="124">
        <v>-411.1</v>
      </c>
      <c r="F114" s="88">
        <v>-485.7</v>
      </c>
      <c r="G114" s="110">
        <f t="shared" si="5"/>
        <v>-74.599999999999966</v>
      </c>
      <c r="H114" s="110">
        <f>F114/E114*100</f>
        <v>118.14643639017271</v>
      </c>
      <c r="I114" s="53"/>
      <c r="J114" s="424"/>
      <c r="K114" s="425"/>
    </row>
    <row r="115" spans="1:11" ht="19.95" customHeight="1" thickBot="1">
      <c r="A115" s="128" t="s">
        <v>100</v>
      </c>
      <c r="B115" s="129">
        <v>1210</v>
      </c>
      <c r="C115" s="115">
        <f>C7+C77+C99</f>
        <v>283.20000000000005</v>
      </c>
      <c r="D115" s="115">
        <f>D7+D77+D99</f>
        <v>96.4</v>
      </c>
      <c r="E115" s="115">
        <f>E7+E77+E99</f>
        <v>402.90000000000003</v>
      </c>
      <c r="F115" s="115">
        <f>F7+F77+F99</f>
        <v>96.4</v>
      </c>
      <c r="G115" s="115">
        <f t="shared" si="5"/>
        <v>-306.5</v>
      </c>
      <c r="H115" s="115">
        <f>F115/E115*100</f>
        <v>23.926532638371803</v>
      </c>
      <c r="I115" s="135"/>
    </row>
    <row r="116" spans="1:11" ht="19.95" customHeight="1" thickBot="1">
      <c r="A116" s="243" t="s">
        <v>101</v>
      </c>
      <c r="B116" s="244">
        <v>1220</v>
      </c>
      <c r="C116" s="245">
        <f>C8+C28+C91</f>
        <v>851.40000000000009</v>
      </c>
      <c r="D116" s="245">
        <f>D8+D28+D91</f>
        <v>582.1</v>
      </c>
      <c r="E116" s="245">
        <f>E8+E28</f>
        <v>814.00000000000011</v>
      </c>
      <c r="F116" s="245">
        <f>F8+F28+F91</f>
        <v>582.1</v>
      </c>
      <c r="G116" s="245">
        <f t="shared" si="5"/>
        <v>-231.90000000000009</v>
      </c>
      <c r="H116" s="245">
        <f>F116/E116*100</f>
        <v>71.511056511056509</v>
      </c>
      <c r="I116" s="246"/>
    </row>
    <row r="117" spans="1:11" ht="16.2" thickBot="1">
      <c r="A117" s="247" t="s">
        <v>99</v>
      </c>
      <c r="B117" s="248">
        <v>1230</v>
      </c>
      <c r="C117" s="249">
        <v>0</v>
      </c>
      <c r="D117" s="249">
        <v>0</v>
      </c>
      <c r="E117" s="249">
        <v>0</v>
      </c>
      <c r="F117" s="249">
        <v>0</v>
      </c>
      <c r="G117" s="249">
        <v>0</v>
      </c>
      <c r="H117" s="249">
        <v>0</v>
      </c>
      <c r="I117" s="224"/>
    </row>
    <row r="118" spans="1:11" ht="16.2" thickBot="1">
      <c r="A118" s="413" t="s">
        <v>102</v>
      </c>
      <c r="B118" s="414"/>
      <c r="C118" s="414"/>
      <c r="D118" s="414"/>
      <c r="E118" s="414"/>
      <c r="F118" s="414"/>
      <c r="G118" s="414"/>
      <c r="H118" s="414"/>
      <c r="I118" s="415"/>
    </row>
    <row r="119" spans="1:11" ht="16.2" thickBot="1">
      <c r="A119" s="51" t="s">
        <v>103</v>
      </c>
      <c r="B119" s="45">
        <v>1300</v>
      </c>
      <c r="C119" s="144">
        <f>C94</f>
        <v>-568.19999999999993</v>
      </c>
      <c r="D119" s="144">
        <f>D94</f>
        <v>-485.7</v>
      </c>
      <c r="E119" s="144">
        <f>E94</f>
        <v>-411.10000000000008</v>
      </c>
      <c r="F119" s="144">
        <f>F94</f>
        <v>-485.7</v>
      </c>
      <c r="G119" s="144">
        <f>F119-E119</f>
        <v>-74.599999999999909</v>
      </c>
      <c r="H119" s="144">
        <f>F119/E119*100</f>
        <v>118.14643639017268</v>
      </c>
      <c r="I119" s="24"/>
    </row>
    <row r="120" spans="1:11" ht="16.2" thickBot="1">
      <c r="A120" s="48" t="s">
        <v>291</v>
      </c>
      <c r="B120" s="43">
        <v>1301</v>
      </c>
      <c r="C120" s="144">
        <f>C132</f>
        <v>9.3000000000000007</v>
      </c>
      <c r="D120" s="144">
        <f>D132</f>
        <v>9.1</v>
      </c>
      <c r="E120" s="144">
        <f>E132</f>
        <v>9.3000000000000007</v>
      </c>
      <c r="F120" s="144">
        <f>F132</f>
        <v>9.1</v>
      </c>
      <c r="G120" s="144">
        <f t="shared" ref="G120:G125" si="6">F120-E120</f>
        <v>-0.20000000000000107</v>
      </c>
      <c r="H120" s="144">
        <f>F120/E120*100</f>
        <v>97.849462365591393</v>
      </c>
      <c r="I120" s="24"/>
    </row>
    <row r="121" spans="1:11" ht="16.2" thickBot="1">
      <c r="A121" s="42" t="s">
        <v>292</v>
      </c>
      <c r="B121" s="43">
        <v>1302</v>
      </c>
      <c r="C121" s="144">
        <f>C78</f>
        <v>0</v>
      </c>
      <c r="D121" s="144">
        <f>D78</f>
        <v>0</v>
      </c>
      <c r="E121" s="144">
        <f>E78</f>
        <v>0</v>
      </c>
      <c r="F121" s="144">
        <f>F78</f>
        <v>0</v>
      </c>
      <c r="G121" s="144">
        <f t="shared" si="6"/>
        <v>0</v>
      </c>
      <c r="H121" s="282">
        <v>0</v>
      </c>
      <c r="I121" s="24"/>
    </row>
    <row r="122" spans="1:11" ht="16.2" thickBot="1">
      <c r="A122" s="42" t="s">
        <v>293</v>
      </c>
      <c r="B122" s="43">
        <v>1303</v>
      </c>
      <c r="C122" s="110">
        <f>C86</f>
        <v>0</v>
      </c>
      <c r="D122" s="110">
        <f>D86</f>
        <v>0</v>
      </c>
      <c r="E122" s="110">
        <f>E86</f>
        <v>0</v>
      </c>
      <c r="F122" s="110">
        <f>F86</f>
        <v>0</v>
      </c>
      <c r="G122" s="144">
        <f t="shared" si="6"/>
        <v>0</v>
      </c>
      <c r="H122" s="282">
        <v>0</v>
      </c>
      <c r="I122" s="1"/>
    </row>
    <row r="123" spans="1:11" ht="16.2" thickBot="1">
      <c r="A123" s="42" t="s">
        <v>294</v>
      </c>
      <c r="B123" s="43">
        <v>1304</v>
      </c>
      <c r="C123" s="145">
        <f>C79</f>
        <v>0</v>
      </c>
      <c r="D123" s="145">
        <f>D79</f>
        <v>0</v>
      </c>
      <c r="E123" s="145">
        <f>E79</f>
        <v>0</v>
      </c>
      <c r="F123" s="145">
        <f>F79</f>
        <v>0</v>
      </c>
      <c r="G123" s="144">
        <f t="shared" si="6"/>
        <v>0</v>
      </c>
      <c r="H123" s="282">
        <v>0</v>
      </c>
      <c r="I123" s="53"/>
    </row>
    <row r="124" spans="1:11" ht="16.2" thickBot="1">
      <c r="A124" s="127" t="s">
        <v>295</v>
      </c>
      <c r="B124" s="139">
        <v>1305</v>
      </c>
      <c r="C124" s="146">
        <f>C87</f>
        <v>0</v>
      </c>
      <c r="D124" s="146">
        <f>D87</f>
        <v>0</v>
      </c>
      <c r="E124" s="146">
        <f>E87</f>
        <v>0</v>
      </c>
      <c r="F124" s="146">
        <f>F87</f>
        <v>0</v>
      </c>
      <c r="G124" s="110">
        <f t="shared" si="6"/>
        <v>0</v>
      </c>
      <c r="H124" s="282">
        <v>0</v>
      </c>
      <c r="I124" s="34"/>
    </row>
    <row r="125" spans="1:11" ht="16.2" thickBot="1">
      <c r="A125" s="46" t="s">
        <v>31</v>
      </c>
      <c r="B125" s="140">
        <v>1310</v>
      </c>
      <c r="C125" s="147">
        <f>C119+C120-C121+C122-C124</f>
        <v>-558.9</v>
      </c>
      <c r="D125" s="147">
        <f>D119+D120-D121+D122-D124</f>
        <v>-476.59999999999997</v>
      </c>
      <c r="E125" s="147">
        <f>E119+E120-E121+E122-E124</f>
        <v>-401.80000000000007</v>
      </c>
      <c r="F125" s="147">
        <f>F119+F120-F121+F122-F124</f>
        <v>-476.59999999999997</v>
      </c>
      <c r="G125" s="110">
        <f t="shared" si="6"/>
        <v>-74.799999999999898</v>
      </c>
      <c r="H125" s="144">
        <f>F125/E125*100</f>
        <v>118.61622697859629</v>
      </c>
      <c r="I125" s="1"/>
    </row>
    <row r="126" spans="1:11" ht="16.2" thickBot="1">
      <c r="A126" s="416" t="s">
        <v>104</v>
      </c>
      <c r="B126" s="392"/>
      <c r="C126" s="392"/>
      <c r="D126" s="392"/>
      <c r="E126" s="392"/>
      <c r="F126" s="392"/>
      <c r="G126" s="392"/>
      <c r="H126" s="392"/>
      <c r="I126" s="393"/>
    </row>
    <row r="127" spans="1:11" ht="16.2" thickBot="1">
      <c r="A127" s="44" t="s">
        <v>105</v>
      </c>
      <c r="B127" s="148">
        <v>1400</v>
      </c>
      <c r="C127" s="151">
        <f>C128+C129</f>
        <v>28.5</v>
      </c>
      <c r="D127" s="151">
        <f>D128+D129</f>
        <v>15.9</v>
      </c>
      <c r="E127" s="151">
        <f>E128+E129</f>
        <v>33.6</v>
      </c>
      <c r="F127" s="151">
        <f>F128+F129</f>
        <v>15.9</v>
      </c>
      <c r="G127" s="151">
        <f>F127-E127</f>
        <v>-17.700000000000003</v>
      </c>
      <c r="H127" s="151">
        <f>F127/E127*100</f>
        <v>47.321428571428569</v>
      </c>
      <c r="I127" s="1"/>
    </row>
    <row r="128" spans="1:11" ht="16.2" thickBot="1">
      <c r="A128" s="42" t="s">
        <v>59</v>
      </c>
      <c r="B128" s="139">
        <v>1401</v>
      </c>
      <c r="C128" s="149">
        <f>C9</f>
        <v>0</v>
      </c>
      <c r="D128" s="149">
        <f>D9</f>
        <v>0</v>
      </c>
      <c r="E128" s="149">
        <f>E9</f>
        <v>0</v>
      </c>
      <c r="F128" s="149">
        <f>F9</f>
        <v>0</v>
      </c>
      <c r="G128" s="149">
        <f t="shared" ref="G128:G133" si="7">F128-E128</f>
        <v>0</v>
      </c>
      <c r="H128" s="281">
        <v>0</v>
      </c>
      <c r="I128" s="1"/>
    </row>
    <row r="129" spans="1:11" ht="16.2" thickBot="1">
      <c r="A129" s="42" t="s">
        <v>106</v>
      </c>
      <c r="B129" s="139">
        <v>1402</v>
      </c>
      <c r="C129" s="149">
        <f>C10+C11+C52</f>
        <v>28.5</v>
      </c>
      <c r="D129" s="149">
        <f>D10+D11+D52</f>
        <v>15.9</v>
      </c>
      <c r="E129" s="149">
        <f>E10+E11+E52</f>
        <v>33.6</v>
      </c>
      <c r="F129" s="149">
        <f>F10+F11+F52</f>
        <v>15.9</v>
      </c>
      <c r="G129" s="149">
        <f t="shared" si="7"/>
        <v>-17.700000000000003</v>
      </c>
      <c r="H129" s="149">
        <f t="shared" ref="H129:H134" si="8">F129/E129*100</f>
        <v>47.321428571428569</v>
      </c>
      <c r="I129" s="1"/>
    </row>
    <row r="130" spans="1:11" ht="16.2" thickBot="1">
      <c r="A130" s="42" t="s">
        <v>107</v>
      </c>
      <c r="B130" s="139">
        <v>1410</v>
      </c>
      <c r="C130" s="149">
        <f t="shared" ref="C130:F131" si="9">C12+C36</f>
        <v>511</v>
      </c>
      <c r="D130" s="149">
        <f t="shared" si="9"/>
        <v>328.2</v>
      </c>
      <c r="E130" s="149">
        <f t="shared" si="9"/>
        <v>422.9</v>
      </c>
      <c r="F130" s="149">
        <f t="shared" si="9"/>
        <v>328.2</v>
      </c>
      <c r="G130" s="149">
        <f t="shared" si="7"/>
        <v>-94.699999999999989</v>
      </c>
      <c r="H130" s="149">
        <f t="shared" si="8"/>
        <v>77.60699929061245</v>
      </c>
      <c r="I130" s="53"/>
    </row>
    <row r="131" spans="1:11" ht="16.2" thickBot="1">
      <c r="A131" s="42" t="s">
        <v>108</v>
      </c>
      <c r="B131" s="139">
        <v>1420</v>
      </c>
      <c r="C131" s="150">
        <f t="shared" si="9"/>
        <v>112.2</v>
      </c>
      <c r="D131" s="150">
        <f t="shared" si="9"/>
        <v>70.900000000000006</v>
      </c>
      <c r="E131" s="150">
        <f t="shared" si="9"/>
        <v>93</v>
      </c>
      <c r="F131" s="150">
        <f t="shared" si="9"/>
        <v>70.900000000000006</v>
      </c>
      <c r="G131" s="149">
        <f t="shared" si="7"/>
        <v>-22.099999999999994</v>
      </c>
      <c r="H131" s="149">
        <f t="shared" si="8"/>
        <v>76.236559139784958</v>
      </c>
      <c r="I131" s="34"/>
    </row>
    <row r="132" spans="1:11" ht="16.2" thickBot="1">
      <c r="A132" s="42" t="s">
        <v>109</v>
      </c>
      <c r="B132" s="139">
        <v>1430</v>
      </c>
      <c r="C132" s="149">
        <f>C15+C38</f>
        <v>9.3000000000000007</v>
      </c>
      <c r="D132" s="149">
        <f>D15+D38</f>
        <v>9.1</v>
      </c>
      <c r="E132" s="149">
        <f>E15+E38</f>
        <v>9.3000000000000007</v>
      </c>
      <c r="F132" s="149">
        <f>F15+F38</f>
        <v>9.1</v>
      </c>
      <c r="G132" s="149">
        <f t="shared" si="7"/>
        <v>-0.20000000000000107</v>
      </c>
      <c r="H132" s="149">
        <f t="shared" si="8"/>
        <v>97.849462365591393</v>
      </c>
      <c r="I132" s="1"/>
    </row>
    <row r="133" spans="1:11" ht="16.2" thickBot="1">
      <c r="A133" s="42" t="s">
        <v>110</v>
      </c>
      <c r="B133" s="139">
        <v>1440</v>
      </c>
      <c r="C133" s="279">
        <f>C14+C16+C29+C30+C31+C32+C33+C34+C35+C39+C40+C41+C42+C43+C44+C45+C46+C47+C48+C49+C51+C53+C55+C56+C57+C58+C59+C60+C61+C62+C63+C64+C65+C66+C67+C68+C91</f>
        <v>190.4</v>
      </c>
      <c r="D133" s="279">
        <f>D14+D16+D29+D30+D31+D32+D33+D34+D35+D39+D40+D41+D42+D43+D44+D45+D46+D47+D48+D49+D51+D53+D55+D56+D57+D58+D59+D60+D61+D62+D63+D64+D65+D66+D67+D68+D91</f>
        <v>157.99999999999997</v>
      </c>
      <c r="E133" s="289">
        <f>E14+E16+E29+E30+E31+E32+E33+E34+E35+E39+E40+E41+E42+E43+E44+E45+E46+E47+E48+E49+E51+E53+E55+E56+E57+E58+E59+E60+E61+E62+E63+E64+E65+E66+E67+E68</f>
        <v>255.2</v>
      </c>
      <c r="F133" s="289">
        <f>F14+F16+F29+F30+F31+F32+F33+F34+F35+F39+F40+F41+F42+F43+F44+F45+F46+F47+F48+F49+F51+F53+F55+F56+F57+F58+F59+F60+F61+F62+F63+F64+F65+F66+F67+F68+F91</f>
        <v>157.99999999999997</v>
      </c>
      <c r="G133" s="149">
        <f t="shared" si="7"/>
        <v>-97.200000000000017</v>
      </c>
      <c r="H133" s="149">
        <f t="shared" si="8"/>
        <v>61.912225705329149</v>
      </c>
      <c r="I133" s="1"/>
      <c r="J133" s="424" t="s">
        <v>454</v>
      </c>
      <c r="K133" s="425"/>
    </row>
    <row r="134" spans="1:11" ht="16.2" thickBot="1">
      <c r="A134" s="118" t="s">
        <v>111</v>
      </c>
      <c r="B134" s="140">
        <v>1450</v>
      </c>
      <c r="C134" s="280">
        <f>SUM(C127:C133)-C127</f>
        <v>851.4</v>
      </c>
      <c r="D134" s="280">
        <f>SUM(D127:D133)-D127</f>
        <v>582.1</v>
      </c>
      <c r="E134" s="280">
        <f>SUM(E127:E133)-E127</f>
        <v>813.99999999999989</v>
      </c>
      <c r="F134" s="280">
        <f>SUM(F127:F133)-F127</f>
        <v>582.1</v>
      </c>
      <c r="G134" s="149">
        <f>F134-E134</f>
        <v>-231.89999999999986</v>
      </c>
      <c r="H134" s="149">
        <f t="shared" si="8"/>
        <v>71.511056511056523</v>
      </c>
      <c r="I134" s="1"/>
    </row>
    <row r="135" spans="1:11" ht="57" customHeight="1">
      <c r="A135" s="35" t="s">
        <v>486</v>
      </c>
      <c r="B135" s="365" t="s">
        <v>56</v>
      </c>
      <c r="C135" s="365"/>
      <c r="D135" s="365"/>
      <c r="E135" s="365"/>
      <c r="F135" s="365" t="s">
        <v>442</v>
      </c>
      <c r="G135" s="365"/>
      <c r="H135" s="365"/>
    </row>
    <row r="136" spans="1:11">
      <c r="A136" s="36" t="s">
        <v>53</v>
      </c>
      <c r="B136" s="364" t="s">
        <v>54</v>
      </c>
      <c r="C136" s="364"/>
      <c r="D136" s="364"/>
      <c r="E136" s="364"/>
      <c r="F136" s="364" t="s">
        <v>55</v>
      </c>
      <c r="G136" s="364"/>
      <c r="H136" s="364"/>
    </row>
    <row r="137" spans="1:11">
      <c r="A137" s="5"/>
    </row>
  </sheetData>
  <mergeCells count="19">
    <mergeCell ref="J9:K9"/>
    <mergeCell ref="J69:K69"/>
    <mergeCell ref="J133:K133"/>
    <mergeCell ref="B135:E135"/>
    <mergeCell ref="F135:H135"/>
    <mergeCell ref="J104:K104"/>
    <mergeCell ref="J84:K84"/>
    <mergeCell ref="J95:K95"/>
    <mergeCell ref="J113:K114"/>
    <mergeCell ref="A6:I6"/>
    <mergeCell ref="B136:E136"/>
    <mergeCell ref="F136:H136"/>
    <mergeCell ref="A118:I118"/>
    <mergeCell ref="A126:I126"/>
    <mergeCell ref="A2:I2"/>
    <mergeCell ref="A3:A4"/>
    <mergeCell ref="B3:B4"/>
    <mergeCell ref="C3:D3"/>
    <mergeCell ref="E3:I3"/>
  </mergeCells>
  <phoneticPr fontId="0" type="noConversion"/>
  <pageMargins left="3.937007874015748E-2" right="0" top="0.78740157480314965" bottom="0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50"/>
  </sheetPr>
  <dimension ref="A1:J39"/>
  <sheetViews>
    <sheetView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D42" sqref="D42"/>
    </sheetView>
  </sheetViews>
  <sheetFormatPr defaultColWidth="10.69921875" defaultRowHeight="15.6"/>
  <cols>
    <col min="1" max="1" width="52.69921875" style="13" customWidth="1"/>
    <col min="2" max="2" width="8.69921875" style="11" customWidth="1"/>
    <col min="3" max="16384" width="10.69921875" style="13"/>
  </cols>
  <sheetData>
    <row r="1" spans="1:8" ht="16.2" thickBot="1">
      <c r="G1" s="429" t="s">
        <v>296</v>
      </c>
      <c r="H1" s="429"/>
    </row>
    <row r="2" spans="1:8" ht="16.2" thickBot="1">
      <c r="A2" s="380" t="s">
        <v>39</v>
      </c>
      <c r="B2" s="381"/>
      <c r="C2" s="381"/>
      <c r="D2" s="381"/>
      <c r="E2" s="381"/>
      <c r="F2" s="381"/>
      <c r="G2" s="381"/>
      <c r="H2" s="382"/>
    </row>
    <row r="3" spans="1:8" ht="40.200000000000003" customHeight="1" thickBot="1">
      <c r="A3" s="417" t="s">
        <v>14</v>
      </c>
      <c r="B3" s="417" t="s">
        <v>15</v>
      </c>
      <c r="C3" s="419" t="s">
        <v>112</v>
      </c>
      <c r="D3" s="420"/>
      <c r="E3" s="419" t="s">
        <v>17</v>
      </c>
      <c r="F3" s="421"/>
      <c r="G3" s="421"/>
      <c r="H3" s="420"/>
    </row>
    <row r="4" spans="1:8" ht="40.200000000000003" customHeight="1" thickBot="1">
      <c r="A4" s="418"/>
      <c r="B4" s="418"/>
      <c r="C4" s="93" t="s">
        <v>18</v>
      </c>
      <c r="D4" s="93" t="s">
        <v>19</v>
      </c>
      <c r="E4" s="93" t="s">
        <v>20</v>
      </c>
      <c r="F4" s="93" t="s">
        <v>21</v>
      </c>
      <c r="G4" s="93" t="s">
        <v>22</v>
      </c>
      <c r="H4" s="93" t="s">
        <v>23</v>
      </c>
    </row>
    <row r="5" spans="1:8" ht="16.2" thickBot="1">
      <c r="A5" s="6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ht="16.2" thickBot="1">
      <c r="A6" s="433" t="s">
        <v>113</v>
      </c>
      <c r="B6" s="434"/>
      <c r="C6" s="434"/>
      <c r="D6" s="434"/>
      <c r="E6" s="434"/>
      <c r="F6" s="434"/>
      <c r="G6" s="434"/>
      <c r="H6" s="435"/>
    </row>
    <row r="7" spans="1:8" ht="16.2" thickBot="1">
      <c r="A7" s="54" t="s">
        <v>297</v>
      </c>
      <c r="B7" s="55">
        <v>1200</v>
      </c>
      <c r="C7" s="200">
        <f ca="1">'І.Форм. фін. рез.'!C112</f>
        <v>-568.19999999999993</v>
      </c>
      <c r="D7" s="162"/>
      <c r="E7" s="200">
        <f ca="1">'І.Форм. фін. рез.'!E112</f>
        <v>-411.10000000000008</v>
      </c>
      <c r="F7" s="162"/>
      <c r="G7" s="158">
        <f>F7-E7</f>
        <v>411.10000000000008</v>
      </c>
      <c r="H7" s="159">
        <f>F7/E7*100</f>
        <v>0</v>
      </c>
    </row>
    <row r="8" spans="1:8" ht="27" thickBot="1">
      <c r="A8" s="3" t="s">
        <v>114</v>
      </c>
      <c r="B8" s="2">
        <v>2000</v>
      </c>
      <c r="C8" s="163">
        <v>1735.1</v>
      </c>
      <c r="D8" s="340">
        <f>F8</f>
        <v>1798.7</v>
      </c>
      <c r="E8" s="163">
        <v>516</v>
      </c>
      <c r="F8" s="163">
        <v>1798.7</v>
      </c>
      <c r="G8" s="158">
        <f>F8-E8</f>
        <v>1282.7</v>
      </c>
      <c r="H8" s="159">
        <f>F8/E8*100</f>
        <v>348.58527131782944</v>
      </c>
    </row>
    <row r="9" spans="1:8" ht="27" thickBot="1">
      <c r="A9" s="3" t="s">
        <v>115</v>
      </c>
      <c r="B9" s="2">
        <v>2070</v>
      </c>
      <c r="C9" s="163">
        <v>1166.9000000000001</v>
      </c>
      <c r="D9" s="340">
        <f>F9</f>
        <v>1313</v>
      </c>
      <c r="E9" s="163">
        <v>516</v>
      </c>
      <c r="F9" s="163">
        <v>1313</v>
      </c>
      <c r="G9" s="158">
        <f>F9-E9</f>
        <v>797</v>
      </c>
      <c r="H9" s="159">
        <f>F9/E9*100</f>
        <v>254.45736434108528</v>
      </c>
    </row>
    <row r="10" spans="1:8" ht="15.75" customHeight="1" thickBot="1">
      <c r="A10" s="430" t="s">
        <v>298</v>
      </c>
      <c r="B10" s="431"/>
      <c r="C10" s="431"/>
      <c r="D10" s="431"/>
      <c r="E10" s="431"/>
      <c r="F10" s="431"/>
      <c r="G10" s="431"/>
      <c r="H10" s="432"/>
    </row>
    <row r="11" spans="1:8" ht="25.05" customHeight="1" thickBot="1">
      <c r="A11" s="44" t="s">
        <v>223</v>
      </c>
      <c r="B11" s="57">
        <v>2110</v>
      </c>
      <c r="C11" s="207">
        <f>SUM(C12:C20)</f>
        <v>15.9</v>
      </c>
      <c r="D11" s="164">
        <f>SUM(D12:D20)</f>
        <v>14</v>
      </c>
      <c r="E11" s="164">
        <f>SUM(E12:E20)</f>
        <v>133.80000000000001</v>
      </c>
      <c r="F11" s="164">
        <f>SUM(F12:F20)</f>
        <v>14</v>
      </c>
      <c r="G11" s="158">
        <f t="shared" ref="G11:G35" si="0">F11-E11</f>
        <v>-119.80000000000001</v>
      </c>
      <c r="H11" s="159">
        <f>F11/E11*100</f>
        <v>10.46337817638266</v>
      </c>
    </row>
    <row r="12" spans="1:8" ht="15.75" customHeight="1" thickBot="1">
      <c r="A12" s="83" t="s">
        <v>224</v>
      </c>
      <c r="B12" s="56">
        <v>2111</v>
      </c>
      <c r="C12" s="202">
        <v>0</v>
      </c>
      <c r="D12" s="165">
        <f>14</f>
        <v>14</v>
      </c>
      <c r="E12" s="165">
        <v>0</v>
      </c>
      <c r="F12" s="165">
        <v>14</v>
      </c>
      <c r="G12" s="158">
        <f t="shared" si="0"/>
        <v>14</v>
      </c>
      <c r="H12" s="290">
        <v>0</v>
      </c>
    </row>
    <row r="13" spans="1:8" ht="15.75" customHeight="1" thickBot="1">
      <c r="A13" s="83" t="s">
        <v>225</v>
      </c>
      <c r="B13" s="56">
        <v>2112</v>
      </c>
      <c r="C13" s="202">
        <v>15.9</v>
      </c>
      <c r="D13" s="202">
        <v>0</v>
      </c>
      <c r="E13" s="165">
        <v>133.80000000000001</v>
      </c>
      <c r="F13" s="202">
        <v>0</v>
      </c>
      <c r="G13" s="158">
        <f t="shared" si="0"/>
        <v>-133.80000000000001</v>
      </c>
      <c r="H13" s="159">
        <f>F13/E13*100</f>
        <v>0</v>
      </c>
    </row>
    <row r="14" spans="1:8" ht="15.75" customHeight="1" thickBot="1">
      <c r="A14" s="48" t="s">
        <v>226</v>
      </c>
      <c r="B14" s="56">
        <v>2113</v>
      </c>
      <c r="C14" s="202">
        <v>0</v>
      </c>
      <c r="D14" s="202">
        <v>0</v>
      </c>
      <c r="E14" s="165">
        <v>0</v>
      </c>
      <c r="F14" s="202">
        <v>0</v>
      </c>
      <c r="G14" s="158">
        <f t="shared" si="0"/>
        <v>0</v>
      </c>
      <c r="H14" s="290">
        <v>0</v>
      </c>
    </row>
    <row r="15" spans="1:8" ht="15.75" customHeight="1" thickBot="1">
      <c r="A15" s="48" t="s">
        <v>116</v>
      </c>
      <c r="B15" s="56">
        <v>2114</v>
      </c>
      <c r="C15" s="202">
        <v>0</v>
      </c>
      <c r="D15" s="202">
        <v>0</v>
      </c>
      <c r="E15" s="165">
        <v>0</v>
      </c>
      <c r="F15" s="202">
        <v>0</v>
      </c>
      <c r="G15" s="158">
        <f t="shared" si="0"/>
        <v>0</v>
      </c>
      <c r="H15" s="290">
        <v>0</v>
      </c>
    </row>
    <row r="16" spans="1:8" ht="15.75" customHeight="1" thickBot="1">
      <c r="A16" s="51" t="s">
        <v>299</v>
      </c>
      <c r="B16" s="52">
        <v>2115</v>
      </c>
      <c r="C16" s="202">
        <v>0</v>
      </c>
      <c r="D16" s="202">
        <v>0</v>
      </c>
      <c r="E16" s="165">
        <v>0</v>
      </c>
      <c r="F16" s="202">
        <v>0</v>
      </c>
      <c r="G16" s="158">
        <f t="shared" si="0"/>
        <v>0</v>
      </c>
      <c r="H16" s="290">
        <v>0</v>
      </c>
    </row>
    <row r="17" spans="1:10" ht="15.75" customHeight="1" thickBot="1">
      <c r="A17" s="48" t="s">
        <v>117</v>
      </c>
      <c r="B17" s="40">
        <v>2116</v>
      </c>
      <c r="C17" s="202">
        <v>0</v>
      </c>
      <c r="D17" s="202">
        <v>0</v>
      </c>
      <c r="E17" s="165">
        <v>0</v>
      </c>
      <c r="F17" s="202">
        <v>0</v>
      </c>
      <c r="G17" s="158">
        <f t="shared" si="0"/>
        <v>0</v>
      </c>
      <c r="H17" s="290">
        <v>0</v>
      </c>
    </row>
    <row r="18" spans="1:10" ht="15.75" customHeight="1" thickBot="1">
      <c r="A18" s="48" t="s">
        <v>227</v>
      </c>
      <c r="B18" s="40">
        <v>2117</v>
      </c>
      <c r="C18" s="202">
        <v>0</v>
      </c>
      <c r="D18" s="202">
        <v>0</v>
      </c>
      <c r="E18" s="165">
        <v>0</v>
      </c>
      <c r="F18" s="202">
        <v>0</v>
      </c>
      <c r="G18" s="158">
        <f t="shared" si="0"/>
        <v>0</v>
      </c>
      <c r="H18" s="290">
        <v>0</v>
      </c>
    </row>
    <row r="19" spans="1:10" ht="15.75" customHeight="1" thickBot="1">
      <c r="A19" s="203" t="s">
        <v>212</v>
      </c>
      <c r="B19" s="204">
        <v>2118</v>
      </c>
      <c r="C19" s="205">
        <v>0</v>
      </c>
      <c r="D19" s="205">
        <v>0</v>
      </c>
      <c r="E19" s="205">
        <v>0</v>
      </c>
      <c r="F19" s="205">
        <v>0</v>
      </c>
      <c r="G19" s="206">
        <f t="shared" si="0"/>
        <v>0</v>
      </c>
      <c r="H19" s="291">
        <v>0</v>
      </c>
      <c r="I19" s="427" t="s">
        <v>483</v>
      </c>
      <c r="J19" s="428"/>
    </row>
    <row r="20" spans="1:10" ht="16.2" thickBot="1">
      <c r="A20" s="48" t="s">
        <v>300</v>
      </c>
      <c r="B20" s="40">
        <v>2119</v>
      </c>
      <c r="C20" s="202">
        <v>0</v>
      </c>
      <c r="D20" s="165">
        <v>0</v>
      </c>
      <c r="E20" s="165">
        <v>0</v>
      </c>
      <c r="F20" s="165">
        <v>0</v>
      </c>
      <c r="G20" s="158">
        <f t="shared" si="0"/>
        <v>0</v>
      </c>
      <c r="H20" s="293">
        <v>0</v>
      </c>
    </row>
    <row r="21" spans="1:10" ht="25.05" customHeight="1" thickBot="1">
      <c r="A21" s="42" t="s">
        <v>301</v>
      </c>
      <c r="B21" s="43">
        <v>2120</v>
      </c>
      <c r="C21" s="161">
        <f>SUM(C22:C25)</f>
        <v>206.9</v>
      </c>
      <c r="D21" s="161">
        <f>SUM(D22:D25)</f>
        <v>194.3</v>
      </c>
      <c r="E21" s="161">
        <f>SUM(E22:E25)</f>
        <v>310.7</v>
      </c>
      <c r="F21" s="161">
        <f>SUM(F22:F25)</f>
        <v>194.3</v>
      </c>
      <c r="G21" s="158">
        <f t="shared" si="0"/>
        <v>-116.39999999999998</v>
      </c>
      <c r="H21" s="159">
        <f>F21/E21*100</f>
        <v>62.536208561313167</v>
      </c>
    </row>
    <row r="22" spans="1:10" ht="16.2" thickBot="1">
      <c r="A22" s="83" t="s">
        <v>212</v>
      </c>
      <c r="B22" s="43">
        <v>2121</v>
      </c>
      <c r="C22" s="202">
        <v>107</v>
      </c>
      <c r="D22" s="165">
        <f>60.7</f>
        <v>60.7</v>
      </c>
      <c r="E22" s="165">
        <v>76.099999999999994</v>
      </c>
      <c r="F22" s="165">
        <v>60.7</v>
      </c>
      <c r="G22" s="158">
        <f t="shared" si="0"/>
        <v>-15.399999999999991</v>
      </c>
      <c r="H22" s="159">
        <f>F22/E22*100</f>
        <v>79.763469119579511</v>
      </c>
    </row>
    <row r="23" spans="1:10" ht="16.2" thickBot="1">
      <c r="A23" s="83" t="s">
        <v>302</v>
      </c>
      <c r="B23" s="43">
        <v>2122</v>
      </c>
      <c r="C23" s="165">
        <v>6.7</v>
      </c>
      <c r="D23" s="165">
        <f>21.1</f>
        <v>21.1</v>
      </c>
      <c r="E23" s="165">
        <v>53.9</v>
      </c>
      <c r="F23" s="165">
        <v>21.1</v>
      </c>
      <c r="G23" s="158">
        <f t="shared" si="0"/>
        <v>-32.799999999999997</v>
      </c>
      <c r="H23" s="159">
        <f>F23/E23*100</f>
        <v>39.146567717996291</v>
      </c>
    </row>
    <row r="24" spans="1:10" ht="16.2" thickBot="1">
      <c r="A24" s="83" t="s">
        <v>303</v>
      </c>
      <c r="B24" s="43">
        <v>2123</v>
      </c>
      <c r="C24" s="165">
        <v>93.2</v>
      </c>
      <c r="D24" s="165">
        <f>112.5</f>
        <v>112.5</v>
      </c>
      <c r="E24" s="165">
        <v>180.7</v>
      </c>
      <c r="F24" s="165">
        <v>112.5</v>
      </c>
      <c r="G24" s="158">
        <f t="shared" si="0"/>
        <v>-68.199999999999989</v>
      </c>
      <c r="H24" s="159">
        <f>F24/E24*100</f>
        <v>62.257885998893194</v>
      </c>
    </row>
    <row r="25" spans="1:10" ht="16.2" thickBot="1">
      <c r="A25" s="42" t="s">
        <v>300</v>
      </c>
      <c r="B25" s="43">
        <v>2124</v>
      </c>
      <c r="C25" s="165">
        <v>0</v>
      </c>
      <c r="D25" s="165">
        <v>0</v>
      </c>
      <c r="E25" s="165">
        <v>0</v>
      </c>
      <c r="F25" s="165">
        <v>0</v>
      </c>
      <c r="G25" s="158">
        <f t="shared" si="0"/>
        <v>0</v>
      </c>
      <c r="H25" s="293">
        <v>0</v>
      </c>
    </row>
    <row r="26" spans="1:10" ht="16.2" customHeight="1" thickBot="1">
      <c r="A26" s="42" t="s">
        <v>304</v>
      </c>
      <c r="B26" s="43">
        <v>2130</v>
      </c>
      <c r="C26" s="161">
        <f>C27+C28+C29</f>
        <v>128.80000000000001</v>
      </c>
      <c r="D26" s="161">
        <f>D27+D28+D29</f>
        <v>82.899999999999991</v>
      </c>
      <c r="E26" s="161">
        <f>E27+E28+E29</f>
        <v>97.2</v>
      </c>
      <c r="F26" s="161">
        <f>F27+F28+F29</f>
        <v>82.899999999999991</v>
      </c>
      <c r="G26" s="158">
        <f t="shared" si="0"/>
        <v>-14.300000000000011</v>
      </c>
      <c r="H26" s="159">
        <f>F26/E26*100</f>
        <v>85.288065843621382</v>
      </c>
    </row>
    <row r="27" spans="1:10" ht="16.2" thickBot="1">
      <c r="A27" s="42" t="s">
        <v>306</v>
      </c>
      <c r="B27" s="43">
        <v>2131</v>
      </c>
      <c r="C27" s="160">
        <v>0</v>
      </c>
      <c r="D27" s="165">
        <v>0</v>
      </c>
      <c r="E27" s="165">
        <v>0</v>
      </c>
      <c r="F27" s="165">
        <v>0</v>
      </c>
      <c r="G27" s="158">
        <f t="shared" si="0"/>
        <v>0</v>
      </c>
      <c r="H27" s="293">
        <v>0</v>
      </c>
    </row>
    <row r="28" spans="1:10" ht="16.2" thickBot="1">
      <c r="A28" s="218" t="s">
        <v>307</v>
      </c>
      <c r="B28" s="250">
        <v>2132</v>
      </c>
      <c r="C28" s="254">
        <v>119.9</v>
      </c>
      <c r="D28" s="255">
        <f>73.3</f>
        <v>73.3</v>
      </c>
      <c r="E28" s="255">
        <v>93</v>
      </c>
      <c r="F28" s="255">
        <v>73.3</v>
      </c>
      <c r="G28" s="251">
        <f t="shared" si="0"/>
        <v>-19.700000000000003</v>
      </c>
      <c r="H28" s="252">
        <f>F28/E28*100</f>
        <v>78.817204301075265</v>
      </c>
    </row>
    <row r="29" spans="1:10" ht="16.2" thickBot="1">
      <c r="A29" s="44" t="s">
        <v>308</v>
      </c>
      <c r="B29" s="57">
        <v>2133</v>
      </c>
      <c r="C29" s="256">
        <f>C30+C31</f>
        <v>8.9</v>
      </c>
      <c r="D29" s="257">
        <f>D30+D31</f>
        <v>9.6</v>
      </c>
      <c r="E29" s="257">
        <f>E30+E31</f>
        <v>4.2</v>
      </c>
      <c r="F29" s="257">
        <f>F30+F31</f>
        <v>9.6</v>
      </c>
      <c r="G29" s="258">
        <f t="shared" si="0"/>
        <v>5.3999999999999995</v>
      </c>
      <c r="H29" s="258">
        <f>F29/E29*100</f>
        <v>228.57142857142856</v>
      </c>
    </row>
    <row r="30" spans="1:10" ht="16.2" thickBot="1">
      <c r="A30" s="253" t="s">
        <v>455</v>
      </c>
      <c r="B30" s="57"/>
      <c r="C30" s="259">
        <v>0</v>
      </c>
      <c r="D30" s="259">
        <f>3.6</f>
        <v>3.6</v>
      </c>
      <c r="E30" s="259">
        <v>0</v>
      </c>
      <c r="F30" s="259">
        <v>3.6</v>
      </c>
      <c r="G30" s="258">
        <f>F30-E30</f>
        <v>3.6</v>
      </c>
      <c r="H30" s="292">
        <v>0</v>
      </c>
    </row>
    <row r="31" spans="1:10" ht="16.2" thickBot="1">
      <c r="A31" s="166" t="s">
        <v>456</v>
      </c>
      <c r="B31" s="43"/>
      <c r="C31" s="165">
        <v>8.9</v>
      </c>
      <c r="D31" s="165">
        <f>6</f>
        <v>6</v>
      </c>
      <c r="E31" s="165">
        <v>4.2</v>
      </c>
      <c r="F31" s="165">
        <v>6</v>
      </c>
      <c r="G31" s="258">
        <f>F31-E31</f>
        <v>1.7999999999999998</v>
      </c>
      <c r="H31" s="258">
        <f>F31/E31*100</f>
        <v>142.85714285714286</v>
      </c>
    </row>
    <row r="32" spans="1:10" ht="16.2" thickBot="1">
      <c r="A32" s="42" t="s">
        <v>309</v>
      </c>
      <c r="B32" s="43">
        <v>2140</v>
      </c>
      <c r="C32" s="165">
        <v>0</v>
      </c>
      <c r="D32" s="165">
        <v>0</v>
      </c>
      <c r="E32" s="165">
        <v>0</v>
      </c>
      <c r="F32" s="165">
        <v>0</v>
      </c>
      <c r="G32" s="158">
        <f t="shared" si="0"/>
        <v>0</v>
      </c>
      <c r="H32" s="290">
        <v>0</v>
      </c>
    </row>
    <row r="33" spans="1:8" ht="27" thickBot="1">
      <c r="A33" s="48" t="s">
        <v>118</v>
      </c>
      <c r="B33" s="40">
        <v>2141</v>
      </c>
      <c r="C33" s="165">
        <v>0</v>
      </c>
      <c r="D33" s="165">
        <v>0</v>
      </c>
      <c r="E33" s="165">
        <v>0</v>
      </c>
      <c r="F33" s="165">
        <v>0</v>
      </c>
      <c r="G33" s="293">
        <v>0</v>
      </c>
      <c r="H33" s="293">
        <v>0</v>
      </c>
    </row>
    <row r="34" spans="1:8" ht="16.2" thickBot="1">
      <c r="A34" s="48" t="s">
        <v>310</v>
      </c>
      <c r="B34" s="40">
        <v>2142</v>
      </c>
      <c r="C34" s="165">
        <v>0</v>
      </c>
      <c r="D34" s="165">
        <v>0</v>
      </c>
      <c r="E34" s="165">
        <v>0</v>
      </c>
      <c r="F34" s="165">
        <v>0</v>
      </c>
      <c r="G34" s="293">
        <v>0</v>
      </c>
      <c r="H34" s="293">
        <v>0</v>
      </c>
    </row>
    <row r="35" spans="1:8" ht="16.2" thickBot="1">
      <c r="A35" s="112" t="s">
        <v>40</v>
      </c>
      <c r="B35" s="40">
        <v>2200</v>
      </c>
      <c r="C35" s="161">
        <f>C11+C21+C26</f>
        <v>351.6</v>
      </c>
      <c r="D35" s="161">
        <f>D11+D21+D26</f>
        <v>291.2</v>
      </c>
      <c r="E35" s="161">
        <f>E11+E21+E26</f>
        <v>541.70000000000005</v>
      </c>
      <c r="F35" s="161">
        <f>F11+F21+F26</f>
        <v>291.2</v>
      </c>
      <c r="G35" s="158">
        <f t="shared" si="0"/>
        <v>-250.50000000000006</v>
      </c>
      <c r="H35" s="159">
        <f>F35/E35*100</f>
        <v>53.756691895883321</v>
      </c>
    </row>
    <row r="36" spans="1:8" ht="57" customHeight="1">
      <c r="A36" s="35" t="s">
        <v>486</v>
      </c>
      <c r="B36" s="365" t="s">
        <v>56</v>
      </c>
      <c r="C36" s="365"/>
      <c r="D36" s="365"/>
      <c r="E36" s="365"/>
      <c r="F36" s="365" t="s">
        <v>442</v>
      </c>
      <c r="G36" s="365"/>
      <c r="H36" s="365"/>
    </row>
    <row r="37" spans="1:8">
      <c r="A37" s="36" t="s">
        <v>53</v>
      </c>
      <c r="B37" s="364" t="s">
        <v>54</v>
      </c>
      <c r="C37" s="364"/>
      <c r="D37" s="364"/>
      <c r="E37" s="364"/>
      <c r="F37" s="364" t="s">
        <v>55</v>
      </c>
      <c r="G37" s="364"/>
      <c r="H37" s="364"/>
    </row>
    <row r="39" spans="1:8">
      <c r="C39" s="201"/>
    </row>
  </sheetData>
  <mergeCells count="13">
    <mergeCell ref="C3:D3"/>
    <mergeCell ref="E3:H3"/>
    <mergeCell ref="A6:H6"/>
    <mergeCell ref="I19:J19"/>
    <mergeCell ref="B36:E36"/>
    <mergeCell ref="F36:H36"/>
    <mergeCell ref="B37:E37"/>
    <mergeCell ref="F37:H37"/>
    <mergeCell ref="G1:H1"/>
    <mergeCell ref="A10:H10"/>
    <mergeCell ref="A2:H2"/>
    <mergeCell ref="A3:A4"/>
    <mergeCell ref="B3:B4"/>
  </mergeCells>
  <phoneticPr fontId="0" type="noConversion"/>
  <pageMargins left="0.23622047244094491" right="3.937007874015748E-2" top="0.15748031496062992" bottom="0.15748031496062992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A1:H83"/>
  <sheetViews>
    <sheetView workbookViewId="0">
      <pane xSplit="2" ySplit="6" topLeftCell="C79" activePane="bottomRight" state="frozen"/>
      <selection pane="topRight" activeCell="C1" sqref="C1"/>
      <selection pane="bottomLeft" activeCell="A7" sqref="A7"/>
      <selection pane="bottomRight" activeCell="B87" sqref="B87"/>
    </sheetView>
  </sheetViews>
  <sheetFormatPr defaultColWidth="10.69921875" defaultRowHeight="15.6"/>
  <cols>
    <col min="1" max="1" width="58.69921875" style="13" customWidth="1"/>
    <col min="2" max="2" width="8.69921875" style="11" customWidth="1"/>
    <col min="3" max="16384" width="10.69921875" style="13"/>
  </cols>
  <sheetData>
    <row r="1" spans="1:8" ht="16.2" thickBot="1">
      <c r="G1" s="429" t="s">
        <v>311</v>
      </c>
      <c r="H1" s="429"/>
    </row>
    <row r="2" spans="1:8" ht="16.2" thickBot="1">
      <c r="A2" s="380" t="s">
        <v>41</v>
      </c>
      <c r="B2" s="381"/>
      <c r="C2" s="381"/>
      <c r="D2" s="381"/>
      <c r="E2" s="381"/>
      <c r="F2" s="381"/>
      <c r="G2" s="381"/>
      <c r="H2" s="382"/>
    </row>
    <row r="3" spans="1:8" ht="39" customHeight="1" thickBot="1">
      <c r="A3" s="417" t="s">
        <v>14</v>
      </c>
      <c r="B3" s="417" t="s">
        <v>15</v>
      </c>
      <c r="C3" s="419" t="s">
        <v>119</v>
      </c>
      <c r="D3" s="420"/>
      <c r="E3" s="419" t="s">
        <v>17</v>
      </c>
      <c r="F3" s="421"/>
      <c r="G3" s="421"/>
      <c r="H3" s="420"/>
    </row>
    <row r="4" spans="1:8" ht="39" customHeight="1" thickBot="1">
      <c r="A4" s="418"/>
      <c r="B4" s="418"/>
      <c r="C4" s="93" t="s">
        <v>18</v>
      </c>
      <c r="D4" s="93" t="s">
        <v>19</v>
      </c>
      <c r="E4" s="93" t="s">
        <v>20</v>
      </c>
      <c r="F4" s="93" t="s">
        <v>21</v>
      </c>
      <c r="G4" s="93" t="s">
        <v>22</v>
      </c>
      <c r="H4" s="93" t="s">
        <v>23</v>
      </c>
    </row>
    <row r="5" spans="1:8" ht="16.2" thickBot="1">
      <c r="A5" s="6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ht="16.2" thickBot="1">
      <c r="A6" s="380" t="s">
        <v>120</v>
      </c>
      <c r="B6" s="381"/>
      <c r="C6" s="381"/>
      <c r="D6" s="381"/>
      <c r="E6" s="381"/>
      <c r="F6" s="381"/>
      <c r="G6" s="381"/>
      <c r="H6" s="382"/>
    </row>
    <row r="7" spans="1:8" ht="16.05" customHeight="1" thickBot="1">
      <c r="A7" s="49" t="s">
        <v>312</v>
      </c>
      <c r="B7" s="50">
        <v>3000</v>
      </c>
      <c r="C7" s="110">
        <f>SUM(C8:C17)</f>
        <v>0</v>
      </c>
      <c r="D7" s="110">
        <f ca="1">'І.Форм. фін. рез.'!D115</f>
        <v>96.4</v>
      </c>
      <c r="E7" s="110">
        <f ca="1">SUM(E8:E17)</f>
        <v>402.9</v>
      </c>
      <c r="F7" s="110">
        <f ca="1">'І.Форм. фін. рез.'!F115</f>
        <v>96.4</v>
      </c>
      <c r="G7" s="110">
        <f>F7-E7</f>
        <v>-306.5</v>
      </c>
      <c r="H7" s="110">
        <f>F7/E7*100</f>
        <v>23.926532638371807</v>
      </c>
    </row>
    <row r="8" spans="1:8" ht="16.2" thickBot="1">
      <c r="A8" s="83" t="s">
        <v>313</v>
      </c>
      <c r="B8" s="43">
        <v>3010</v>
      </c>
      <c r="C8" s="167">
        <v>0</v>
      </c>
      <c r="D8" s="167">
        <f ca="1">'І.Форм. фін. рез.'!D7</f>
        <v>24.7</v>
      </c>
      <c r="E8" s="167">
        <v>338.8</v>
      </c>
      <c r="F8" s="167">
        <f ca="1">'І.Форм. фін. рез.'!F7</f>
        <v>24.7</v>
      </c>
      <c r="G8" s="110">
        <f t="shared" ref="G8:G39" si="0">F8-E8</f>
        <v>-314.10000000000002</v>
      </c>
      <c r="H8" s="110">
        <f>F8/E8*100</f>
        <v>7.2904368358913816</v>
      </c>
    </row>
    <row r="9" spans="1:8" ht="16.2" thickBot="1">
      <c r="A9" s="42" t="s">
        <v>314</v>
      </c>
      <c r="B9" s="43">
        <v>3020</v>
      </c>
      <c r="C9" s="167">
        <v>0</v>
      </c>
      <c r="D9" s="167">
        <v>0</v>
      </c>
      <c r="E9" s="167">
        <v>0</v>
      </c>
      <c r="F9" s="167">
        <v>0</v>
      </c>
      <c r="G9" s="110">
        <f t="shared" si="0"/>
        <v>0</v>
      </c>
      <c r="H9" s="134">
        <v>0</v>
      </c>
    </row>
    <row r="10" spans="1:8" ht="16.2" thickBot="1">
      <c r="A10" s="42" t="s">
        <v>315</v>
      </c>
      <c r="B10" s="43">
        <v>3030</v>
      </c>
      <c r="C10" s="167">
        <v>0</v>
      </c>
      <c r="D10" s="167">
        <v>0</v>
      </c>
      <c r="E10" s="167">
        <v>0</v>
      </c>
      <c r="F10" s="167">
        <v>0</v>
      </c>
      <c r="G10" s="110">
        <f t="shared" si="0"/>
        <v>0</v>
      </c>
      <c r="H10" s="134">
        <v>0</v>
      </c>
    </row>
    <row r="11" spans="1:8" ht="16.2" thickBot="1">
      <c r="A11" s="42" t="s">
        <v>316</v>
      </c>
      <c r="B11" s="43">
        <v>3040</v>
      </c>
      <c r="C11" s="167">
        <v>0</v>
      </c>
      <c r="D11" s="167">
        <v>0</v>
      </c>
      <c r="E11" s="167">
        <v>0</v>
      </c>
      <c r="F11" s="167">
        <v>0</v>
      </c>
      <c r="G11" s="110">
        <f t="shared" si="0"/>
        <v>0</v>
      </c>
      <c r="H11" s="134">
        <v>0</v>
      </c>
    </row>
    <row r="12" spans="1:8" ht="16.2" thickBot="1">
      <c r="A12" s="42" t="s">
        <v>317</v>
      </c>
      <c r="B12" s="43">
        <v>3050</v>
      </c>
      <c r="C12" s="167">
        <v>0</v>
      </c>
      <c r="D12" s="167">
        <v>0</v>
      </c>
      <c r="E12" s="167">
        <v>0</v>
      </c>
      <c r="F12" s="167">
        <v>0</v>
      </c>
      <c r="G12" s="110">
        <f t="shared" si="0"/>
        <v>0</v>
      </c>
      <c r="H12" s="134">
        <v>0</v>
      </c>
    </row>
    <row r="13" spans="1:8" ht="16.2" thickBot="1">
      <c r="A13" s="42" t="s">
        <v>127</v>
      </c>
      <c r="B13" s="43">
        <v>3060</v>
      </c>
      <c r="C13" s="167">
        <v>0</v>
      </c>
      <c r="D13" s="167">
        <v>0</v>
      </c>
      <c r="E13" s="167">
        <v>0</v>
      </c>
      <c r="F13" s="167">
        <v>0</v>
      </c>
      <c r="G13" s="110">
        <f t="shared" si="0"/>
        <v>0</v>
      </c>
      <c r="H13" s="134">
        <v>0</v>
      </c>
    </row>
    <row r="14" spans="1:8" ht="16.2" thickBot="1">
      <c r="A14" s="42" t="s">
        <v>124</v>
      </c>
      <c r="B14" s="43">
        <v>3061</v>
      </c>
      <c r="C14" s="167">
        <v>0</v>
      </c>
      <c r="D14" s="167">
        <v>0</v>
      </c>
      <c r="E14" s="167">
        <v>0</v>
      </c>
      <c r="F14" s="167">
        <v>0</v>
      </c>
      <c r="G14" s="110">
        <f t="shared" si="0"/>
        <v>0</v>
      </c>
      <c r="H14" s="134">
        <v>0</v>
      </c>
    </row>
    <row r="15" spans="1:8" ht="16.2" thickBot="1">
      <c r="A15" s="42" t="s">
        <v>125</v>
      </c>
      <c r="B15" s="43">
        <v>3062</v>
      </c>
      <c r="C15" s="167">
        <v>0</v>
      </c>
      <c r="D15" s="167">
        <v>0</v>
      </c>
      <c r="E15" s="167">
        <v>0</v>
      </c>
      <c r="F15" s="167">
        <v>0</v>
      </c>
      <c r="G15" s="110">
        <f t="shared" si="0"/>
        <v>0</v>
      </c>
      <c r="H15" s="134">
        <v>0</v>
      </c>
    </row>
    <row r="16" spans="1:8" ht="16.2" thickBot="1">
      <c r="A16" s="42" t="s">
        <v>126</v>
      </c>
      <c r="B16" s="43">
        <v>3063</v>
      </c>
      <c r="C16" s="167">
        <v>0</v>
      </c>
      <c r="D16" s="167">
        <v>0</v>
      </c>
      <c r="E16" s="167">
        <v>0</v>
      </c>
      <c r="F16" s="167">
        <v>0</v>
      </c>
      <c r="G16" s="110">
        <f t="shared" si="0"/>
        <v>0</v>
      </c>
      <c r="H16" s="134">
        <v>0</v>
      </c>
    </row>
    <row r="17" spans="1:8" ht="16.2" thickBot="1">
      <c r="A17" s="128" t="s">
        <v>123</v>
      </c>
      <c r="B17" s="129">
        <v>3070</v>
      </c>
      <c r="C17" s="115">
        <f>C18</f>
        <v>0</v>
      </c>
      <c r="D17" s="115">
        <f>D18</f>
        <v>0</v>
      </c>
      <c r="E17" s="115">
        <f>E18</f>
        <v>64.099999999999994</v>
      </c>
      <c r="F17" s="115">
        <f>F18</f>
        <v>0</v>
      </c>
      <c r="G17" s="115">
        <f t="shared" si="0"/>
        <v>-64.099999999999994</v>
      </c>
      <c r="H17" s="115">
        <f t="shared" ref="H17:H22" si="1">F17/E17*100</f>
        <v>0</v>
      </c>
    </row>
    <row r="18" spans="1:8" ht="16.2" thickBot="1">
      <c r="A18" s="166" t="s">
        <v>457</v>
      </c>
      <c r="B18" s="43"/>
      <c r="C18" s="167">
        <v>0</v>
      </c>
      <c r="D18" s="167">
        <v>0</v>
      </c>
      <c r="E18" s="167">
        <v>64.099999999999994</v>
      </c>
      <c r="F18" s="167">
        <v>0</v>
      </c>
      <c r="G18" s="110">
        <f t="shared" si="0"/>
        <v>-64.099999999999994</v>
      </c>
      <c r="H18" s="110">
        <f t="shared" si="1"/>
        <v>0</v>
      </c>
    </row>
    <row r="19" spans="1:8" ht="16.2" customHeight="1" thickBot="1">
      <c r="A19" s="46" t="s">
        <v>318</v>
      </c>
      <c r="B19" s="47">
        <v>3100</v>
      </c>
      <c r="C19" s="110">
        <f ca="1">SUM(C20:C27)</f>
        <v>746.1</v>
      </c>
      <c r="D19" s="110">
        <f ca="1">'І.Форм. фін. рез.'!D116</f>
        <v>582.1</v>
      </c>
      <c r="E19" s="110">
        <f ca="1">SUM(E20:E27)</f>
        <v>813.99999999999989</v>
      </c>
      <c r="F19" s="110">
        <f ca="1">'І.Форм. фін. рез.'!F116</f>
        <v>582.1</v>
      </c>
      <c r="G19" s="110">
        <f t="shared" si="0"/>
        <v>-231.89999999999986</v>
      </c>
      <c r="H19" s="110">
        <f t="shared" si="1"/>
        <v>71.511056511056523</v>
      </c>
    </row>
    <row r="20" spans="1:8" ht="16.2" thickBot="1">
      <c r="A20" s="166" t="s">
        <v>319</v>
      </c>
      <c r="B20" s="43">
        <v>3110</v>
      </c>
      <c r="C20" s="261">
        <v>0</v>
      </c>
      <c r="D20" s="261">
        <v>0</v>
      </c>
      <c r="E20" s="167">
        <v>53.7</v>
      </c>
      <c r="F20" s="261">
        <v>0</v>
      </c>
      <c r="G20" s="110">
        <f t="shared" si="0"/>
        <v>-53.7</v>
      </c>
      <c r="H20" s="110">
        <f t="shared" si="1"/>
        <v>0</v>
      </c>
    </row>
    <row r="21" spans="1:8" ht="16.2" thickBot="1">
      <c r="A21" s="166" t="s">
        <v>320</v>
      </c>
      <c r="B21" s="43">
        <v>3120</v>
      </c>
      <c r="C21" s="125">
        <f ca="1">'І.Форм. фін. рез.'!C12+'І.Форм. фін. рез.'!C36</f>
        <v>511</v>
      </c>
      <c r="D21" s="110">
        <f ca="1">'І.Форм. фін. рез.'!D12+'І.Форм. фін. рез.'!D36</f>
        <v>328.2</v>
      </c>
      <c r="E21" s="167">
        <v>422.9</v>
      </c>
      <c r="F21" s="110">
        <f ca="1">'І.Форм. фін. рез.'!F12+'І.Форм. фін. рез.'!F36</f>
        <v>328.2</v>
      </c>
      <c r="G21" s="110">
        <f t="shared" si="0"/>
        <v>-94.699999999999989</v>
      </c>
      <c r="H21" s="110">
        <f t="shared" si="1"/>
        <v>77.60699929061245</v>
      </c>
    </row>
    <row r="22" spans="1:8" ht="16.2" thickBot="1">
      <c r="A22" s="166" t="s">
        <v>108</v>
      </c>
      <c r="B22" s="43">
        <v>3130</v>
      </c>
      <c r="C22" s="301">
        <f ca="1">'І.Форм. фін. рез.'!C13+'І.Форм. фін. рез.'!C37</f>
        <v>112.2</v>
      </c>
      <c r="D22" s="145">
        <f ca="1">'І.Форм. фін. рез.'!D13+'І.Форм. фін. рез.'!D37</f>
        <v>70.900000000000006</v>
      </c>
      <c r="E22" s="260">
        <v>93</v>
      </c>
      <c r="F22" s="145">
        <f ca="1">'І.Форм. фін. рез.'!F13+'І.Форм. фін. рез.'!F37</f>
        <v>70.900000000000006</v>
      </c>
      <c r="G22" s="110">
        <f t="shared" si="0"/>
        <v>-22.099999999999994</v>
      </c>
      <c r="H22" s="110">
        <f t="shared" si="1"/>
        <v>76.236559139784958</v>
      </c>
    </row>
    <row r="23" spans="1:8" ht="16.2" thickBot="1">
      <c r="A23" s="42" t="s">
        <v>128</v>
      </c>
      <c r="B23" s="43">
        <v>3140</v>
      </c>
      <c r="C23" s="261">
        <v>0</v>
      </c>
      <c r="D23" s="261">
        <v>0</v>
      </c>
      <c r="E23" s="261">
        <v>0</v>
      </c>
      <c r="F23" s="261">
        <v>0</v>
      </c>
      <c r="G23" s="110">
        <f t="shared" si="0"/>
        <v>0</v>
      </c>
      <c r="H23" s="134">
        <v>0</v>
      </c>
    </row>
    <row r="24" spans="1:8" ht="16.2" thickBot="1">
      <c r="A24" s="42" t="s">
        <v>124</v>
      </c>
      <c r="B24" s="43">
        <v>3141</v>
      </c>
      <c r="C24" s="261">
        <v>0</v>
      </c>
      <c r="D24" s="261">
        <v>0</v>
      </c>
      <c r="E24" s="261">
        <v>0</v>
      </c>
      <c r="F24" s="261">
        <v>0</v>
      </c>
      <c r="G24" s="110">
        <f t="shared" si="0"/>
        <v>0</v>
      </c>
      <c r="H24" s="134">
        <v>0</v>
      </c>
    </row>
    <row r="25" spans="1:8" ht="16.2" thickBot="1">
      <c r="A25" s="42" t="s">
        <v>125</v>
      </c>
      <c r="B25" s="43">
        <v>3142</v>
      </c>
      <c r="C25" s="261">
        <v>0</v>
      </c>
      <c r="D25" s="261">
        <v>0</v>
      </c>
      <c r="E25" s="261">
        <v>0</v>
      </c>
      <c r="F25" s="261">
        <v>0</v>
      </c>
      <c r="G25" s="110">
        <f t="shared" si="0"/>
        <v>0</v>
      </c>
      <c r="H25" s="134">
        <v>0</v>
      </c>
    </row>
    <row r="26" spans="1:8" ht="16.2" thickBot="1">
      <c r="A26" s="42" t="s">
        <v>126</v>
      </c>
      <c r="B26" s="43">
        <v>3143</v>
      </c>
      <c r="C26" s="261">
        <v>0</v>
      </c>
      <c r="D26" s="261">
        <v>0</v>
      </c>
      <c r="E26" s="261">
        <v>0</v>
      </c>
      <c r="F26" s="261">
        <v>0</v>
      </c>
      <c r="G26" s="110">
        <f t="shared" si="0"/>
        <v>0</v>
      </c>
      <c r="H26" s="134">
        <v>0</v>
      </c>
    </row>
    <row r="27" spans="1:8" ht="16.05" customHeight="1" thickBot="1">
      <c r="A27" s="42" t="s">
        <v>321</v>
      </c>
      <c r="B27" s="43">
        <v>3150</v>
      </c>
      <c r="C27" s="302">
        <f>SUM(C28:C36)</f>
        <v>122.9</v>
      </c>
      <c r="D27" s="302">
        <f>F27</f>
        <v>74.7</v>
      </c>
      <c r="E27" s="303">
        <v>244.4</v>
      </c>
      <c r="F27" s="302">
        <f>SUM(F28:F36)</f>
        <v>74.7</v>
      </c>
      <c r="G27" s="110">
        <f t="shared" si="0"/>
        <v>-169.7</v>
      </c>
      <c r="H27" s="110">
        <f>F27/E27*100</f>
        <v>30.56464811783961</v>
      </c>
    </row>
    <row r="28" spans="1:8" ht="16.2" thickBot="1">
      <c r="A28" s="294" t="s">
        <v>224</v>
      </c>
      <c r="B28" s="250">
        <v>3151</v>
      </c>
      <c r="C28" s="260">
        <v>0</v>
      </c>
      <c r="D28" s="145">
        <f ca="1">'IІ.Розр. з бюдж'!D12</f>
        <v>14</v>
      </c>
      <c r="E28" s="260">
        <v>0</v>
      </c>
      <c r="F28" s="145">
        <f ca="1">'IІ.Розр. з бюдж'!F12</f>
        <v>14</v>
      </c>
      <c r="G28" s="145">
        <f t="shared" si="0"/>
        <v>14</v>
      </c>
      <c r="H28" s="134">
        <v>0</v>
      </c>
    </row>
    <row r="29" spans="1:8" ht="16.2" thickBot="1">
      <c r="A29" s="253" t="s">
        <v>322</v>
      </c>
      <c r="B29" s="57">
        <v>3152</v>
      </c>
      <c r="C29" s="147">
        <f ca="1">'IІ.Розр. з бюдж'!C13</f>
        <v>15.9</v>
      </c>
      <c r="D29" s="147">
        <f ca="1">'IІ.Розр. з бюдж'!D13</f>
        <v>0</v>
      </c>
      <c r="E29" s="147">
        <f ca="1">'IІ.Розр. з бюдж'!E13</f>
        <v>133.80000000000001</v>
      </c>
      <c r="F29" s="147">
        <f ca="1">'IІ.Розр. з бюдж'!F13</f>
        <v>0</v>
      </c>
      <c r="G29" s="147">
        <f t="shared" si="0"/>
        <v>-133.80000000000001</v>
      </c>
      <c r="H29" s="147">
        <f>F29/E29*100</f>
        <v>0</v>
      </c>
    </row>
    <row r="30" spans="1:8" ht="16.2" thickBot="1">
      <c r="A30" s="44" t="s">
        <v>116</v>
      </c>
      <c r="B30" s="57">
        <v>3153</v>
      </c>
      <c r="C30" s="261">
        <v>0</v>
      </c>
      <c r="D30" s="261">
        <v>0</v>
      </c>
      <c r="E30" s="261">
        <v>0</v>
      </c>
      <c r="F30" s="304">
        <v>0</v>
      </c>
      <c r="G30" s="147">
        <f t="shared" si="0"/>
        <v>0</v>
      </c>
      <c r="H30" s="134">
        <v>0</v>
      </c>
    </row>
    <row r="31" spans="1:8" ht="16.2" thickBot="1">
      <c r="A31" s="61" t="s">
        <v>323</v>
      </c>
      <c r="B31" s="250">
        <v>3154</v>
      </c>
      <c r="C31" s="341">
        <v>0</v>
      </c>
      <c r="D31" s="341">
        <v>0</v>
      </c>
      <c r="E31" s="341">
        <v>0</v>
      </c>
      <c r="F31" s="342">
        <v>0</v>
      </c>
      <c r="G31" s="145">
        <f t="shared" si="0"/>
        <v>0</v>
      </c>
      <c r="H31" s="300">
        <v>0</v>
      </c>
    </row>
    <row r="32" spans="1:8" ht="16.2" thickBot="1">
      <c r="A32" s="343" t="s">
        <v>212</v>
      </c>
      <c r="B32" s="68">
        <v>3155</v>
      </c>
      <c r="C32" s="147">
        <f ca="1">'IІ.Розр. з бюдж'!C22</f>
        <v>107</v>
      </c>
      <c r="D32" s="147">
        <f ca="1">'IІ.Розр. з бюдж'!D22</f>
        <v>60.7</v>
      </c>
      <c r="E32" s="261">
        <v>76.099999999999994</v>
      </c>
      <c r="F32" s="147">
        <f ca="1">'IІ.Розр. з бюдж'!F22</f>
        <v>60.7</v>
      </c>
      <c r="G32" s="147">
        <f t="shared" si="0"/>
        <v>-15.399999999999991</v>
      </c>
      <c r="H32" s="147">
        <f>F32/E32*100</f>
        <v>79.763469119579511</v>
      </c>
    </row>
    <row r="33" spans="1:8" ht="16.2" thickBot="1">
      <c r="A33" s="44" t="s">
        <v>324</v>
      </c>
      <c r="B33" s="57">
        <v>3156</v>
      </c>
      <c r="C33" s="261">
        <v>0</v>
      </c>
      <c r="D33" s="261">
        <v>0</v>
      </c>
      <c r="E33" s="261">
        <v>234.6</v>
      </c>
      <c r="F33" s="261">
        <v>0</v>
      </c>
      <c r="G33" s="147">
        <f t="shared" si="0"/>
        <v>-234.6</v>
      </c>
      <c r="H33" s="147">
        <f>F33/E33*100</f>
        <v>0</v>
      </c>
    </row>
    <row r="34" spans="1:8" ht="27" thickBot="1">
      <c r="A34" s="42" t="s">
        <v>299</v>
      </c>
      <c r="B34" s="43" t="s">
        <v>325</v>
      </c>
      <c r="C34" s="167">
        <v>0</v>
      </c>
      <c r="D34" s="167">
        <v>0</v>
      </c>
      <c r="E34" s="167">
        <v>0</v>
      </c>
      <c r="F34" s="167">
        <v>0</v>
      </c>
      <c r="G34" s="110">
        <f t="shared" si="0"/>
        <v>0</v>
      </c>
      <c r="H34" s="134">
        <v>0</v>
      </c>
    </row>
    <row r="35" spans="1:8" ht="40.200000000000003" thickBot="1">
      <c r="A35" s="44" t="s">
        <v>305</v>
      </c>
      <c r="B35" s="45" t="s">
        <v>326</v>
      </c>
      <c r="C35" s="167">
        <v>0</v>
      </c>
      <c r="D35" s="167">
        <v>0</v>
      </c>
      <c r="E35" s="167">
        <v>0</v>
      </c>
      <c r="F35" s="167">
        <v>0</v>
      </c>
      <c r="G35" s="110">
        <f t="shared" si="0"/>
        <v>0</v>
      </c>
      <c r="H35" s="134">
        <v>0</v>
      </c>
    </row>
    <row r="36" spans="1:8" ht="16.2" thickBot="1">
      <c r="A36" s="42" t="s">
        <v>327</v>
      </c>
      <c r="B36" s="43">
        <v>3157</v>
      </c>
      <c r="C36" s="167">
        <v>0</v>
      </c>
      <c r="D36" s="167">
        <v>0</v>
      </c>
      <c r="E36" s="167">
        <v>4.2</v>
      </c>
      <c r="F36" s="167">
        <v>0</v>
      </c>
      <c r="G36" s="110">
        <f t="shared" si="0"/>
        <v>-4.2</v>
      </c>
      <c r="H36" s="110">
        <f>F36/E36*100</f>
        <v>0</v>
      </c>
    </row>
    <row r="37" spans="1:8" ht="16.2" thickBot="1">
      <c r="A37" s="42" t="s">
        <v>328</v>
      </c>
      <c r="B37" s="43">
        <v>3160</v>
      </c>
      <c r="C37" s="167">
        <v>0</v>
      </c>
      <c r="D37" s="167">
        <v>0</v>
      </c>
      <c r="E37" s="167">
        <v>0</v>
      </c>
      <c r="F37" s="167">
        <v>0</v>
      </c>
      <c r="G37" s="110">
        <f t="shared" si="0"/>
        <v>0</v>
      </c>
      <c r="H37" s="134">
        <v>0</v>
      </c>
    </row>
    <row r="38" spans="1:8" ht="16.2" thickBot="1">
      <c r="A38" s="42" t="s">
        <v>329</v>
      </c>
      <c r="B38" s="43">
        <v>3170</v>
      </c>
      <c r="C38" s="167">
        <v>0</v>
      </c>
      <c r="D38" s="167">
        <v>0</v>
      </c>
      <c r="E38" s="167">
        <v>9.8000000000000007</v>
      </c>
      <c r="F38" s="167">
        <v>0</v>
      </c>
      <c r="G38" s="110">
        <f t="shared" si="0"/>
        <v>-9.8000000000000007</v>
      </c>
      <c r="H38" s="110">
        <f>F38/E38*100</f>
        <v>0</v>
      </c>
    </row>
    <row r="39" spans="1:8" ht="16.2" thickBot="1">
      <c r="A39" s="46" t="s">
        <v>235</v>
      </c>
      <c r="B39" s="47">
        <v>3195</v>
      </c>
      <c r="C39" s="110">
        <f ca="1">'І.Форм. фін. рез.'!C112</f>
        <v>-568.19999999999993</v>
      </c>
      <c r="D39" s="110">
        <f ca="1">'І.Форм. фін. рез.'!D112</f>
        <v>-485.7</v>
      </c>
      <c r="E39" s="110">
        <f ca="1">'І.Форм. фін. рез.'!E112</f>
        <v>-411.10000000000008</v>
      </c>
      <c r="F39" s="110">
        <f ca="1">'І.Форм. фін. рез.'!F112</f>
        <v>-485.7</v>
      </c>
      <c r="G39" s="110">
        <f t="shared" si="0"/>
        <v>-74.599999999999909</v>
      </c>
      <c r="H39" s="110">
        <f>F39/E39*100</f>
        <v>118.14643639017268</v>
      </c>
    </row>
    <row r="40" spans="1:8" ht="16.2" thickBot="1">
      <c r="A40" s="380" t="s">
        <v>121</v>
      </c>
      <c r="B40" s="381"/>
      <c r="C40" s="381"/>
      <c r="D40" s="381"/>
      <c r="E40" s="381"/>
      <c r="F40" s="381"/>
      <c r="G40" s="381"/>
      <c r="H40" s="382"/>
    </row>
    <row r="41" spans="1:8" ht="16.2" thickBot="1">
      <c r="A41" s="49" t="s">
        <v>330</v>
      </c>
      <c r="B41" s="50">
        <v>3200</v>
      </c>
      <c r="C41" s="167">
        <v>0</v>
      </c>
      <c r="D41" s="167">
        <v>0</v>
      </c>
      <c r="E41" s="167">
        <v>0</v>
      </c>
      <c r="F41" s="167">
        <v>0</v>
      </c>
      <c r="G41" s="110">
        <f t="shared" ref="G41:G58" si="2">F41-E41</f>
        <v>0</v>
      </c>
      <c r="H41" s="134">
        <v>0</v>
      </c>
    </row>
    <row r="42" spans="1:8" ht="16.2" thickBot="1">
      <c r="A42" s="42" t="s">
        <v>331</v>
      </c>
      <c r="B42" s="43">
        <v>3210</v>
      </c>
      <c r="C42" s="167">
        <v>0</v>
      </c>
      <c r="D42" s="167">
        <v>0</v>
      </c>
      <c r="E42" s="167">
        <v>0</v>
      </c>
      <c r="F42" s="167">
        <v>0</v>
      </c>
      <c r="G42" s="110">
        <f t="shared" si="2"/>
        <v>0</v>
      </c>
      <c r="H42" s="134">
        <v>0</v>
      </c>
    </row>
    <row r="43" spans="1:8" ht="16.2" thickBot="1">
      <c r="A43" s="42" t="s">
        <v>332</v>
      </c>
      <c r="B43" s="43">
        <v>3215</v>
      </c>
      <c r="C43" s="167">
        <v>0</v>
      </c>
      <c r="D43" s="167">
        <v>0</v>
      </c>
      <c r="E43" s="167">
        <v>0</v>
      </c>
      <c r="F43" s="167">
        <v>0</v>
      </c>
      <c r="G43" s="110">
        <f t="shared" si="2"/>
        <v>0</v>
      </c>
      <c r="H43" s="134">
        <v>0</v>
      </c>
    </row>
    <row r="44" spans="1:8" ht="16.2" thickBot="1">
      <c r="A44" s="42" t="s">
        <v>333</v>
      </c>
      <c r="B44" s="43">
        <v>3220</v>
      </c>
      <c r="C44" s="167">
        <v>0</v>
      </c>
      <c r="D44" s="167">
        <v>0</v>
      </c>
      <c r="E44" s="167">
        <v>0</v>
      </c>
      <c r="F44" s="167">
        <v>0</v>
      </c>
      <c r="G44" s="110">
        <f t="shared" si="2"/>
        <v>0</v>
      </c>
      <c r="H44" s="134">
        <v>0</v>
      </c>
    </row>
    <row r="45" spans="1:8" ht="16.2" thickBot="1">
      <c r="A45" s="42" t="s">
        <v>334</v>
      </c>
      <c r="B45" s="43">
        <v>3225</v>
      </c>
      <c r="C45" s="167">
        <v>0</v>
      </c>
      <c r="D45" s="167">
        <v>0</v>
      </c>
      <c r="E45" s="167">
        <v>0</v>
      </c>
      <c r="F45" s="167">
        <v>0</v>
      </c>
      <c r="G45" s="110">
        <f t="shared" si="2"/>
        <v>0</v>
      </c>
      <c r="H45" s="134">
        <v>0</v>
      </c>
    </row>
    <row r="46" spans="1:8" ht="16.2" thickBot="1">
      <c r="A46" s="42" t="s">
        <v>335</v>
      </c>
      <c r="B46" s="43">
        <v>3230</v>
      </c>
      <c r="C46" s="167">
        <v>0</v>
      </c>
      <c r="D46" s="167">
        <v>0</v>
      </c>
      <c r="E46" s="167">
        <v>0</v>
      </c>
      <c r="F46" s="167">
        <v>0</v>
      </c>
      <c r="G46" s="110">
        <f t="shared" si="2"/>
        <v>0</v>
      </c>
      <c r="H46" s="134">
        <v>0</v>
      </c>
    </row>
    <row r="47" spans="1:8" ht="16.2" thickBot="1">
      <c r="A47" s="42" t="s">
        <v>122</v>
      </c>
      <c r="B47" s="43">
        <v>3235</v>
      </c>
      <c r="C47" s="167">
        <v>0</v>
      </c>
      <c r="D47" s="167">
        <v>0</v>
      </c>
      <c r="E47" s="167">
        <v>0</v>
      </c>
      <c r="F47" s="167">
        <v>0</v>
      </c>
      <c r="G47" s="110">
        <f t="shared" si="2"/>
        <v>0</v>
      </c>
      <c r="H47" s="134">
        <v>0</v>
      </c>
    </row>
    <row r="48" spans="1:8" ht="16.2" thickBot="1">
      <c r="A48" s="42" t="s">
        <v>123</v>
      </c>
      <c r="B48" s="43">
        <v>3240</v>
      </c>
      <c r="C48" s="167">
        <v>0</v>
      </c>
      <c r="D48" s="167">
        <v>0</v>
      </c>
      <c r="E48" s="167">
        <v>0</v>
      </c>
      <c r="F48" s="167">
        <v>0</v>
      </c>
      <c r="G48" s="110">
        <f t="shared" si="2"/>
        <v>0</v>
      </c>
      <c r="H48" s="134">
        <v>0</v>
      </c>
    </row>
    <row r="49" spans="1:8" ht="16.2" thickBot="1">
      <c r="A49" s="46" t="s">
        <v>336</v>
      </c>
      <c r="B49" s="47">
        <v>3255</v>
      </c>
      <c r="C49" s="167">
        <v>0</v>
      </c>
      <c r="D49" s="167">
        <v>0</v>
      </c>
      <c r="E49" s="167">
        <v>0</v>
      </c>
      <c r="F49" s="167">
        <v>0</v>
      </c>
      <c r="G49" s="110">
        <f t="shared" si="2"/>
        <v>0</v>
      </c>
      <c r="H49" s="134">
        <v>0</v>
      </c>
    </row>
    <row r="50" spans="1:8" ht="16.2" thickBot="1">
      <c r="A50" s="42" t="s">
        <v>337</v>
      </c>
      <c r="B50" s="43">
        <v>3260</v>
      </c>
      <c r="C50" s="167">
        <v>0</v>
      </c>
      <c r="D50" s="167">
        <v>0</v>
      </c>
      <c r="E50" s="167">
        <v>0</v>
      </c>
      <c r="F50" s="167">
        <v>0</v>
      </c>
      <c r="G50" s="110">
        <f t="shared" si="2"/>
        <v>0</v>
      </c>
      <c r="H50" s="134">
        <v>0</v>
      </c>
    </row>
    <row r="51" spans="1:8" ht="16.2" thickBot="1">
      <c r="A51" s="42" t="s">
        <v>338</v>
      </c>
      <c r="B51" s="43">
        <v>3265</v>
      </c>
      <c r="C51" s="167">
        <v>0</v>
      </c>
      <c r="D51" s="167">
        <v>0</v>
      </c>
      <c r="E51" s="167">
        <v>0</v>
      </c>
      <c r="F51" s="167">
        <v>0</v>
      </c>
      <c r="G51" s="110">
        <f t="shared" si="2"/>
        <v>0</v>
      </c>
      <c r="H51" s="134">
        <v>0</v>
      </c>
    </row>
    <row r="52" spans="1:8" ht="16.2" thickBot="1">
      <c r="A52" s="208" t="s">
        <v>339</v>
      </c>
      <c r="B52" s="43">
        <v>3270</v>
      </c>
      <c r="C52" s="167">
        <v>0</v>
      </c>
      <c r="D52" s="167">
        <v>0</v>
      </c>
      <c r="E52" s="167">
        <v>0</v>
      </c>
      <c r="F52" s="167">
        <v>0</v>
      </c>
      <c r="G52" s="110">
        <f t="shared" si="2"/>
        <v>0</v>
      </c>
      <c r="H52" s="134">
        <v>0</v>
      </c>
    </row>
    <row r="53" spans="1:8" ht="16.2" thickBot="1">
      <c r="A53" s="208" t="s">
        <v>340</v>
      </c>
      <c r="B53" s="43" t="s">
        <v>341</v>
      </c>
      <c r="C53" s="167">
        <v>0</v>
      </c>
      <c r="D53" s="167">
        <v>0</v>
      </c>
      <c r="E53" s="167">
        <v>0</v>
      </c>
      <c r="F53" s="167">
        <v>0</v>
      </c>
      <c r="G53" s="110">
        <f t="shared" si="2"/>
        <v>0</v>
      </c>
      <c r="H53" s="134">
        <v>0</v>
      </c>
    </row>
    <row r="54" spans="1:8" ht="16.2" thickBot="1">
      <c r="A54" s="208" t="s">
        <v>342</v>
      </c>
      <c r="B54" s="43" t="s">
        <v>343</v>
      </c>
      <c r="C54" s="167">
        <v>0</v>
      </c>
      <c r="D54" s="167">
        <v>0</v>
      </c>
      <c r="E54" s="167">
        <v>0</v>
      </c>
      <c r="F54" s="167">
        <v>0</v>
      </c>
      <c r="G54" s="110">
        <f t="shared" si="2"/>
        <v>0</v>
      </c>
      <c r="H54" s="134">
        <v>0</v>
      </c>
    </row>
    <row r="55" spans="1:8" ht="16.2" thickBot="1">
      <c r="A55" s="208" t="s">
        <v>344</v>
      </c>
      <c r="B55" s="43" t="s">
        <v>345</v>
      </c>
      <c r="C55" s="167">
        <v>0</v>
      </c>
      <c r="D55" s="167">
        <v>0</v>
      </c>
      <c r="E55" s="167">
        <v>0</v>
      </c>
      <c r="F55" s="167">
        <v>0</v>
      </c>
      <c r="G55" s="110">
        <f t="shared" si="2"/>
        <v>0</v>
      </c>
      <c r="H55" s="134">
        <v>0</v>
      </c>
    </row>
    <row r="56" spans="1:8" ht="16.2" thickBot="1">
      <c r="A56" s="42" t="s">
        <v>346</v>
      </c>
      <c r="B56" s="43">
        <v>3280</v>
      </c>
      <c r="C56" s="167">
        <v>0</v>
      </c>
      <c r="D56" s="167">
        <v>0</v>
      </c>
      <c r="E56" s="167">
        <v>0</v>
      </c>
      <c r="F56" s="167">
        <v>0</v>
      </c>
      <c r="G56" s="110">
        <f t="shared" si="2"/>
        <v>0</v>
      </c>
      <c r="H56" s="134">
        <v>0</v>
      </c>
    </row>
    <row r="57" spans="1:8" ht="16.2" thickBot="1">
      <c r="A57" s="42" t="s">
        <v>327</v>
      </c>
      <c r="B57" s="43">
        <v>3290</v>
      </c>
      <c r="C57" s="167">
        <v>0</v>
      </c>
      <c r="D57" s="167">
        <v>0</v>
      </c>
      <c r="E57" s="167">
        <v>0</v>
      </c>
      <c r="F57" s="167">
        <v>0</v>
      </c>
      <c r="G57" s="110">
        <f t="shared" si="2"/>
        <v>0</v>
      </c>
      <c r="H57" s="134">
        <v>0</v>
      </c>
    </row>
    <row r="58" spans="1:8" ht="16.2" thickBot="1">
      <c r="A58" s="46" t="s">
        <v>347</v>
      </c>
      <c r="B58" s="113">
        <v>3295</v>
      </c>
      <c r="C58" s="167">
        <v>0</v>
      </c>
      <c r="D58" s="167">
        <v>0</v>
      </c>
      <c r="E58" s="167">
        <v>0</v>
      </c>
      <c r="F58" s="167">
        <v>0</v>
      </c>
      <c r="G58" s="110">
        <f t="shared" si="2"/>
        <v>0</v>
      </c>
      <c r="H58" s="134">
        <v>0</v>
      </c>
    </row>
    <row r="59" spans="1:8" ht="16.2" thickBot="1">
      <c r="A59" s="436" t="s">
        <v>348</v>
      </c>
      <c r="B59" s="437"/>
      <c r="C59" s="437"/>
      <c r="D59" s="437"/>
      <c r="E59" s="437"/>
      <c r="F59" s="437"/>
      <c r="G59" s="437"/>
      <c r="H59" s="438"/>
    </row>
    <row r="60" spans="1:8" ht="16.2" thickBot="1">
      <c r="A60" s="59" t="s">
        <v>349</v>
      </c>
      <c r="B60" s="262">
        <v>3300</v>
      </c>
      <c r="C60" s="260">
        <v>0</v>
      </c>
      <c r="D60" s="260">
        <v>0</v>
      </c>
      <c r="E60" s="260">
        <v>0</v>
      </c>
      <c r="F60" s="260">
        <v>0</v>
      </c>
      <c r="G60" s="145">
        <f t="shared" ref="G60:G81" si="3">F60-E60</f>
        <v>0</v>
      </c>
      <c r="H60" s="134">
        <v>0</v>
      </c>
    </row>
    <row r="61" spans="1:8" ht="16.2" thickBot="1">
      <c r="A61" s="44" t="s">
        <v>350</v>
      </c>
      <c r="B61" s="57">
        <v>3305</v>
      </c>
      <c r="C61" s="261">
        <v>0</v>
      </c>
      <c r="D61" s="261">
        <v>0</v>
      </c>
      <c r="E61" s="261">
        <v>0</v>
      </c>
      <c r="F61" s="261">
        <v>0</v>
      </c>
      <c r="G61" s="147">
        <f t="shared" si="3"/>
        <v>0</v>
      </c>
      <c r="H61" s="134">
        <v>0</v>
      </c>
    </row>
    <row r="62" spans="1:8" ht="16.2" thickBot="1">
      <c r="A62" s="44" t="s">
        <v>351</v>
      </c>
      <c r="B62" s="57">
        <v>3310</v>
      </c>
      <c r="C62" s="261">
        <v>0</v>
      </c>
      <c r="D62" s="261">
        <v>0</v>
      </c>
      <c r="E62" s="261">
        <v>0</v>
      </c>
      <c r="F62" s="261">
        <v>0</v>
      </c>
      <c r="G62" s="147">
        <f t="shared" si="3"/>
        <v>0</v>
      </c>
      <c r="H62" s="134">
        <v>0</v>
      </c>
    </row>
    <row r="63" spans="1:8" ht="16.2" thickBot="1">
      <c r="A63" s="61" t="s">
        <v>124</v>
      </c>
      <c r="B63" s="250">
        <v>3311</v>
      </c>
      <c r="C63" s="260">
        <v>0</v>
      </c>
      <c r="D63" s="260">
        <v>0</v>
      </c>
      <c r="E63" s="260">
        <v>0</v>
      </c>
      <c r="F63" s="260">
        <v>0</v>
      </c>
      <c r="G63" s="145">
        <f t="shared" si="3"/>
        <v>0</v>
      </c>
      <c r="H63" s="300">
        <v>0</v>
      </c>
    </row>
    <row r="64" spans="1:8" ht="16.2" thickBot="1">
      <c r="A64" s="44" t="s">
        <v>125</v>
      </c>
      <c r="B64" s="57">
        <v>3312</v>
      </c>
      <c r="C64" s="261">
        <v>0</v>
      </c>
      <c r="D64" s="261">
        <v>0</v>
      </c>
      <c r="E64" s="261">
        <v>0</v>
      </c>
      <c r="F64" s="261">
        <v>0</v>
      </c>
      <c r="G64" s="147">
        <f t="shared" si="3"/>
        <v>0</v>
      </c>
      <c r="H64" s="303">
        <v>0</v>
      </c>
    </row>
    <row r="65" spans="1:8" ht="16.2" thickBot="1">
      <c r="A65" s="44" t="s">
        <v>126</v>
      </c>
      <c r="B65" s="57">
        <v>3313</v>
      </c>
      <c r="C65" s="261">
        <v>0</v>
      </c>
      <c r="D65" s="261">
        <v>0</v>
      </c>
      <c r="E65" s="261">
        <v>0</v>
      </c>
      <c r="F65" s="261">
        <v>0</v>
      </c>
      <c r="G65" s="147">
        <f t="shared" si="3"/>
        <v>0</v>
      </c>
      <c r="H65" s="303">
        <v>0</v>
      </c>
    </row>
    <row r="66" spans="1:8" ht="16.2" thickBot="1">
      <c r="A66" s="42" t="s">
        <v>123</v>
      </c>
      <c r="B66" s="43">
        <v>3320</v>
      </c>
      <c r="C66" s="167">
        <v>0</v>
      </c>
      <c r="D66" s="167">
        <v>0</v>
      </c>
      <c r="E66" s="167">
        <v>0</v>
      </c>
      <c r="F66" s="167">
        <v>0</v>
      </c>
      <c r="G66" s="110">
        <f t="shared" si="3"/>
        <v>0</v>
      </c>
      <c r="H66" s="134">
        <v>0</v>
      </c>
    </row>
    <row r="67" spans="1:8" ht="16.2" thickBot="1">
      <c r="A67" s="46" t="s">
        <v>352</v>
      </c>
      <c r="B67" s="47">
        <v>3330</v>
      </c>
      <c r="C67" s="167">
        <v>0</v>
      </c>
      <c r="D67" s="167">
        <v>0</v>
      </c>
      <c r="E67" s="167">
        <v>0</v>
      </c>
      <c r="F67" s="167">
        <v>0</v>
      </c>
      <c r="G67" s="110">
        <f t="shared" si="3"/>
        <v>0</v>
      </c>
      <c r="H67" s="134">
        <v>0</v>
      </c>
    </row>
    <row r="68" spans="1:8" ht="16.2" thickBot="1">
      <c r="A68" s="42" t="s">
        <v>353</v>
      </c>
      <c r="B68" s="43">
        <v>3335</v>
      </c>
      <c r="C68" s="167">
        <v>0</v>
      </c>
      <c r="D68" s="167">
        <v>0</v>
      </c>
      <c r="E68" s="167">
        <v>0</v>
      </c>
      <c r="F68" s="167">
        <v>0</v>
      </c>
      <c r="G68" s="110">
        <f t="shared" si="3"/>
        <v>0</v>
      </c>
      <c r="H68" s="134">
        <v>0</v>
      </c>
    </row>
    <row r="69" spans="1:8" ht="16.2" thickBot="1">
      <c r="A69" s="42" t="s">
        <v>354</v>
      </c>
      <c r="B69" s="43">
        <v>3340</v>
      </c>
      <c r="C69" s="167">
        <v>0</v>
      </c>
      <c r="D69" s="167">
        <v>0</v>
      </c>
      <c r="E69" s="167">
        <v>0</v>
      </c>
      <c r="F69" s="167">
        <v>0</v>
      </c>
      <c r="G69" s="110">
        <f t="shared" si="3"/>
        <v>0</v>
      </c>
      <c r="H69" s="134">
        <v>0</v>
      </c>
    </row>
    <row r="70" spans="1:8" ht="16.2" thickBot="1">
      <c r="A70" s="44" t="s">
        <v>124</v>
      </c>
      <c r="B70" s="45">
        <v>3341</v>
      </c>
      <c r="C70" s="167">
        <v>0</v>
      </c>
      <c r="D70" s="167">
        <v>0</v>
      </c>
      <c r="E70" s="167">
        <v>0</v>
      </c>
      <c r="F70" s="167">
        <v>0</v>
      </c>
      <c r="G70" s="110">
        <f t="shared" si="3"/>
        <v>0</v>
      </c>
      <c r="H70" s="134">
        <v>0</v>
      </c>
    </row>
    <row r="71" spans="1:8" ht="16.2" thickBot="1">
      <c r="A71" s="42" t="s">
        <v>125</v>
      </c>
      <c r="B71" s="43">
        <v>3342</v>
      </c>
      <c r="C71" s="167">
        <v>0</v>
      </c>
      <c r="D71" s="167">
        <v>0</v>
      </c>
      <c r="E71" s="167">
        <v>0</v>
      </c>
      <c r="F71" s="167">
        <v>0</v>
      </c>
      <c r="G71" s="110">
        <f t="shared" si="3"/>
        <v>0</v>
      </c>
      <c r="H71" s="134">
        <v>0</v>
      </c>
    </row>
    <row r="72" spans="1:8" ht="16.2" thickBot="1">
      <c r="A72" s="42" t="s">
        <v>126</v>
      </c>
      <c r="B72" s="43">
        <v>3343</v>
      </c>
      <c r="C72" s="167">
        <v>0</v>
      </c>
      <c r="D72" s="167">
        <v>0</v>
      </c>
      <c r="E72" s="167">
        <v>0</v>
      </c>
      <c r="F72" s="167">
        <v>0</v>
      </c>
      <c r="G72" s="110">
        <f t="shared" si="3"/>
        <v>0</v>
      </c>
      <c r="H72" s="134">
        <v>0</v>
      </c>
    </row>
    <row r="73" spans="1:8" ht="16.2" thickBot="1">
      <c r="A73" s="42" t="s">
        <v>355</v>
      </c>
      <c r="B73" s="43">
        <v>3350</v>
      </c>
      <c r="C73" s="167">
        <v>0</v>
      </c>
      <c r="D73" s="167">
        <v>0</v>
      </c>
      <c r="E73" s="167">
        <v>0</v>
      </c>
      <c r="F73" s="167">
        <v>0</v>
      </c>
      <c r="G73" s="110">
        <f t="shared" si="3"/>
        <v>0</v>
      </c>
      <c r="H73" s="134">
        <v>0</v>
      </c>
    </row>
    <row r="74" spans="1:8" ht="16.2" thickBot="1">
      <c r="A74" s="42" t="s">
        <v>356</v>
      </c>
      <c r="B74" s="43">
        <v>3360</v>
      </c>
      <c r="C74" s="167">
        <v>0</v>
      </c>
      <c r="D74" s="167">
        <v>0</v>
      </c>
      <c r="E74" s="167">
        <v>0</v>
      </c>
      <c r="F74" s="167">
        <v>0</v>
      </c>
      <c r="G74" s="110">
        <f t="shared" si="3"/>
        <v>0</v>
      </c>
      <c r="H74" s="134">
        <v>0</v>
      </c>
    </row>
    <row r="75" spans="1:8" ht="16.2" thickBot="1">
      <c r="A75" s="42" t="s">
        <v>357</v>
      </c>
      <c r="B75" s="43">
        <v>3370</v>
      </c>
      <c r="C75" s="167">
        <v>0</v>
      </c>
      <c r="D75" s="167">
        <v>0</v>
      </c>
      <c r="E75" s="167">
        <v>0</v>
      </c>
      <c r="F75" s="167">
        <v>0</v>
      </c>
      <c r="G75" s="110">
        <f t="shared" si="3"/>
        <v>0</v>
      </c>
      <c r="H75" s="134">
        <v>0</v>
      </c>
    </row>
    <row r="76" spans="1:8" ht="16.2" thickBot="1">
      <c r="A76" s="42" t="s">
        <v>327</v>
      </c>
      <c r="B76" s="43">
        <v>3380</v>
      </c>
      <c r="C76" s="167">
        <v>0</v>
      </c>
      <c r="D76" s="167">
        <v>0</v>
      </c>
      <c r="E76" s="167">
        <v>0</v>
      </c>
      <c r="F76" s="167">
        <v>0</v>
      </c>
      <c r="G76" s="110">
        <f t="shared" si="3"/>
        <v>0</v>
      </c>
      <c r="H76" s="134">
        <v>0</v>
      </c>
    </row>
    <row r="77" spans="1:8" ht="16.2" thickBot="1">
      <c r="A77" s="46" t="s">
        <v>358</v>
      </c>
      <c r="B77" s="47">
        <v>3395</v>
      </c>
      <c r="C77" s="167">
        <v>0</v>
      </c>
      <c r="D77" s="167">
        <v>0</v>
      </c>
      <c r="E77" s="167">
        <v>0</v>
      </c>
      <c r="F77" s="167">
        <v>0</v>
      </c>
      <c r="G77" s="110">
        <f t="shared" si="3"/>
        <v>0</v>
      </c>
      <c r="H77" s="134">
        <v>0</v>
      </c>
    </row>
    <row r="78" spans="1:8" ht="16.2" thickBot="1">
      <c r="A78" s="46" t="s">
        <v>359</v>
      </c>
      <c r="B78" s="47">
        <v>3400</v>
      </c>
      <c r="C78" s="110">
        <f ca="1">'І.Форм. фін. рез.'!C107</f>
        <v>-568.19999999999993</v>
      </c>
      <c r="D78" s="110">
        <f ca="1">'І.Форм. фін. рез.'!D107</f>
        <v>-485.7</v>
      </c>
      <c r="E78" s="110">
        <f ca="1">'І.Форм. фін. рез.'!E107</f>
        <v>-411.10000000000008</v>
      </c>
      <c r="F78" s="110">
        <f ca="1">'І.Форм. фін. рез.'!F107</f>
        <v>-485.7</v>
      </c>
      <c r="G78" s="110">
        <f t="shared" si="3"/>
        <v>-74.599999999999909</v>
      </c>
      <c r="H78" s="110">
        <f>F78/E78*100</f>
        <v>118.14643639017268</v>
      </c>
    </row>
    <row r="79" spans="1:8" ht="16.2" thickBot="1">
      <c r="A79" s="42" t="s">
        <v>233</v>
      </c>
      <c r="B79" s="43">
        <v>3405</v>
      </c>
      <c r="C79" s="167">
        <v>1542.5</v>
      </c>
      <c r="D79" s="125">
        <f>F79</f>
        <v>1255</v>
      </c>
      <c r="E79" s="305">
        <v>0</v>
      </c>
      <c r="F79" s="167">
        <v>1255</v>
      </c>
      <c r="G79" s="110">
        <f t="shared" si="3"/>
        <v>1255</v>
      </c>
      <c r="H79" s="134">
        <v>0</v>
      </c>
    </row>
    <row r="80" spans="1:8" ht="16.2" thickBot="1">
      <c r="A80" s="42" t="s">
        <v>42</v>
      </c>
      <c r="B80" s="43">
        <v>3410</v>
      </c>
      <c r="C80" s="167">
        <v>0</v>
      </c>
      <c r="D80" s="305">
        <v>0</v>
      </c>
      <c r="E80" s="167">
        <v>0</v>
      </c>
      <c r="F80" s="167">
        <v>0</v>
      </c>
      <c r="G80" s="110">
        <f t="shared" si="3"/>
        <v>0</v>
      </c>
      <c r="H80" s="134">
        <v>0</v>
      </c>
    </row>
    <row r="81" spans="1:8" ht="16.2" thickBot="1">
      <c r="A81" s="42" t="s">
        <v>239</v>
      </c>
      <c r="B81" s="43">
        <v>3415</v>
      </c>
      <c r="C81" s="167">
        <v>46.2</v>
      </c>
      <c r="D81" s="125">
        <f>F81</f>
        <v>787.2</v>
      </c>
      <c r="E81" s="305">
        <v>0</v>
      </c>
      <c r="F81" s="167">
        <v>787.2</v>
      </c>
      <c r="G81" s="110">
        <f t="shared" si="3"/>
        <v>787.2</v>
      </c>
      <c r="H81" s="134">
        <v>0</v>
      </c>
    </row>
    <row r="82" spans="1:8" ht="57" customHeight="1">
      <c r="A82" s="35" t="s">
        <v>486</v>
      </c>
      <c r="B82" s="365" t="s">
        <v>56</v>
      </c>
      <c r="C82" s="365"/>
      <c r="D82" s="365"/>
      <c r="E82" s="365"/>
      <c r="F82" s="365" t="s">
        <v>442</v>
      </c>
      <c r="G82" s="365"/>
      <c r="H82" s="365"/>
    </row>
    <row r="83" spans="1:8">
      <c r="A83" s="36" t="s">
        <v>53</v>
      </c>
      <c r="B83" s="364" t="s">
        <v>54</v>
      </c>
      <c r="C83" s="364"/>
      <c r="D83" s="364"/>
      <c r="E83" s="364"/>
      <c r="F83" s="364" t="s">
        <v>55</v>
      </c>
      <c r="G83" s="364"/>
      <c r="H83" s="364"/>
    </row>
  </sheetData>
  <mergeCells count="13">
    <mergeCell ref="B3:B4"/>
    <mergeCell ref="C3:D3"/>
    <mergeCell ref="E3:H3"/>
    <mergeCell ref="A6:H6"/>
    <mergeCell ref="B82:E82"/>
    <mergeCell ref="F82:H82"/>
    <mergeCell ref="B83:E83"/>
    <mergeCell ref="F83:H83"/>
    <mergeCell ref="G1:H1"/>
    <mergeCell ref="A59:H59"/>
    <mergeCell ref="A40:H40"/>
    <mergeCell ref="A2:H2"/>
    <mergeCell ref="A3:A4"/>
  </mergeCells>
  <phoneticPr fontId="0" type="noConversion"/>
  <pageMargins left="3.937007874015748E-2" right="0" top="0.15748031496062992" bottom="0.15748031496062992" header="0.31496062992125984" footer="0.31496062992125984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9"/>
  </sheetPr>
  <dimension ref="A1:H14"/>
  <sheetViews>
    <sheetView workbookViewId="0">
      <selection activeCell="A17" sqref="A17"/>
    </sheetView>
  </sheetViews>
  <sheetFormatPr defaultColWidth="10.69921875" defaultRowHeight="15.6"/>
  <cols>
    <col min="1" max="1" width="59.19921875" style="14" customWidth="1"/>
    <col min="2" max="2" width="8.69921875" style="15" customWidth="1"/>
    <col min="3" max="8" width="10.69921875" style="15"/>
    <col min="9" max="16384" width="10.69921875" style="14"/>
  </cols>
  <sheetData>
    <row r="1" spans="1:8" ht="16.2" thickBot="1">
      <c r="G1" s="439" t="s">
        <v>360</v>
      </c>
      <c r="H1" s="439"/>
    </row>
    <row r="2" spans="1:8" ht="16.2" thickBot="1">
      <c r="A2" s="380" t="s">
        <v>43</v>
      </c>
      <c r="B2" s="381"/>
      <c r="C2" s="381"/>
      <c r="D2" s="381"/>
      <c r="E2" s="381"/>
      <c r="F2" s="381"/>
      <c r="G2" s="381"/>
      <c r="H2" s="382"/>
    </row>
    <row r="3" spans="1:8" ht="43.2" customHeight="1" thickBot="1">
      <c r="A3" s="417" t="s">
        <v>14</v>
      </c>
      <c r="B3" s="417" t="s">
        <v>15</v>
      </c>
      <c r="C3" s="419" t="s">
        <v>16</v>
      </c>
      <c r="D3" s="420"/>
      <c r="E3" s="419" t="s">
        <v>17</v>
      </c>
      <c r="F3" s="421"/>
      <c r="G3" s="421"/>
      <c r="H3" s="420"/>
    </row>
    <row r="4" spans="1:8" ht="43.2" customHeight="1" thickBot="1">
      <c r="A4" s="418"/>
      <c r="B4" s="418"/>
      <c r="C4" s="2" t="s">
        <v>18</v>
      </c>
      <c r="D4" s="2" t="s">
        <v>19</v>
      </c>
      <c r="E4" s="2" t="s">
        <v>20</v>
      </c>
      <c r="F4" s="2" t="s">
        <v>21</v>
      </c>
      <c r="G4" s="2" t="s">
        <v>22</v>
      </c>
      <c r="H4" s="2" t="s">
        <v>23</v>
      </c>
    </row>
    <row r="5" spans="1:8" ht="16.2" thickBot="1">
      <c r="A5" s="26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</row>
    <row r="6" spans="1:8" ht="16.2" thickBot="1">
      <c r="A6" s="59" t="s">
        <v>129</v>
      </c>
      <c r="B6" s="440">
        <v>4000</v>
      </c>
      <c r="C6" s="344">
        <f>C8+C9+C10+C11+C12</f>
        <v>32</v>
      </c>
      <c r="D6" s="344">
        <f>D8+D9+D10+D11+D12</f>
        <v>0</v>
      </c>
      <c r="E6" s="344">
        <f>E8+E9+E10+E11+E12</f>
        <v>0</v>
      </c>
      <c r="F6" s="344">
        <f>F8+F9+F10+F11+F12</f>
        <v>0</v>
      </c>
      <c r="G6" s="344">
        <f>F6-E6</f>
        <v>0</v>
      </c>
      <c r="H6" s="443">
        <v>0</v>
      </c>
    </row>
    <row r="7" spans="1:8" ht="16.2" thickBot="1">
      <c r="A7" s="46" t="s">
        <v>130</v>
      </c>
      <c r="B7" s="441"/>
      <c r="C7" s="346"/>
      <c r="D7" s="346"/>
      <c r="E7" s="346"/>
      <c r="F7" s="344"/>
      <c r="G7" s="346"/>
      <c r="H7" s="443"/>
    </row>
    <row r="8" spans="1:8" ht="16.2" thickBot="1">
      <c r="A8" s="42" t="s">
        <v>131</v>
      </c>
      <c r="B8" s="43">
        <v>4010</v>
      </c>
      <c r="C8" s="347">
        <v>0</v>
      </c>
      <c r="D8" s="347">
        <v>0</v>
      </c>
      <c r="E8" s="347">
        <v>0</v>
      </c>
      <c r="F8" s="347">
        <v>0</v>
      </c>
      <c r="G8" s="344">
        <f>F8-E8</f>
        <v>0</v>
      </c>
      <c r="H8" s="443">
        <v>0</v>
      </c>
    </row>
    <row r="9" spans="1:8" ht="16.2" thickBot="1">
      <c r="A9" s="48" t="s">
        <v>132</v>
      </c>
      <c r="B9" s="40">
        <v>4020</v>
      </c>
      <c r="C9" s="347">
        <v>0</v>
      </c>
      <c r="D9" s="347">
        <v>0</v>
      </c>
      <c r="E9" s="347">
        <v>0</v>
      </c>
      <c r="F9" s="347">
        <v>0</v>
      </c>
      <c r="G9" s="344">
        <f>F9-E9</f>
        <v>0</v>
      </c>
      <c r="H9" s="443"/>
    </row>
    <row r="10" spans="1:8" ht="16.2" thickBot="1">
      <c r="A10" s="48" t="s">
        <v>133</v>
      </c>
      <c r="B10" s="40">
        <v>4030</v>
      </c>
      <c r="C10" s="347">
        <v>0</v>
      </c>
      <c r="D10" s="347">
        <v>0</v>
      </c>
      <c r="E10" s="347">
        <v>0</v>
      </c>
      <c r="F10" s="347">
        <v>0</v>
      </c>
      <c r="G10" s="344">
        <f>F10-E10</f>
        <v>0</v>
      </c>
      <c r="H10" s="345">
        <v>0</v>
      </c>
    </row>
    <row r="11" spans="1:8" ht="16.2" thickBot="1">
      <c r="A11" s="48" t="s">
        <v>134</v>
      </c>
      <c r="B11" s="40">
        <v>4040</v>
      </c>
      <c r="C11" s="347">
        <v>0</v>
      </c>
      <c r="D11" s="347">
        <v>0</v>
      </c>
      <c r="E11" s="347">
        <v>0</v>
      </c>
      <c r="F11" s="347">
        <v>0</v>
      </c>
      <c r="G11" s="344">
        <f>F11-E11</f>
        <v>0</v>
      </c>
      <c r="H11" s="345">
        <v>0</v>
      </c>
    </row>
    <row r="12" spans="1:8" ht="27" thickBot="1">
      <c r="A12" s="48" t="s">
        <v>135</v>
      </c>
      <c r="B12" s="40">
        <v>4050</v>
      </c>
      <c r="C12" s="347">
        <v>32</v>
      </c>
      <c r="D12" s="347">
        <v>0</v>
      </c>
      <c r="E12" s="347">
        <v>0</v>
      </c>
      <c r="F12" s="347">
        <v>0</v>
      </c>
      <c r="G12" s="344">
        <f>F12-E12</f>
        <v>0</v>
      </c>
      <c r="H12" s="345">
        <v>0</v>
      </c>
    </row>
    <row r="13" spans="1:8" s="13" customFormat="1" ht="57" customHeight="1">
      <c r="A13" s="35" t="s">
        <v>486</v>
      </c>
      <c r="B13" s="365" t="s">
        <v>56</v>
      </c>
      <c r="C13" s="442"/>
      <c r="D13" s="442"/>
      <c r="E13" s="442"/>
      <c r="F13" s="442" t="s">
        <v>442</v>
      </c>
      <c r="G13" s="442"/>
      <c r="H13" s="442"/>
    </row>
    <row r="14" spans="1:8" s="13" customFormat="1">
      <c r="A14" s="36" t="s">
        <v>53</v>
      </c>
      <c r="B14" s="364" t="s">
        <v>54</v>
      </c>
      <c r="C14" s="364"/>
      <c r="D14" s="364"/>
      <c r="E14" s="364"/>
      <c r="F14" s="364" t="s">
        <v>55</v>
      </c>
      <c r="G14" s="364"/>
      <c r="H14" s="364"/>
    </row>
  </sheetData>
  <mergeCells count="13">
    <mergeCell ref="B6:B7"/>
    <mergeCell ref="B13:E13"/>
    <mergeCell ref="F13:H13"/>
    <mergeCell ref="B14:E14"/>
    <mergeCell ref="F14:H14"/>
    <mergeCell ref="H6:H7"/>
    <mergeCell ref="H8:H9"/>
    <mergeCell ref="G1:H1"/>
    <mergeCell ref="A2:H2"/>
    <mergeCell ref="A3:A4"/>
    <mergeCell ref="B3:B4"/>
    <mergeCell ref="C3:D3"/>
    <mergeCell ref="E3:H3"/>
  </mergeCells>
  <phoneticPr fontId="0" type="noConversion"/>
  <pageMargins left="3.937007874015748E-2" right="0" top="0.74803149606299213" bottom="0.35433070866141736" header="0.31496062992125984" footer="0.31496062992125984"/>
  <pageSetup paperSize="9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H34"/>
  <sheetViews>
    <sheetView workbookViewId="0">
      <pane xSplit="3" ySplit="5" topLeftCell="D27" activePane="bottomRight" state="frozen"/>
      <selection pane="topRight" activeCell="D1" sqref="D1"/>
      <selection pane="bottomLeft" activeCell="A6" sqref="A6"/>
      <selection pane="bottomRight" activeCell="A35" sqref="A35"/>
    </sheetView>
  </sheetViews>
  <sheetFormatPr defaultColWidth="10.69921875" defaultRowHeight="15.6"/>
  <cols>
    <col min="1" max="1" width="58.69921875" style="13" customWidth="1"/>
    <col min="2" max="2" width="8.69921875" style="11" customWidth="1"/>
    <col min="3" max="3" width="10.69921875" style="11"/>
    <col min="4" max="4" width="10.8984375" style="11" bestFit="1" customWidth="1"/>
    <col min="5" max="5" width="10.69921875" style="11"/>
    <col min="6" max="6" width="8.5" style="11" customWidth="1"/>
    <col min="7" max="7" width="8.09765625" style="11" customWidth="1"/>
    <col min="8" max="8" width="14" style="11" customWidth="1"/>
    <col min="9" max="16384" width="10.69921875" style="13"/>
  </cols>
  <sheetData>
    <row r="1" spans="1:8">
      <c r="G1" s="450" t="s">
        <v>361</v>
      </c>
      <c r="H1" s="450"/>
    </row>
    <row r="2" spans="1:8" ht="16.2" thickBot="1">
      <c r="A2" s="451" t="s">
        <v>44</v>
      </c>
      <c r="B2" s="451"/>
      <c r="C2" s="451"/>
      <c r="D2" s="451"/>
      <c r="E2" s="451"/>
      <c r="F2" s="451"/>
      <c r="G2" s="451"/>
      <c r="H2" s="451"/>
    </row>
    <row r="3" spans="1:8" ht="25.95" customHeight="1" thickBot="1">
      <c r="A3" s="452" t="s">
        <v>14</v>
      </c>
      <c r="B3" s="452" t="s">
        <v>15</v>
      </c>
      <c r="C3" s="452" t="s">
        <v>136</v>
      </c>
      <c r="D3" s="454" t="s">
        <v>16</v>
      </c>
      <c r="E3" s="455"/>
      <c r="F3" s="454" t="s">
        <v>137</v>
      </c>
      <c r="G3" s="455"/>
      <c r="H3" s="452" t="s">
        <v>138</v>
      </c>
    </row>
    <row r="4" spans="1:8" ht="27" thickBot="1">
      <c r="A4" s="453"/>
      <c r="B4" s="453"/>
      <c r="C4" s="453"/>
      <c r="D4" s="107" t="s">
        <v>18</v>
      </c>
      <c r="E4" s="107" t="s">
        <v>19</v>
      </c>
      <c r="F4" s="107" t="s">
        <v>18</v>
      </c>
      <c r="G4" s="107" t="s">
        <v>19</v>
      </c>
      <c r="H4" s="453"/>
    </row>
    <row r="5" spans="1:8" ht="16.2" thickBot="1">
      <c r="A5" s="9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</row>
    <row r="6" spans="1:8" ht="16.2" thickBot="1">
      <c r="A6" s="49" t="s">
        <v>139</v>
      </c>
      <c r="B6" s="60" t="s">
        <v>362</v>
      </c>
      <c r="C6" s="45" t="s">
        <v>362</v>
      </c>
      <c r="D6" s="7"/>
      <c r="E6" s="7"/>
      <c r="F6" s="7"/>
      <c r="G6" s="7"/>
      <c r="H6" s="7"/>
    </row>
    <row r="7" spans="1:8">
      <c r="A7" s="61" t="s">
        <v>140</v>
      </c>
      <c r="B7" s="444">
        <v>5000</v>
      </c>
      <c r="C7" s="444" t="s">
        <v>141</v>
      </c>
      <c r="D7" s="446">
        <f>F7</f>
        <v>-319.39999999999998</v>
      </c>
      <c r="E7" s="448">
        <f ca="1">'І.Форм. фін. рез.'!D27/'І.Форм. фін. рез.'!D7*100%</f>
        <v>-8.3765182186234828</v>
      </c>
      <c r="F7" s="460">
        <v>-319.39999999999998</v>
      </c>
      <c r="G7" s="448">
        <f ca="1">'І.Форм. фін. рез.'!F27/'І.Форм. фін. рез.'!F7*100%</f>
        <v>-8.3765182186234828</v>
      </c>
      <c r="H7" s="458"/>
    </row>
    <row r="8" spans="1:8" ht="27" thickBot="1">
      <c r="A8" s="42" t="s">
        <v>363</v>
      </c>
      <c r="B8" s="445"/>
      <c r="C8" s="445"/>
      <c r="D8" s="447"/>
      <c r="E8" s="449"/>
      <c r="F8" s="457"/>
      <c r="G8" s="449"/>
      <c r="H8" s="459"/>
    </row>
    <row r="9" spans="1:8">
      <c r="A9" s="61" t="s">
        <v>32</v>
      </c>
      <c r="B9" s="444">
        <v>5010</v>
      </c>
      <c r="C9" s="444" t="s">
        <v>141</v>
      </c>
      <c r="D9" s="446">
        <f>F9</f>
        <v>-1293.8</v>
      </c>
      <c r="E9" s="448">
        <f ca="1">'І.Форм. фін. рез.'!D125/'І.Форм. фін. рез.'!D7*100%</f>
        <v>-19.295546558704451</v>
      </c>
      <c r="F9" s="456">
        <v>-1293.8</v>
      </c>
      <c r="G9" s="448">
        <f ca="1">'І.Форм. фін. рез.'!F125/'І.Форм. фін. рез.'!F7*100%</f>
        <v>-19.295546558704451</v>
      </c>
      <c r="H9" s="458"/>
    </row>
    <row r="10" spans="1:8" ht="27" thickBot="1">
      <c r="A10" s="42" t="s">
        <v>364</v>
      </c>
      <c r="B10" s="445"/>
      <c r="C10" s="445"/>
      <c r="D10" s="447"/>
      <c r="E10" s="449"/>
      <c r="F10" s="457"/>
      <c r="G10" s="449"/>
      <c r="H10" s="459"/>
    </row>
    <row r="11" spans="1:8" ht="28.2" customHeight="1">
      <c r="A11" s="61" t="s">
        <v>242</v>
      </c>
      <c r="B11" s="444">
        <v>5020</v>
      </c>
      <c r="C11" s="444" t="s">
        <v>141</v>
      </c>
      <c r="D11" s="446">
        <f>F11</f>
        <v>0</v>
      </c>
      <c r="E11" s="448">
        <f ca="1">'Додаток 3'!D48/'Додаток 3'!D90*100%</f>
        <v>-3.0460501064894598E-3</v>
      </c>
      <c r="F11" s="456">
        <v>0</v>
      </c>
      <c r="G11" s="448">
        <f ca="1">'Додаток 3'!F48/'Додаток 3'!F90*100%</f>
        <v>-3.0460501064894598E-3</v>
      </c>
      <c r="H11" s="461" t="s">
        <v>377</v>
      </c>
    </row>
    <row r="12" spans="1:8" ht="24.75" customHeight="1" thickBot="1">
      <c r="A12" s="42" t="s">
        <v>365</v>
      </c>
      <c r="B12" s="445"/>
      <c r="C12" s="445"/>
      <c r="D12" s="447"/>
      <c r="E12" s="449"/>
      <c r="F12" s="457"/>
      <c r="G12" s="449"/>
      <c r="H12" s="462"/>
    </row>
    <row r="13" spans="1:8">
      <c r="A13" s="61" t="s">
        <v>243</v>
      </c>
      <c r="B13" s="444">
        <v>5030</v>
      </c>
      <c r="C13" s="444" t="s">
        <v>141</v>
      </c>
      <c r="D13" s="446">
        <f>F13</f>
        <v>-0.3</v>
      </c>
      <c r="E13" s="448">
        <f ca="1">'Додаток 3'!D48/'Додаток 3'!D96*100%</f>
        <v>-0.2760286428733803</v>
      </c>
      <c r="F13" s="456">
        <v>-0.3</v>
      </c>
      <c r="G13" s="448">
        <f ca="1">'Додаток 3'!F48/'Додаток 3'!F96*100%</f>
        <v>-0.2760286428733803</v>
      </c>
      <c r="H13" s="458"/>
    </row>
    <row r="14" spans="1:8" ht="27" thickBot="1">
      <c r="A14" s="42" t="s">
        <v>366</v>
      </c>
      <c r="B14" s="445"/>
      <c r="C14" s="445"/>
      <c r="D14" s="447"/>
      <c r="E14" s="449"/>
      <c r="F14" s="457"/>
      <c r="G14" s="449"/>
      <c r="H14" s="459"/>
    </row>
    <row r="15" spans="1:8">
      <c r="A15" s="61" t="s">
        <v>241</v>
      </c>
      <c r="B15" s="444">
        <v>5040</v>
      </c>
      <c r="C15" s="444" t="s">
        <v>141</v>
      </c>
      <c r="D15" s="446">
        <f>F15</f>
        <v>-13.2</v>
      </c>
      <c r="E15" s="448">
        <f ca="1">'Додаток 3'!D48/'Додаток 3'!D27*100%</f>
        <v>-19.663967611336034</v>
      </c>
      <c r="F15" s="456">
        <v>-13.2</v>
      </c>
      <c r="G15" s="448">
        <f ca="1">'Додаток 3'!F48/'Додаток 3'!F27*100%</f>
        <v>-19.663967611336034</v>
      </c>
      <c r="H15" s="461" t="s">
        <v>378</v>
      </c>
    </row>
    <row r="16" spans="1:8" ht="48" customHeight="1" thickBot="1">
      <c r="A16" s="42" t="s">
        <v>367</v>
      </c>
      <c r="B16" s="445"/>
      <c r="C16" s="445"/>
      <c r="D16" s="447"/>
      <c r="E16" s="449"/>
      <c r="F16" s="457"/>
      <c r="G16" s="449"/>
      <c r="H16" s="462"/>
    </row>
    <row r="17" spans="1:8" ht="16.2" thickBot="1">
      <c r="A17" s="46" t="s">
        <v>142</v>
      </c>
      <c r="B17" s="43" t="s">
        <v>362</v>
      </c>
      <c r="C17" s="43" t="s">
        <v>362</v>
      </c>
      <c r="D17" s="173"/>
      <c r="E17" s="173"/>
      <c r="F17" s="173"/>
      <c r="G17" s="173"/>
      <c r="H17" s="8"/>
    </row>
    <row r="18" spans="1:8">
      <c r="A18" s="61" t="s">
        <v>143</v>
      </c>
      <c r="B18" s="444">
        <v>5100</v>
      </c>
      <c r="C18" s="444" t="s">
        <v>362</v>
      </c>
      <c r="D18" s="448">
        <f>F18</f>
        <v>-207.4</v>
      </c>
      <c r="E18" s="468">
        <f ca="1">'Додаток 3'!D91+'Додаток 3'!D92/'Додаток 3'!D35</f>
        <v>157678.26957616449</v>
      </c>
      <c r="F18" s="470">
        <v>-207.4</v>
      </c>
      <c r="G18" s="468">
        <f ca="1">'Додаток 3'!F91+'Додаток 3'!F92/'Додаток 3'!F35</f>
        <v>157678.26957616449</v>
      </c>
      <c r="H18" s="458"/>
    </row>
    <row r="19" spans="1:8" ht="27" thickBot="1">
      <c r="A19" s="42" t="s">
        <v>368</v>
      </c>
      <c r="B19" s="445"/>
      <c r="C19" s="445"/>
      <c r="D19" s="449"/>
      <c r="E19" s="469"/>
      <c r="F19" s="471"/>
      <c r="G19" s="469"/>
      <c r="H19" s="459"/>
    </row>
    <row r="20" spans="1:8" ht="15.75" customHeight="1" thickBot="1">
      <c r="A20" s="62" t="s">
        <v>47</v>
      </c>
      <c r="B20" s="465">
        <v>5110</v>
      </c>
      <c r="C20" s="465" t="s">
        <v>144</v>
      </c>
      <c r="D20" s="467">
        <f>F20</f>
        <v>47.9</v>
      </c>
      <c r="E20" s="467">
        <f ca="1">'Додаток 3'!D96/'Додаток 3'!D91+'Додаток 3'!D92</f>
        <v>14.511159430308419</v>
      </c>
      <c r="F20" s="476">
        <v>47.9</v>
      </c>
      <c r="G20" s="467">
        <f ca="1">'Додаток 3'!F96/'Додаток 3'!F91+'Додаток 3'!F92</f>
        <v>14.511159430308419</v>
      </c>
      <c r="H20" s="474" t="s">
        <v>379</v>
      </c>
    </row>
    <row r="21" spans="1:8" ht="75" customHeight="1" thickBot="1">
      <c r="A21" s="42" t="s">
        <v>369</v>
      </c>
      <c r="B21" s="465"/>
      <c r="C21" s="465"/>
      <c r="D21" s="467"/>
      <c r="E21" s="467"/>
      <c r="F21" s="476"/>
      <c r="G21" s="467"/>
      <c r="H21" s="474"/>
    </row>
    <row r="22" spans="1:8" ht="34.950000000000003" customHeight="1" thickBot="1">
      <c r="A22" s="62" t="s">
        <v>145</v>
      </c>
      <c r="B22" s="465">
        <v>5120</v>
      </c>
      <c r="C22" s="465" t="s">
        <v>144</v>
      </c>
      <c r="D22" s="466">
        <f>F22</f>
        <v>167.5</v>
      </c>
      <c r="E22" s="466">
        <f ca="1">'Додаток 3'!D88/'Додаток 3'!D92</f>
        <v>169.49655172413793</v>
      </c>
      <c r="F22" s="475">
        <v>167.5</v>
      </c>
      <c r="G22" s="466">
        <f ca="1">'Додаток 3'!F88/'Додаток 3'!F92</f>
        <v>169.49655172413793</v>
      </c>
      <c r="H22" s="474" t="s">
        <v>380</v>
      </c>
    </row>
    <row r="23" spans="1:8" ht="109.95" customHeight="1" thickBot="1">
      <c r="A23" s="42" t="s">
        <v>370</v>
      </c>
      <c r="B23" s="465"/>
      <c r="C23" s="465"/>
      <c r="D23" s="466"/>
      <c r="E23" s="466"/>
      <c r="F23" s="475"/>
      <c r="G23" s="466"/>
      <c r="H23" s="474"/>
    </row>
    <row r="24" spans="1:8" ht="16.2" thickBot="1">
      <c r="A24" s="264" t="s">
        <v>146</v>
      </c>
      <c r="B24" s="7"/>
      <c r="C24" s="7"/>
      <c r="D24" s="174"/>
      <c r="E24" s="174"/>
      <c r="F24" s="174"/>
      <c r="G24" s="174"/>
      <c r="H24" s="8"/>
    </row>
    <row r="25" spans="1:8">
      <c r="A25" s="62" t="s">
        <v>147</v>
      </c>
      <c r="B25" s="444">
        <v>5200</v>
      </c>
      <c r="C25" s="62"/>
      <c r="D25" s="463">
        <f>F25</f>
        <v>3.4</v>
      </c>
      <c r="E25" s="463">
        <f ca="1">IV.Кап.інвес!D6/'І.Форм. фін. рез.'!D132</f>
        <v>0</v>
      </c>
      <c r="F25" s="472">
        <v>3.4</v>
      </c>
      <c r="G25" s="463">
        <f ca="1">IV.Кап.інвес!F6/'І.Форм. фін. рез.'!F132</f>
        <v>0</v>
      </c>
      <c r="H25" s="444"/>
    </row>
    <row r="26" spans="1:8" ht="16.2" thickBot="1">
      <c r="A26" s="42" t="s">
        <v>371</v>
      </c>
      <c r="B26" s="445"/>
      <c r="C26" s="42"/>
      <c r="D26" s="464"/>
      <c r="E26" s="464"/>
      <c r="F26" s="473"/>
      <c r="G26" s="464"/>
      <c r="H26" s="445"/>
    </row>
    <row r="27" spans="1:8" ht="26.4">
      <c r="A27" s="62" t="s">
        <v>372</v>
      </c>
      <c r="B27" s="444">
        <v>5210</v>
      </c>
      <c r="C27" s="62"/>
      <c r="D27" s="463">
        <f>F27</f>
        <v>0.7</v>
      </c>
      <c r="E27" s="463">
        <f ca="1">IV.Кап.інвес!D6/'І.Форм. фін. рез.'!D7</f>
        <v>0</v>
      </c>
      <c r="F27" s="472">
        <v>0.7</v>
      </c>
      <c r="G27" s="463">
        <f ca="1">IV.Кап.інвес!F6/'І.Форм. фін. рез.'!F7</f>
        <v>0</v>
      </c>
      <c r="H27" s="444"/>
    </row>
    <row r="28" spans="1:8" ht="27" thickBot="1">
      <c r="A28" s="42" t="s">
        <v>373</v>
      </c>
      <c r="B28" s="445"/>
      <c r="C28" s="42"/>
      <c r="D28" s="464"/>
      <c r="E28" s="464"/>
      <c r="F28" s="473"/>
      <c r="G28" s="464"/>
      <c r="H28" s="445"/>
    </row>
    <row r="29" spans="1:8" ht="15.75" customHeight="1">
      <c r="A29" s="62" t="s">
        <v>148</v>
      </c>
      <c r="B29" s="444">
        <v>5220</v>
      </c>
      <c r="C29" s="62"/>
      <c r="D29" s="463">
        <f>F29</f>
        <v>0.8</v>
      </c>
      <c r="E29" s="463">
        <f ca="1">'Додаток 3'!D87/'Додаток 3'!D86</f>
        <v>0.76713586291309677</v>
      </c>
      <c r="F29" s="472">
        <v>0.8</v>
      </c>
      <c r="G29" s="463">
        <f ca="1">'Додаток 3'!F87/'Додаток 3'!F86</f>
        <v>0.76713586291309677</v>
      </c>
      <c r="H29" s="461" t="s">
        <v>382</v>
      </c>
    </row>
    <row r="30" spans="1:8" ht="35.25" customHeight="1" thickBot="1">
      <c r="A30" s="42" t="s">
        <v>374</v>
      </c>
      <c r="B30" s="445"/>
      <c r="C30" s="42" t="s">
        <v>381</v>
      </c>
      <c r="D30" s="464"/>
      <c r="E30" s="464"/>
      <c r="F30" s="473"/>
      <c r="G30" s="464"/>
      <c r="H30" s="462"/>
    </row>
    <row r="31" spans="1:8" ht="16.2" thickBot="1">
      <c r="A31" s="41" t="s">
        <v>375</v>
      </c>
      <c r="B31" s="43"/>
      <c r="C31" s="63"/>
      <c r="D31" s="175"/>
      <c r="E31" s="176"/>
      <c r="F31" s="175"/>
      <c r="G31" s="176"/>
      <c r="H31" s="43"/>
    </row>
    <row r="32" spans="1:8" ht="53.4" thickBot="1">
      <c r="A32" s="51" t="s">
        <v>376</v>
      </c>
      <c r="B32" s="52">
        <v>5300</v>
      </c>
      <c r="C32" s="63"/>
      <c r="D32" s="175">
        <v>0</v>
      </c>
      <c r="E32" s="306">
        <v>0</v>
      </c>
      <c r="F32" s="175">
        <v>0</v>
      </c>
      <c r="G32" s="175">
        <v>0</v>
      </c>
      <c r="H32" s="43"/>
    </row>
    <row r="33" spans="1:8" ht="57" customHeight="1">
      <c r="A33" s="35" t="s">
        <v>487</v>
      </c>
      <c r="B33" s="365" t="s">
        <v>56</v>
      </c>
      <c r="C33" s="365"/>
      <c r="D33" s="365"/>
      <c r="E33" s="365"/>
      <c r="F33" s="365" t="s">
        <v>442</v>
      </c>
      <c r="G33" s="365"/>
      <c r="H33" s="365"/>
    </row>
    <row r="34" spans="1:8">
      <c r="A34" s="36" t="s">
        <v>53</v>
      </c>
      <c r="B34" s="364" t="s">
        <v>54</v>
      </c>
      <c r="C34" s="364"/>
      <c r="D34" s="364"/>
      <c r="E34" s="364"/>
      <c r="F34" s="364" t="s">
        <v>55</v>
      </c>
      <c r="G34" s="364"/>
      <c r="H34" s="364"/>
    </row>
  </sheetData>
  <mergeCells count="86">
    <mergeCell ref="F33:H33"/>
    <mergeCell ref="G29:G30"/>
    <mergeCell ref="H29:H30"/>
    <mergeCell ref="G27:G28"/>
    <mergeCell ref="B18:B19"/>
    <mergeCell ref="C18:C19"/>
    <mergeCell ref="D29:D30"/>
    <mergeCell ref="F27:F28"/>
    <mergeCell ref="E27:E28"/>
    <mergeCell ref="H27:H28"/>
    <mergeCell ref="C15:C16"/>
    <mergeCell ref="E18:E19"/>
    <mergeCell ref="B34:E34"/>
    <mergeCell ref="F29:F30"/>
    <mergeCell ref="B27:B28"/>
    <mergeCell ref="D27:D28"/>
    <mergeCell ref="B33:E33"/>
    <mergeCell ref="B29:B30"/>
    <mergeCell ref="E29:E30"/>
    <mergeCell ref="F34:H34"/>
    <mergeCell ref="G25:G26"/>
    <mergeCell ref="F25:F26"/>
    <mergeCell ref="G20:G21"/>
    <mergeCell ref="G22:G23"/>
    <mergeCell ref="H20:H21"/>
    <mergeCell ref="H18:H19"/>
    <mergeCell ref="F22:F23"/>
    <mergeCell ref="F20:F21"/>
    <mergeCell ref="H22:H23"/>
    <mergeCell ref="H25:H26"/>
    <mergeCell ref="D20:D21"/>
    <mergeCell ref="F15:F16"/>
    <mergeCell ref="F13:F14"/>
    <mergeCell ref="G18:G19"/>
    <mergeCell ref="F18:F19"/>
    <mergeCell ref="G13:G14"/>
    <mergeCell ref="G15:G16"/>
    <mergeCell ref="D15:D16"/>
    <mergeCell ref="E15:E16"/>
    <mergeCell ref="D18:D19"/>
    <mergeCell ref="E25:E26"/>
    <mergeCell ref="C20:C21"/>
    <mergeCell ref="B22:B23"/>
    <mergeCell ref="E22:E23"/>
    <mergeCell ref="D22:D23"/>
    <mergeCell ref="E20:E21"/>
    <mergeCell ref="B20:B21"/>
    <mergeCell ref="B25:B26"/>
    <mergeCell ref="D25:D26"/>
    <mergeCell ref="C22:C23"/>
    <mergeCell ref="B15:B16"/>
    <mergeCell ref="F7:F8"/>
    <mergeCell ref="F11:F12"/>
    <mergeCell ref="H13:H14"/>
    <mergeCell ref="G9:G10"/>
    <mergeCell ref="H11:H12"/>
    <mergeCell ref="G11:G12"/>
    <mergeCell ref="H7:H8"/>
    <mergeCell ref="G7:G8"/>
    <mergeCell ref="H15:H16"/>
    <mergeCell ref="F9:F10"/>
    <mergeCell ref="H9:H10"/>
    <mergeCell ref="E13:E14"/>
    <mergeCell ref="D9:D10"/>
    <mergeCell ref="E9:E10"/>
    <mergeCell ref="E11:E12"/>
    <mergeCell ref="D11:D12"/>
    <mergeCell ref="B7:B8"/>
    <mergeCell ref="G1:H1"/>
    <mergeCell ref="A2:H2"/>
    <mergeCell ref="H3:H4"/>
    <mergeCell ref="A3:A4"/>
    <mergeCell ref="F3:G3"/>
    <mergeCell ref="B3:B4"/>
    <mergeCell ref="C3:C4"/>
    <mergeCell ref="D3:E3"/>
    <mergeCell ref="C7:C8"/>
    <mergeCell ref="D7:D8"/>
    <mergeCell ref="E7:E8"/>
    <mergeCell ref="B13:B14"/>
    <mergeCell ref="C13:C14"/>
    <mergeCell ref="D13:D14"/>
    <mergeCell ref="C9:C10"/>
    <mergeCell ref="C11:C12"/>
    <mergeCell ref="B11:B12"/>
    <mergeCell ref="B9:B10"/>
  </mergeCells>
  <phoneticPr fontId="0" type="noConversion"/>
  <pageMargins left="0.23622047244094491" right="3.937007874015748E-2" top="0.35433070866141736" bottom="0.35433070866141736" header="0.31496062992125984" footer="0.31496062992125984"/>
  <pageSetup paperSize="9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</sheetPr>
  <dimension ref="A1:F42"/>
  <sheetViews>
    <sheetView topLeftCell="A7" workbookViewId="0">
      <pane xSplit="1" ySplit="1" topLeftCell="B23" activePane="bottomRight" state="frozen"/>
      <selection activeCell="A7" sqref="A7"/>
      <selection pane="topRight" activeCell="B7" sqref="B7"/>
      <selection pane="bottomLeft" activeCell="A8" sqref="A8"/>
      <selection pane="bottomRight" activeCell="G32" sqref="G32"/>
    </sheetView>
  </sheetViews>
  <sheetFormatPr defaultColWidth="10.69921875" defaultRowHeight="15.6"/>
  <cols>
    <col min="1" max="1" width="42.69921875" style="12" customWidth="1"/>
    <col min="2" max="6" width="12.69921875" style="11" customWidth="1"/>
    <col min="7" max="16384" width="10.69921875" style="11"/>
  </cols>
  <sheetData>
    <row r="1" spans="1:6" ht="16.2" thickBot="1">
      <c r="E1" s="429" t="s">
        <v>383</v>
      </c>
      <c r="F1" s="429"/>
    </row>
    <row r="2" spans="1:6" ht="16.2" thickBot="1">
      <c r="A2" s="380" t="s">
        <v>149</v>
      </c>
      <c r="B2" s="381"/>
      <c r="C2" s="381"/>
      <c r="D2" s="381"/>
      <c r="E2" s="381"/>
      <c r="F2" s="382"/>
    </row>
    <row r="3" spans="1:6" ht="16.2" thickBot="1">
      <c r="A3" s="380" t="s">
        <v>458</v>
      </c>
      <c r="B3" s="381"/>
      <c r="C3" s="381"/>
      <c r="D3" s="381"/>
      <c r="E3" s="381"/>
      <c r="F3" s="382"/>
    </row>
    <row r="4" spans="1:6" ht="16.2" thickBot="1">
      <c r="A4" s="478" t="s">
        <v>459</v>
      </c>
      <c r="B4" s="479"/>
      <c r="C4" s="479"/>
      <c r="D4" s="479"/>
      <c r="E4" s="479"/>
      <c r="F4" s="480"/>
    </row>
    <row r="5" spans="1:6" ht="16.2" thickBot="1">
      <c r="A5" s="481" t="s">
        <v>150</v>
      </c>
      <c r="B5" s="414"/>
      <c r="C5" s="414"/>
      <c r="D5" s="414"/>
      <c r="E5" s="414"/>
      <c r="F5" s="415"/>
    </row>
    <row r="6" spans="1:6" ht="16.2" thickBot="1">
      <c r="A6" s="380" t="s">
        <v>394</v>
      </c>
      <c r="B6" s="381"/>
      <c r="C6" s="381"/>
      <c r="D6" s="381"/>
      <c r="E6" s="381"/>
      <c r="F6" s="382"/>
    </row>
    <row r="7" spans="1:6" ht="53.4" thickBot="1">
      <c r="A7" s="10" t="s">
        <v>14</v>
      </c>
      <c r="B7" s="93" t="s">
        <v>384</v>
      </c>
      <c r="C7" s="93" t="s">
        <v>385</v>
      </c>
      <c r="D7" s="93" t="s">
        <v>151</v>
      </c>
      <c r="E7" s="93" t="s">
        <v>152</v>
      </c>
      <c r="F7" s="93" t="s">
        <v>153</v>
      </c>
    </row>
    <row r="8" spans="1:6" ht="40.200000000000003" thickBot="1">
      <c r="A8" s="49" t="s">
        <v>386</v>
      </c>
      <c r="B8" s="120">
        <f>B9+B10+B11+B12+B13</f>
        <v>25</v>
      </c>
      <c r="C8" s="120">
        <f>C9+C10+C11+C12+C13</f>
        <v>8</v>
      </c>
      <c r="D8" s="120">
        <f>D9+D10+D11+D12+D13</f>
        <v>12</v>
      </c>
      <c r="E8" s="177">
        <f>D8-C8</f>
        <v>4</v>
      </c>
      <c r="F8" s="177">
        <f>D8/C8*100</f>
        <v>150</v>
      </c>
    </row>
    <row r="9" spans="1:6" ht="16.2" thickBot="1">
      <c r="A9" s="42" t="s">
        <v>260</v>
      </c>
      <c r="B9" s="119">
        <v>0</v>
      </c>
      <c r="C9" s="119">
        <v>0</v>
      </c>
      <c r="D9" s="119">
        <v>0</v>
      </c>
      <c r="E9" s="177">
        <f t="shared" ref="E9:E34" si="0">D9-C9</f>
        <v>0</v>
      </c>
      <c r="F9" s="119">
        <v>0</v>
      </c>
    </row>
    <row r="10" spans="1:6" ht="16.2" thickBot="1">
      <c r="A10" s="42" t="s">
        <v>261</v>
      </c>
      <c r="B10" s="119">
        <v>0</v>
      </c>
      <c r="C10" s="119">
        <v>0</v>
      </c>
      <c r="D10" s="119">
        <v>0</v>
      </c>
      <c r="E10" s="177">
        <f t="shared" si="0"/>
        <v>0</v>
      </c>
      <c r="F10" s="119">
        <v>0</v>
      </c>
    </row>
    <row r="11" spans="1:6" ht="16.2" thickBot="1">
      <c r="A11" s="42" t="s">
        <v>262</v>
      </c>
      <c r="B11" s="119">
        <v>1</v>
      </c>
      <c r="C11" s="119">
        <v>1</v>
      </c>
      <c r="D11" s="119">
        <v>1</v>
      </c>
      <c r="E11" s="177">
        <f t="shared" si="0"/>
        <v>0</v>
      </c>
      <c r="F11" s="177">
        <f t="shared" ref="F11:F34" si="1">D11/C11*100</f>
        <v>100</v>
      </c>
    </row>
    <row r="12" spans="1:6" ht="16.2" thickBot="1">
      <c r="A12" s="42" t="s">
        <v>154</v>
      </c>
      <c r="B12" s="119">
        <v>0</v>
      </c>
      <c r="C12" s="119">
        <v>0</v>
      </c>
      <c r="D12" s="119">
        <v>0</v>
      </c>
      <c r="E12" s="177">
        <f t="shared" si="0"/>
        <v>0</v>
      </c>
      <c r="F12" s="119">
        <v>0</v>
      </c>
    </row>
    <row r="13" spans="1:6" ht="16.2" thickBot="1">
      <c r="A13" s="42" t="s">
        <v>155</v>
      </c>
      <c r="B13" s="119">
        <v>24</v>
      </c>
      <c r="C13" s="119">
        <v>7</v>
      </c>
      <c r="D13" s="119">
        <v>11</v>
      </c>
      <c r="E13" s="177">
        <f t="shared" si="0"/>
        <v>4</v>
      </c>
      <c r="F13" s="177">
        <f t="shared" si="1"/>
        <v>157.14285714285714</v>
      </c>
    </row>
    <row r="14" spans="1:6" ht="16.2" thickBot="1">
      <c r="A14" s="46" t="s">
        <v>387</v>
      </c>
      <c r="B14" s="120">
        <f>B15+B16+B17+B18+B19</f>
        <v>511</v>
      </c>
      <c r="C14" s="120">
        <f>C15+C16+C17+C18+C19</f>
        <v>422.90000000000003</v>
      </c>
      <c r="D14" s="120">
        <f>D15+D16+D17+D18+D19</f>
        <v>328.2</v>
      </c>
      <c r="E14" s="177">
        <f t="shared" si="0"/>
        <v>-94.700000000000045</v>
      </c>
      <c r="F14" s="177">
        <f t="shared" si="1"/>
        <v>77.606999290612436</v>
      </c>
    </row>
    <row r="15" spans="1:6" ht="16.2" thickBot="1">
      <c r="A15" s="42" t="s">
        <v>260</v>
      </c>
      <c r="B15" s="119">
        <v>0</v>
      </c>
      <c r="C15" s="119">
        <v>0</v>
      </c>
      <c r="D15" s="119">
        <v>0</v>
      </c>
      <c r="E15" s="177">
        <f t="shared" si="0"/>
        <v>0</v>
      </c>
      <c r="F15" s="119">
        <v>0</v>
      </c>
    </row>
    <row r="16" spans="1:6" ht="16.2" thickBot="1">
      <c r="A16" s="42" t="s">
        <v>261</v>
      </c>
      <c r="B16" s="119">
        <v>0</v>
      </c>
      <c r="C16" s="119">
        <v>0</v>
      </c>
      <c r="D16" s="119">
        <v>0</v>
      </c>
      <c r="E16" s="177">
        <f t="shared" si="0"/>
        <v>0</v>
      </c>
      <c r="F16" s="119">
        <v>0</v>
      </c>
    </row>
    <row r="17" spans="1:6" ht="16.2" thickBot="1">
      <c r="A17" s="42" t="s">
        <v>262</v>
      </c>
      <c r="B17" s="119">
        <v>53.3</v>
      </c>
      <c r="C17" s="119">
        <v>84.3</v>
      </c>
      <c r="D17" s="119">
        <v>24.7</v>
      </c>
      <c r="E17" s="177">
        <f t="shared" si="0"/>
        <v>-59.599999999999994</v>
      </c>
      <c r="F17" s="177">
        <f t="shared" si="1"/>
        <v>29.300118623962039</v>
      </c>
    </row>
    <row r="18" spans="1:6" ht="16.2" thickBot="1">
      <c r="A18" s="42" t="s">
        <v>154</v>
      </c>
      <c r="B18" s="119">
        <v>0</v>
      </c>
      <c r="C18" s="119">
        <v>0</v>
      </c>
      <c r="D18" s="119">
        <v>0</v>
      </c>
      <c r="E18" s="177">
        <f t="shared" si="0"/>
        <v>0</v>
      </c>
      <c r="F18" s="119">
        <v>0</v>
      </c>
    </row>
    <row r="19" spans="1:6" ht="16.2" thickBot="1">
      <c r="A19" s="42" t="s">
        <v>155</v>
      </c>
      <c r="B19" s="119">
        <v>457.7</v>
      </c>
      <c r="C19" s="178">
        <v>338.6</v>
      </c>
      <c r="D19" s="119">
        <v>303.5</v>
      </c>
      <c r="E19" s="177">
        <f t="shared" si="0"/>
        <v>-35.100000000000023</v>
      </c>
      <c r="F19" s="177">
        <f t="shared" si="1"/>
        <v>89.63378617838157</v>
      </c>
    </row>
    <row r="20" spans="1:6" ht="16.2" thickBot="1">
      <c r="A20" s="46" t="s">
        <v>388</v>
      </c>
      <c r="B20" s="120">
        <f>B21+B22+B23+B24+B25</f>
        <v>511</v>
      </c>
      <c r="C20" s="120">
        <f>C21+C22+C23+C24+C25</f>
        <v>422.90000000000003</v>
      </c>
      <c r="D20" s="120">
        <f>D21+D22+D23+D24+D25</f>
        <v>336.59999999999997</v>
      </c>
      <c r="E20" s="177">
        <f t="shared" si="0"/>
        <v>-86.300000000000068</v>
      </c>
      <c r="F20" s="177">
        <f t="shared" si="1"/>
        <v>79.593284464412378</v>
      </c>
    </row>
    <row r="21" spans="1:6" ht="16.2" thickBot="1">
      <c r="A21" s="42" t="s">
        <v>260</v>
      </c>
      <c r="B21" s="119">
        <v>0</v>
      </c>
      <c r="C21" s="119">
        <v>0</v>
      </c>
      <c r="D21" s="119">
        <v>0</v>
      </c>
      <c r="E21" s="177">
        <f t="shared" si="0"/>
        <v>0</v>
      </c>
      <c r="F21" s="119">
        <v>0</v>
      </c>
    </row>
    <row r="22" spans="1:6" ht="16.2" thickBot="1">
      <c r="A22" s="42" t="s">
        <v>261</v>
      </c>
      <c r="B22" s="119">
        <v>0</v>
      </c>
      <c r="C22" s="119">
        <v>0</v>
      </c>
      <c r="D22" s="119">
        <v>0</v>
      </c>
      <c r="E22" s="177">
        <f t="shared" si="0"/>
        <v>0</v>
      </c>
      <c r="F22" s="119">
        <v>0</v>
      </c>
    </row>
    <row r="23" spans="1:6" ht="16.2" thickBot="1">
      <c r="A23" s="42" t="s">
        <v>262</v>
      </c>
      <c r="B23" s="119">
        <v>53.3</v>
      </c>
      <c r="C23" s="119">
        <v>84.3</v>
      </c>
      <c r="D23" s="119">
        <v>24.7</v>
      </c>
      <c r="E23" s="177">
        <f t="shared" si="0"/>
        <v>-59.599999999999994</v>
      </c>
      <c r="F23" s="177">
        <f t="shared" si="1"/>
        <v>29.300118623962039</v>
      </c>
    </row>
    <row r="24" spans="1:6" ht="16.2" thickBot="1">
      <c r="A24" s="42" t="s">
        <v>154</v>
      </c>
      <c r="B24" s="119">
        <v>0</v>
      </c>
      <c r="C24" s="119">
        <v>0</v>
      </c>
      <c r="D24" s="119">
        <v>0</v>
      </c>
      <c r="E24" s="177">
        <f t="shared" si="0"/>
        <v>0</v>
      </c>
      <c r="F24" s="119">
        <v>0</v>
      </c>
    </row>
    <row r="25" spans="1:6" ht="16.2" thickBot="1">
      <c r="A25" s="42" t="s">
        <v>155</v>
      </c>
      <c r="B25" s="119">
        <v>457.7</v>
      </c>
      <c r="C25" s="119">
        <v>338.6</v>
      </c>
      <c r="D25" s="119">
        <v>311.89999999999998</v>
      </c>
      <c r="E25" s="177">
        <f t="shared" si="0"/>
        <v>-26.700000000000045</v>
      </c>
      <c r="F25" s="177">
        <f t="shared" si="1"/>
        <v>92.1145894861193</v>
      </c>
    </row>
    <row r="26" spans="1:6" ht="27" thickBot="1">
      <c r="A26" s="46" t="s">
        <v>389</v>
      </c>
      <c r="B26" s="119">
        <v>6.8</v>
      </c>
      <c r="C26" s="270">
        <f>C20/C8/3</f>
        <v>17.620833333333334</v>
      </c>
      <c r="D26" s="119">
        <v>9.3000000000000007</v>
      </c>
      <c r="E26" s="177">
        <f t="shared" si="0"/>
        <v>-8.3208333333333329</v>
      </c>
      <c r="F26" s="177">
        <f t="shared" si="1"/>
        <v>52.778434618113032</v>
      </c>
    </row>
    <row r="27" spans="1:6" ht="16.2" thickBot="1">
      <c r="A27" s="265" t="s">
        <v>264</v>
      </c>
      <c r="B27" s="266">
        <v>0</v>
      </c>
      <c r="C27" s="266">
        <v>0</v>
      </c>
      <c r="D27" s="119">
        <v>0</v>
      </c>
      <c r="E27" s="267">
        <f t="shared" si="0"/>
        <v>0</v>
      </c>
      <c r="F27" s="119">
        <v>0</v>
      </c>
    </row>
    <row r="28" spans="1:6" ht="18" customHeight="1" thickBot="1">
      <c r="A28" s="51" t="s">
        <v>265</v>
      </c>
      <c r="B28" s="268">
        <v>0</v>
      </c>
      <c r="C28" s="268">
        <v>0</v>
      </c>
      <c r="D28" s="119">
        <v>0</v>
      </c>
      <c r="E28" s="263">
        <f t="shared" si="0"/>
        <v>0</v>
      </c>
      <c r="F28" s="119">
        <v>0</v>
      </c>
    </row>
    <row r="29" spans="1:6" ht="18" customHeight="1" thickBot="1">
      <c r="A29" s="51" t="s">
        <v>390</v>
      </c>
      <c r="B29" s="269">
        <f>B30+B31+B32</f>
        <v>17.8</v>
      </c>
      <c r="C29" s="269">
        <f>C30+C31+C32</f>
        <v>28.1</v>
      </c>
      <c r="D29" s="269">
        <f>D30+D31+D32</f>
        <v>8.1999999999999993</v>
      </c>
      <c r="E29" s="263">
        <f t="shared" si="0"/>
        <v>-19.900000000000002</v>
      </c>
      <c r="F29" s="263">
        <f t="shared" si="1"/>
        <v>29.181494661921704</v>
      </c>
    </row>
    <row r="30" spans="1:6" ht="18" customHeight="1" thickBot="1">
      <c r="A30" s="64" t="s">
        <v>391</v>
      </c>
      <c r="B30" s="119">
        <v>17.8</v>
      </c>
      <c r="C30" s="119">
        <v>17.8</v>
      </c>
      <c r="D30" s="119">
        <v>8.1999999999999993</v>
      </c>
      <c r="E30" s="177">
        <f t="shared" si="0"/>
        <v>-9.6000000000000014</v>
      </c>
      <c r="F30" s="177">
        <f t="shared" si="1"/>
        <v>46.067415730337075</v>
      </c>
    </row>
    <row r="31" spans="1:6" ht="18" customHeight="1" thickBot="1">
      <c r="A31" s="64" t="s">
        <v>392</v>
      </c>
      <c r="B31" s="119">
        <v>0</v>
      </c>
      <c r="C31" s="119">
        <v>0</v>
      </c>
      <c r="D31" s="119">
        <v>0</v>
      </c>
      <c r="E31" s="177">
        <f t="shared" si="0"/>
        <v>0</v>
      </c>
      <c r="F31" s="119">
        <v>0</v>
      </c>
    </row>
    <row r="32" spans="1:6" ht="16.2" thickBot="1">
      <c r="A32" s="64" t="s">
        <v>393</v>
      </c>
      <c r="B32" s="119">
        <v>0</v>
      </c>
      <c r="C32" s="119">
        <v>10.3</v>
      </c>
      <c r="D32" s="119">
        <v>0</v>
      </c>
      <c r="E32" s="177">
        <f t="shared" si="0"/>
        <v>-10.3</v>
      </c>
      <c r="F32" s="177">
        <f t="shared" si="1"/>
        <v>0</v>
      </c>
    </row>
    <row r="33" spans="1:6" ht="16.2" thickBot="1">
      <c r="A33" s="48" t="s">
        <v>266</v>
      </c>
      <c r="B33" s="119">
        <v>0</v>
      </c>
      <c r="C33" s="119">
        <v>0</v>
      </c>
      <c r="D33" s="119">
        <v>0</v>
      </c>
      <c r="E33" s="177">
        <f t="shared" si="0"/>
        <v>0</v>
      </c>
      <c r="F33" s="119">
        <v>0</v>
      </c>
    </row>
    <row r="34" spans="1:6" ht="16.2" thickBot="1">
      <c r="A34" s="48" t="s">
        <v>267</v>
      </c>
      <c r="B34" s="119">
        <v>6.3</v>
      </c>
      <c r="C34" s="119">
        <v>16.100000000000001</v>
      </c>
      <c r="D34" s="119">
        <v>9.1999999999999993</v>
      </c>
      <c r="E34" s="177">
        <f t="shared" si="0"/>
        <v>-6.9000000000000021</v>
      </c>
      <c r="F34" s="177">
        <f t="shared" si="1"/>
        <v>57.142857142857132</v>
      </c>
    </row>
    <row r="35" spans="1:6" ht="25.95" customHeight="1" thickBot="1">
      <c r="A35" s="483" t="s">
        <v>460</v>
      </c>
      <c r="B35" s="484"/>
      <c r="C35" s="484"/>
      <c r="D35" s="484"/>
      <c r="E35" s="484"/>
      <c r="F35" s="485"/>
    </row>
    <row r="36" spans="1:6" ht="16.2" thickBot="1"/>
    <row r="37" spans="1:6" ht="16.2" thickBot="1">
      <c r="A37" s="482" t="s">
        <v>156</v>
      </c>
      <c r="B37" s="482"/>
      <c r="C37" s="482"/>
      <c r="D37" s="482"/>
      <c r="E37" s="482"/>
      <c r="F37" s="482"/>
    </row>
    <row r="38" spans="1:6" ht="33.75" customHeight="1" thickBot="1">
      <c r="A38" s="18" t="s">
        <v>157</v>
      </c>
      <c r="B38" s="25" t="s">
        <v>158</v>
      </c>
      <c r="C38" s="477" t="s">
        <v>159</v>
      </c>
      <c r="D38" s="477"/>
      <c r="E38" s="477"/>
      <c r="F38" s="477"/>
    </row>
    <row r="39" spans="1:6" ht="16.2" thickBot="1">
      <c r="A39" s="18"/>
      <c r="B39" s="25"/>
      <c r="C39" s="477"/>
      <c r="D39" s="477"/>
      <c r="E39" s="477"/>
      <c r="F39" s="477"/>
    </row>
    <row r="42" spans="1:6" ht="15.75" customHeight="1"/>
  </sheetData>
  <mergeCells count="10">
    <mergeCell ref="E1:F1"/>
    <mergeCell ref="C39:F39"/>
    <mergeCell ref="C38:F38"/>
    <mergeCell ref="A2:F2"/>
    <mergeCell ref="A3:F3"/>
    <mergeCell ref="A4:F4"/>
    <mergeCell ref="A5:F5"/>
    <mergeCell ref="A6:F6"/>
    <mergeCell ref="A37:F37"/>
    <mergeCell ref="A35:F35"/>
  </mergeCells>
  <phoneticPr fontId="0" type="noConversion"/>
  <pageMargins left="3.937007874015748E-2" right="3.937007874015748E-2" top="0.35433070866141736" bottom="0.35433070866141736" header="0.31496062992125984" footer="0.31496062992125984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M9"/>
  <sheetViews>
    <sheetView workbookViewId="0">
      <selection activeCell="F6" sqref="F6"/>
    </sheetView>
  </sheetViews>
  <sheetFormatPr defaultColWidth="10.69921875" defaultRowHeight="15.6"/>
  <cols>
    <col min="1" max="1" width="38.69921875" style="12" customWidth="1"/>
    <col min="2" max="13" width="7.69921875" style="11" customWidth="1"/>
    <col min="14" max="16384" width="10.69921875" style="11"/>
  </cols>
  <sheetData>
    <row r="1" spans="1:13" ht="16.2" thickBot="1">
      <c r="J1" s="65"/>
      <c r="K1" s="65"/>
      <c r="L1" s="65"/>
      <c r="M1" s="65"/>
    </row>
    <row r="2" spans="1:13" ht="16.2" thickBot="1">
      <c r="A2" s="380" t="s">
        <v>160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2"/>
    </row>
    <row r="3" spans="1:13" ht="16.2" thickBot="1">
      <c r="A3" s="486" t="s">
        <v>401</v>
      </c>
      <c r="B3" s="488" t="s">
        <v>161</v>
      </c>
      <c r="C3" s="489"/>
      <c r="D3" s="490"/>
      <c r="E3" s="491" t="s">
        <v>162</v>
      </c>
      <c r="F3" s="492"/>
      <c r="G3" s="493"/>
      <c r="H3" s="481" t="s">
        <v>152</v>
      </c>
      <c r="I3" s="414"/>
      <c r="J3" s="415"/>
      <c r="K3" s="481" t="s">
        <v>153</v>
      </c>
      <c r="L3" s="414"/>
      <c r="M3" s="415"/>
    </row>
    <row r="4" spans="1:13" ht="180" customHeight="1" thickBot="1">
      <c r="A4" s="487"/>
      <c r="B4" s="180" t="s">
        <v>395</v>
      </c>
      <c r="C4" s="181" t="s">
        <v>396</v>
      </c>
      <c r="D4" s="181" t="s">
        <v>397</v>
      </c>
      <c r="E4" s="184" t="s">
        <v>395</v>
      </c>
      <c r="F4" s="184" t="s">
        <v>396</v>
      </c>
      <c r="G4" s="184" t="s">
        <v>397</v>
      </c>
      <c r="H4" s="66" t="s">
        <v>395</v>
      </c>
      <c r="I4" s="66" t="s">
        <v>396</v>
      </c>
      <c r="J4" s="66" t="s">
        <v>397</v>
      </c>
      <c r="K4" s="66" t="s">
        <v>398</v>
      </c>
      <c r="L4" s="66" t="s">
        <v>399</v>
      </c>
      <c r="M4" s="66" t="s">
        <v>400</v>
      </c>
    </row>
    <row r="5" spans="1:13" ht="16.2" thickBot="1">
      <c r="A5" s="10">
        <v>1</v>
      </c>
      <c r="B5" s="182">
        <v>4</v>
      </c>
      <c r="C5" s="182">
        <v>5</v>
      </c>
      <c r="D5" s="182">
        <v>6</v>
      </c>
      <c r="E5" s="185">
        <v>7</v>
      </c>
      <c r="F5" s="185">
        <v>8</v>
      </c>
      <c r="G5" s="185">
        <v>9</v>
      </c>
      <c r="H5" s="2">
        <v>10</v>
      </c>
      <c r="I5" s="2">
        <v>11</v>
      </c>
      <c r="J5" s="2">
        <v>12</v>
      </c>
      <c r="K5" s="2">
        <v>13</v>
      </c>
      <c r="L5" s="2">
        <v>14</v>
      </c>
      <c r="M5" s="2">
        <v>15</v>
      </c>
    </row>
    <row r="6" spans="1:13" ht="45" customHeight="1" thickBot="1">
      <c r="A6" s="179" t="s">
        <v>461</v>
      </c>
      <c r="B6" s="191">
        <v>0</v>
      </c>
      <c r="C6" s="191">
        <v>0</v>
      </c>
      <c r="D6" s="191">
        <v>0</v>
      </c>
      <c r="E6" s="295">
        <f ca="1">'І.Форм. фін. рез.'!F7</f>
        <v>24.7</v>
      </c>
      <c r="F6" s="209">
        <v>2</v>
      </c>
      <c r="G6" s="296">
        <v>0</v>
      </c>
      <c r="H6" s="192">
        <f>E6-B6</f>
        <v>24.7</v>
      </c>
      <c r="I6" s="192">
        <f>F6-C6</f>
        <v>2</v>
      </c>
      <c r="J6" s="297">
        <v>0</v>
      </c>
      <c r="K6" s="297">
        <v>0</v>
      </c>
      <c r="L6" s="297">
        <v>0</v>
      </c>
      <c r="M6" s="298">
        <v>0</v>
      </c>
    </row>
    <row r="7" spans="1:13" ht="16.2" thickBot="1">
      <c r="A7" s="10"/>
      <c r="B7" s="187"/>
      <c r="C7" s="188"/>
      <c r="D7" s="188"/>
      <c r="E7" s="189"/>
      <c r="F7" s="189"/>
      <c r="G7" s="189"/>
      <c r="H7" s="190"/>
      <c r="I7" s="190"/>
      <c r="J7" s="190"/>
      <c r="K7" s="190"/>
      <c r="L7" s="190"/>
      <c r="M7" s="190"/>
    </row>
    <row r="8" spans="1:13" ht="16.2" thickBot="1">
      <c r="A8" s="10"/>
      <c r="B8" s="187"/>
      <c r="C8" s="188"/>
      <c r="D8" s="188"/>
      <c r="E8" s="189"/>
      <c r="F8" s="189"/>
      <c r="G8" s="189"/>
      <c r="H8" s="190"/>
      <c r="I8" s="190"/>
      <c r="J8" s="190"/>
      <c r="K8" s="190"/>
      <c r="L8" s="190"/>
      <c r="M8" s="190"/>
    </row>
    <row r="9" spans="1:13" ht="16.2" thickBot="1">
      <c r="A9" s="10" t="s">
        <v>111</v>
      </c>
      <c r="B9" s="182">
        <v>100</v>
      </c>
      <c r="C9" s="183">
        <v>100</v>
      </c>
      <c r="D9" s="183"/>
      <c r="E9" s="186"/>
      <c r="F9" s="186"/>
      <c r="G9" s="186"/>
      <c r="H9" s="4"/>
      <c r="I9" s="4"/>
      <c r="J9" s="4"/>
      <c r="K9" s="4"/>
      <c r="L9" s="4"/>
      <c r="M9" s="4"/>
    </row>
  </sheetData>
  <mergeCells count="6">
    <mergeCell ref="A2:M2"/>
    <mergeCell ref="A3:A4"/>
    <mergeCell ref="B3:D3"/>
    <mergeCell ref="E3:G3"/>
    <mergeCell ref="H3:J3"/>
    <mergeCell ref="K3:M3"/>
  </mergeCells>
  <phoneticPr fontId="0" type="noConversion"/>
  <pageMargins left="0.25" right="0.25" top="0.75" bottom="0.75" header="0.3" footer="0.3"/>
  <pageSetup paperSize="9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G6"/>
  <sheetViews>
    <sheetView workbookViewId="0">
      <selection activeCell="D16" sqref="D16"/>
    </sheetView>
  </sheetViews>
  <sheetFormatPr defaultColWidth="10.69921875" defaultRowHeight="15.6"/>
  <cols>
    <col min="1" max="1" width="47.19921875" style="11" customWidth="1"/>
    <col min="2" max="5" width="10.69921875" style="11" customWidth="1"/>
    <col min="6" max="6" width="11.69921875" style="11" customWidth="1"/>
    <col min="7" max="7" width="10.69921875" style="11" customWidth="1"/>
    <col min="8" max="16384" width="10.69921875" style="11"/>
  </cols>
  <sheetData>
    <row r="1" spans="1:7" ht="16.2" thickBot="1"/>
    <row r="2" spans="1:7" ht="16.2" thickBot="1">
      <c r="A2" s="380" t="s">
        <v>163</v>
      </c>
      <c r="B2" s="381"/>
      <c r="C2" s="381"/>
      <c r="D2" s="381"/>
      <c r="E2" s="381"/>
      <c r="F2" s="381"/>
      <c r="G2" s="382"/>
    </row>
    <row r="3" spans="1:7" ht="66.599999999999994" thickBot="1">
      <c r="A3" s="6" t="s">
        <v>164</v>
      </c>
      <c r="B3" s="2" t="s">
        <v>165</v>
      </c>
      <c r="C3" s="2" t="s">
        <v>166</v>
      </c>
      <c r="D3" s="2" t="s">
        <v>167</v>
      </c>
      <c r="E3" s="2" t="s">
        <v>168</v>
      </c>
      <c r="F3" s="2" t="s">
        <v>169</v>
      </c>
      <c r="G3" s="2" t="s">
        <v>170</v>
      </c>
    </row>
    <row r="4" spans="1:7" ht="16.2" thickBot="1">
      <c r="A4" s="6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</row>
    <row r="5" spans="1:7" ht="16.2" thickBot="1">
      <c r="A5" s="6"/>
      <c r="B5" s="299">
        <v>0</v>
      </c>
      <c r="C5" s="299">
        <v>0</v>
      </c>
      <c r="D5" s="299">
        <v>0</v>
      </c>
      <c r="E5" s="299">
        <v>0</v>
      </c>
      <c r="F5" s="299">
        <v>0</v>
      </c>
      <c r="G5" s="299">
        <v>0</v>
      </c>
    </row>
    <row r="6" spans="1:7" ht="16.2" thickBot="1">
      <c r="A6" s="10" t="s">
        <v>111</v>
      </c>
      <c r="B6" s="2" t="s">
        <v>171</v>
      </c>
      <c r="C6" s="2" t="s">
        <v>171</v>
      </c>
      <c r="D6" s="2" t="s">
        <v>171</v>
      </c>
      <c r="E6" s="2"/>
      <c r="F6" s="2"/>
      <c r="G6" s="2"/>
    </row>
  </sheetData>
  <mergeCells count="1">
    <mergeCell ref="A2:G2"/>
  </mergeCells>
  <phoneticPr fontId="0" type="noConversion"/>
  <pageMargins left="0.25" right="0.25" top="0.75" bottom="0.7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Додаток 3</vt:lpstr>
      <vt:lpstr>І.Форм. фін. рез.</vt:lpstr>
      <vt:lpstr>IІ.Розр. з бюдж</vt:lpstr>
      <vt:lpstr>ІІІ.Рух грош.кошт</vt:lpstr>
      <vt:lpstr>IV.Кап.інвес</vt:lpstr>
      <vt:lpstr>V.Коеф.аналіз</vt:lpstr>
      <vt:lpstr>Інф.до звіту про викон</vt:lpstr>
      <vt:lpstr>3.Інф.про бізнес</vt:lpstr>
      <vt:lpstr>4.Діючі фін.зоб</vt:lpstr>
      <vt:lpstr>5.Інф.залуч.кош.</vt:lpstr>
      <vt:lpstr>6.Витрати,служ.автом.</vt:lpstr>
      <vt:lpstr>7.Витрати на оренду служ.авт.</vt:lpstr>
      <vt:lpstr>8.Джерела кап.інвес</vt:lpstr>
      <vt:lpstr>9. Кап.буд.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Пользователь Windows</cp:lastModifiedBy>
  <cp:lastPrinted>2020-04-17T11:13:05Z</cp:lastPrinted>
  <dcterms:created xsi:type="dcterms:W3CDTF">2019-10-19T07:10:51Z</dcterms:created>
  <dcterms:modified xsi:type="dcterms:W3CDTF">2020-04-17T11:13:28Z</dcterms:modified>
</cp:coreProperties>
</file>