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630" tabRatio="894" firstSheet="2" activeTab="2"/>
  </bookViews>
  <sheets>
    <sheet name="Лист1" sheetId="20" state="hidden" r:id="rId1"/>
    <sheet name="тітул" sheetId="21" r:id="rId2"/>
    <sheet name="Осн. фін. пок." sheetId="14" r:id="rId3"/>
    <sheet name="I. Фін результат" sheetId="2" r:id="rId4"/>
    <sheet name="ІІ. Розр. з бюджетом" sheetId="19" r:id="rId5"/>
    <sheet name="ІІІ. Рух грош. коштів" sheetId="18" r:id="rId6"/>
    <sheet name="IV. Кап. інвестиції" sheetId="3" r:id="rId7"/>
    <sheet name=" V. Коефіцієнти" sheetId="11" r:id="rId8"/>
    <sheet name="6.1. Інша інфо_1" sheetId="10" r:id="rId9"/>
    <sheet name="6.2. Інша інфо_2" sheetId="9" r:id="rId10"/>
    <sheet name="Поясн" sheetId="22" state="hidden" r:id="rId11"/>
    <sheet name="штатка " sheetId="24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123Graph_XGRAPH3" localSheetId="1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>#REF!</definedName>
    <definedName name="Cе511" localSheetId="1">#REF!</definedName>
    <definedName name="Cе511">#REF!</definedName>
    <definedName name="d">'[9]МТР Газ України'!$B$4</definedName>
    <definedName name="dCPIb" localSheetId="1">[10]попер_роз!#REF!</definedName>
    <definedName name="dCPIb">[10]попер_роз!#REF!</definedName>
    <definedName name="dPPIb" localSheetId="1">[10]попер_роз!#REF!</definedName>
    <definedName name="dPPIb">[10]попер_роз!#REF!</definedName>
    <definedName name="ds" localSheetId="1">'[11]7  Інші витрати'!#REF!</definedName>
    <definedName name="ds">'[11]7  Інші витрати'!#REF!</definedName>
    <definedName name="Fact_Type_ID" localSheetId="1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">[14]!ShowFil</definedName>
    <definedName name="ShowFil">[14]!ShowFil</definedName>
    <definedName name="SU_ID" localSheetId="1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>'[13]7  Інші витрати'!#REF!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>#REF!</definedName>
    <definedName name="є" localSheetId="1">#REF!</definedName>
    <definedName name="є">#REF!</definedName>
    <definedName name="_xlnm.Print_Titles" localSheetId="7">' V. Коефіцієнти'!$5:$5</definedName>
    <definedName name="_xlnm.Print_Titles" localSheetId="3">'I. Фін результат'!$5:$5</definedName>
    <definedName name="_xlnm.Print_Titles" localSheetId="4">'ІІ. Розр. з бюджетом'!$5:$5</definedName>
    <definedName name="_xlnm.Print_Titles" localSheetId="5">'ІІІ. Рух грош. коштів'!$5:$5</definedName>
    <definedName name="_xlnm.Print_Titles" localSheetId="2">'Осн. фін. пок.'!$9:$9</definedName>
    <definedName name="_xlnm.Print_Titles" localSheetId="1">тітул!#REF!</definedName>
    <definedName name="Заголовки_для_печати_МИ">'[28]1993'!$A$1:$IV$3,'[28]1993'!$A$1:$A$65536</definedName>
    <definedName name="йуц" localSheetId="1">#REF!</definedName>
    <definedName name="йуц">#REF!</definedName>
    <definedName name="йцу" localSheetId="1">#REF!</definedName>
    <definedName name="йцу">#REF!</definedName>
    <definedName name="йцуйй" localSheetId="1">#REF!</definedName>
    <definedName name="йцуйй">#REF!</definedName>
    <definedName name="йцукц" localSheetId="1">'[30]7  Інші витрати'!#REF!</definedName>
    <definedName name="йцукц">'[30]7  Інші витрати'!#REF!</definedName>
    <definedName name="і">[29]Inform!$F$2</definedName>
    <definedName name="ів" localSheetId="1">#REF!</definedName>
    <definedName name="ів">#REF!</definedName>
    <definedName name="ів___0" localSheetId="1">#REF!</definedName>
    <definedName name="ів___0">#REF!</definedName>
    <definedName name="ів_22" localSheetId="1">#REF!</definedName>
    <definedName name="ів_22">#REF!</definedName>
    <definedName name="ів_26" localSheetId="1">#REF!</definedName>
    <definedName name="ів_26">#REF!</definedName>
    <definedName name="іваіа" localSheetId="1">'[30]7  Інші витрати'!#REF!</definedName>
    <definedName name="іваіа">'[30]7  Інші витрати'!#REF!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1">#REF!</definedName>
    <definedName name="КЕ">#REF!</definedName>
    <definedName name="КЕ___0" localSheetId="1">#REF!</definedName>
    <definedName name="КЕ___0">#REF!</definedName>
    <definedName name="КЕ_22" localSheetId="1">#REF!</definedName>
    <definedName name="КЕ_22">#REF!</definedName>
    <definedName name="КЕ_26" localSheetId="1">#REF!</definedName>
    <definedName name="КЕ_26">#REF!</definedName>
    <definedName name="кен" localSheetId="1">#REF!</definedName>
    <definedName name="кен">#REF!</definedName>
    <definedName name="л" localSheetId="1">#REF!</definedName>
    <definedName name="л">#REF!</definedName>
    <definedName name="_xlnm.Print_Area" localSheetId="7">' V. Коефіцієнти'!$A$1:$H$26</definedName>
    <definedName name="_xlnm.Print_Area" localSheetId="8">'6.1. Інша інфо_1'!$A$1:$O$81</definedName>
    <definedName name="_xlnm.Print_Area" localSheetId="9">'6.2. Інша інфо_2'!$A$1:$AE$65</definedName>
    <definedName name="_xlnm.Print_Area" localSheetId="3">'I. Фін результат'!$A$1:$J$113</definedName>
    <definedName name="_xlnm.Print_Area" localSheetId="6">'IV. Кап. інвестиції'!$A$1:$I$16</definedName>
    <definedName name="_xlnm.Print_Area" localSheetId="4">'ІІ. Розр. з бюджетом'!$A$1:$I$45</definedName>
    <definedName name="_xlnm.Print_Area" localSheetId="5">'ІІІ. Рух грош. коштів'!$A$1:$I$84</definedName>
    <definedName name="_xlnm.Print_Area" localSheetId="2">'Осн. фін. пок.'!$A$1:$J$60</definedName>
    <definedName name="_xlnm.Print_Area" localSheetId="1">тітул!$A$1:$J$32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'[30]7  Інші витрати'!#REF!</definedName>
    <definedName name="фіваіф">'[30]7  Інші витрати'!#REF!</definedName>
    <definedName name="фф">'[26]МТР Газ України'!$F$1</definedName>
    <definedName name="ц" localSheetId="1">'[13]7  Інші витрати'!#REF!</definedName>
    <definedName name="ц">'[13]7  Інші витрати'!#REF!</definedName>
    <definedName name="ччч" localSheetId="1">'[35]БАЗА  '!#REF!</definedName>
    <definedName name="ччч">'[35]БАЗА  '!#REF!</definedName>
    <definedName name="ш" localSheetId="1">#REF!</definedName>
    <definedName name="ш">#REF!</definedName>
  </definedNames>
  <calcPr calcId="125725" refMode="R1C1"/>
</workbook>
</file>

<file path=xl/calcChain.xml><?xml version="1.0" encoding="utf-8"?>
<calcChain xmlns="http://schemas.openxmlformats.org/spreadsheetml/2006/main">
  <c r="F56" i="14"/>
  <c r="B41" i="9" l="1"/>
  <c r="B39"/>
  <c r="Z40"/>
  <c r="Y40"/>
  <c r="X40"/>
  <c r="W40"/>
  <c r="L39"/>
  <c r="L37" s="1"/>
  <c r="M39"/>
  <c r="N39"/>
  <c r="N37" s="1"/>
  <c r="L38"/>
  <c r="M38"/>
  <c r="M37" s="1"/>
  <c r="N38"/>
  <c r="K39"/>
  <c r="K38"/>
  <c r="B38"/>
  <c r="K35"/>
  <c r="L35"/>
  <c r="M35"/>
  <c r="N35"/>
  <c r="K36"/>
  <c r="L36"/>
  <c r="M36"/>
  <c r="N36"/>
  <c r="L34"/>
  <c r="M34"/>
  <c r="M33" s="1"/>
  <c r="M42" s="1"/>
  <c r="N34"/>
  <c r="K34"/>
  <c r="K33" s="1"/>
  <c r="B36"/>
  <c r="B35"/>
  <c r="B34"/>
  <c r="K37" l="1"/>
  <c r="K42" s="1"/>
  <c r="N33"/>
  <c r="N42" s="1"/>
  <c r="L33"/>
  <c r="L42" s="1"/>
  <c r="E42" i="18"/>
  <c r="E9" i="3" s="1"/>
  <c r="F42" i="18"/>
  <c r="G42"/>
  <c r="H42"/>
  <c r="I42"/>
  <c r="D42"/>
  <c r="L30" i="24"/>
  <c r="T27" l="1"/>
  <c r="T33"/>
  <c r="R27"/>
  <c r="R33"/>
  <c r="P27"/>
  <c r="P33"/>
  <c r="N27"/>
  <c r="N33"/>
  <c r="T21"/>
  <c r="R21"/>
  <c r="P21"/>
  <c r="N21"/>
  <c r="O27"/>
  <c r="Q27"/>
  <c r="S27"/>
  <c r="O33"/>
  <c r="Q33"/>
  <c r="S33"/>
  <c r="M27"/>
  <c r="M33"/>
  <c r="D31" i="18"/>
  <c r="D36"/>
  <c r="D37" i="24" l="1"/>
  <c r="E36"/>
  <c r="E35"/>
  <c r="E34"/>
  <c r="D32"/>
  <c r="E31"/>
  <c r="E30"/>
  <c r="E29"/>
  <c r="E28"/>
  <c r="G28" s="1"/>
  <c r="D26"/>
  <c r="E25"/>
  <c r="E24"/>
  <c r="G24" s="1"/>
  <c r="E23"/>
  <c r="E22"/>
  <c r="E21"/>
  <c r="I21" s="1"/>
  <c r="D38" l="1"/>
  <c r="S30"/>
  <c r="Q30"/>
  <c r="O30"/>
  <c r="T28"/>
  <c r="R28"/>
  <c r="P28"/>
  <c r="N28"/>
  <c r="T24"/>
  <c r="R24"/>
  <c r="P24"/>
  <c r="N24"/>
  <c r="G31"/>
  <c r="O31"/>
  <c r="Q31"/>
  <c r="M31"/>
  <c r="S31"/>
  <c r="E37"/>
  <c r="O34"/>
  <c r="Q34"/>
  <c r="M34"/>
  <c r="S34"/>
  <c r="G35"/>
  <c r="I35" s="1"/>
  <c r="O35"/>
  <c r="S35"/>
  <c r="Q35"/>
  <c r="M35"/>
  <c r="G23"/>
  <c r="S23"/>
  <c r="Q23"/>
  <c r="O23"/>
  <c r="M23"/>
  <c r="Q21"/>
  <c r="M21"/>
  <c r="M60"/>
  <c r="S21"/>
  <c r="O21"/>
  <c r="Q22"/>
  <c r="O22"/>
  <c r="M22"/>
  <c r="S22"/>
  <c r="G22"/>
  <c r="I22" s="1"/>
  <c r="I24"/>
  <c r="O24"/>
  <c r="Q24"/>
  <c r="M24"/>
  <c r="S24"/>
  <c r="G25"/>
  <c r="I25" s="1"/>
  <c r="Q25"/>
  <c r="O25"/>
  <c r="S25"/>
  <c r="M25"/>
  <c r="I28"/>
  <c r="M28"/>
  <c r="O28"/>
  <c r="S28"/>
  <c r="Q28"/>
  <c r="G29"/>
  <c r="O29"/>
  <c r="Q29"/>
  <c r="M29"/>
  <c r="S29"/>
  <c r="M61"/>
  <c r="J28" i="10" s="1"/>
  <c r="O36" i="24"/>
  <c r="G36"/>
  <c r="I36" s="1"/>
  <c r="Q36"/>
  <c r="M36"/>
  <c r="S36"/>
  <c r="G30"/>
  <c r="G34"/>
  <c r="G37" s="1"/>
  <c r="I23"/>
  <c r="E26"/>
  <c r="I31"/>
  <c r="E32"/>
  <c r="I34" l="1"/>
  <c r="G26"/>
  <c r="M65"/>
  <c r="J31" i="10" s="1"/>
  <c r="J27"/>
  <c r="G32" i="24"/>
  <c r="G38" s="1"/>
  <c r="I29"/>
  <c r="P30"/>
  <c r="T30"/>
  <c r="R30"/>
  <c r="T34"/>
  <c r="R34"/>
  <c r="P34"/>
  <c r="N34"/>
  <c r="M50"/>
  <c r="R23"/>
  <c r="P23"/>
  <c r="T23"/>
  <c r="N23"/>
  <c r="T35"/>
  <c r="R35"/>
  <c r="P35"/>
  <c r="N35"/>
  <c r="T31"/>
  <c r="R31"/>
  <c r="P31"/>
  <c r="N31"/>
  <c r="I37"/>
  <c r="I26"/>
  <c r="T36"/>
  <c r="P44" s="1"/>
  <c r="R36"/>
  <c r="O44" s="1"/>
  <c r="P36"/>
  <c r="N36"/>
  <c r="M44" s="1"/>
  <c r="T29"/>
  <c r="R29"/>
  <c r="P29"/>
  <c r="N29"/>
  <c r="T25"/>
  <c r="R25"/>
  <c r="P25"/>
  <c r="N25"/>
  <c r="R22"/>
  <c r="O41" s="1"/>
  <c r="P22"/>
  <c r="N22"/>
  <c r="T22"/>
  <c r="N44"/>
  <c r="I30"/>
  <c r="M66" s="1"/>
  <c r="J32" i="10" s="1"/>
  <c r="E38" i="24"/>
  <c r="M55" l="1"/>
  <c r="J23" i="10" s="1"/>
  <c r="J19"/>
  <c r="N41" i="24"/>
  <c r="P41"/>
  <c r="P42" s="1"/>
  <c r="N36" i="2" s="1"/>
  <c r="M41" i="24"/>
  <c r="M42" s="1"/>
  <c r="K36" i="2" s="1"/>
  <c r="N35"/>
  <c r="K35"/>
  <c r="L35"/>
  <c r="N42" i="24"/>
  <c r="L36" i="2" s="1"/>
  <c r="O42" i="24"/>
  <c r="M36" i="2" s="1"/>
  <c r="M35"/>
  <c r="I32" i="24"/>
  <c r="I38" s="1"/>
  <c r="G11" i="3"/>
  <c r="H11"/>
  <c r="I11"/>
  <c r="F11"/>
  <c r="G36" i="18"/>
  <c r="G10" i="3" s="1"/>
  <c r="H36" i="18"/>
  <c r="H10" i="3" s="1"/>
  <c r="I36" i="18"/>
  <c r="I10" i="3" s="1"/>
  <c r="F36" i="18"/>
  <c r="F10" i="3" s="1"/>
  <c r="M51" i="24" l="1"/>
  <c r="J20" i="10" s="1"/>
  <c r="M56" i="24"/>
  <c r="J24" i="10" s="1"/>
  <c r="F50" i="14"/>
  <c r="F53"/>
  <c r="F31" i="18" l="1"/>
  <c r="F8" i="3" s="1"/>
  <c r="G31" i="18"/>
  <c r="G8" i="3" s="1"/>
  <c r="H31" i="18"/>
  <c r="H8" i="3" s="1"/>
  <c r="I31" i="18"/>
  <c r="I8" i="3" s="1"/>
  <c r="E36" i="18"/>
  <c r="E10" i="3" s="1"/>
  <c r="E31" i="18"/>
  <c r="G19" i="14"/>
  <c r="H19"/>
  <c r="I19"/>
  <c r="J19"/>
  <c r="E8" i="3" l="1"/>
  <c r="E46" i="18"/>
  <c r="C57" i="10"/>
  <c r="D57"/>
  <c r="E57"/>
  <c r="F57"/>
  <c r="G57"/>
  <c r="H57"/>
  <c r="I57"/>
  <c r="J57"/>
  <c r="K57"/>
  <c r="L57"/>
  <c r="M57"/>
  <c r="N57"/>
  <c r="O57"/>
  <c r="B57"/>
  <c r="H24" l="1"/>
  <c r="H23"/>
  <c r="F60" i="18"/>
  <c r="C60" l="1"/>
  <c r="E105" i="2"/>
  <c r="F105"/>
  <c r="F49" l="1"/>
  <c r="E49"/>
  <c r="E74"/>
  <c r="D17"/>
  <c r="D105"/>
  <c r="D49"/>
  <c r="C49"/>
  <c r="Z33" i="9" l="1"/>
  <c r="Z37"/>
  <c r="Z41"/>
  <c r="Y33"/>
  <c r="Y37"/>
  <c r="Y41"/>
  <c r="X33"/>
  <c r="X37"/>
  <c r="W33"/>
  <c r="W37"/>
  <c r="W41"/>
  <c r="I105" i="2" l="1"/>
  <c r="G103"/>
  <c r="H103"/>
  <c r="I103"/>
  <c r="F32" i="10" l="1"/>
  <c r="F33"/>
  <c r="G105" i="2" l="1"/>
  <c r="H105"/>
  <c r="F31" i="10" l="1"/>
  <c r="E7" i="19"/>
  <c r="H29" i="10" l="1"/>
  <c r="L14" l="1"/>
  <c r="D45" i="14" l="1"/>
  <c r="E60" i="18"/>
  <c r="H49" i="2"/>
  <c r="G49"/>
  <c r="I50"/>
  <c r="I49" s="1"/>
  <c r="C105"/>
  <c r="C104"/>
  <c r="C37" i="19" s="1"/>
  <c r="C103" i="2"/>
  <c r="C36" i="19" s="1"/>
  <c r="C35" s="1"/>
  <c r="C74" i="2"/>
  <c r="C17"/>
  <c r="C9" s="1"/>
  <c r="C29" i="19" l="1"/>
  <c r="G17" i="2"/>
  <c r="E17" l="1"/>
  <c r="H60" i="18"/>
  <c r="I60"/>
  <c r="G60"/>
  <c r="E104" i="2" l="1"/>
  <c r="E37" i="19" s="1"/>
  <c r="I17" i="2"/>
  <c r="H17"/>
  <c r="F17"/>
  <c r="H25" i="10" l="1"/>
  <c r="H33"/>
  <c r="H31"/>
  <c r="J33"/>
  <c r="D104" i="2"/>
  <c r="D37" i="19" s="1"/>
  <c r="E103" i="2"/>
  <c r="F103"/>
  <c r="D103"/>
  <c r="D29" i="19" l="1"/>
  <c r="D36"/>
  <c r="D35" s="1"/>
  <c r="E29"/>
  <c r="E36"/>
  <c r="E35" s="1"/>
  <c r="D60" i="18"/>
  <c r="L13" i="10"/>
  <c r="L16"/>
  <c r="L19"/>
  <c r="L20"/>
  <c r="L21"/>
  <c r="L23"/>
  <c r="L24"/>
  <c r="L25"/>
  <c r="L27"/>
  <c r="L28"/>
  <c r="L29"/>
  <c r="L31"/>
  <c r="L32"/>
  <c r="L33"/>
  <c r="L12"/>
  <c r="V22" i="9"/>
  <c r="G7" i="2"/>
  <c r="G90" s="1"/>
  <c r="D50" i="14"/>
  <c r="C50"/>
  <c r="V20" i="9"/>
  <c r="V21"/>
  <c r="V19"/>
  <c r="D7" i="2"/>
  <c r="D9"/>
  <c r="D12" i="14" s="1"/>
  <c r="D27" i="2"/>
  <c r="D14" i="14" s="1"/>
  <c r="D54" i="2"/>
  <c r="D15" i="14" s="1"/>
  <c r="D62" i="2"/>
  <c r="E27"/>
  <c r="F14" i="14" s="1"/>
  <c r="C27" i="2"/>
  <c r="E7"/>
  <c r="F11" i="14" s="1"/>
  <c r="E9" i="2"/>
  <c r="F12" i="14" s="1"/>
  <c r="E54" i="2"/>
  <c r="F15" i="14" s="1"/>
  <c r="E62" i="2"/>
  <c r="E87" s="1"/>
  <c r="F16" i="14" s="1"/>
  <c r="I7" i="2"/>
  <c r="I90" s="1"/>
  <c r="I9"/>
  <c r="I54"/>
  <c r="E15" i="14" s="1"/>
  <c r="G15" s="1"/>
  <c r="H15" s="1"/>
  <c r="I15" s="1"/>
  <c r="J15" s="1"/>
  <c r="I62" i="2"/>
  <c r="I87" s="1"/>
  <c r="E16" i="14" s="1"/>
  <c r="G16" s="1"/>
  <c r="H16" s="1"/>
  <c r="I16" s="1"/>
  <c r="J16" s="1"/>
  <c r="M7" i="9"/>
  <c r="C11" i="20"/>
  <c r="C18" s="1"/>
  <c r="F29" i="19" s="1"/>
  <c r="D11" i="20"/>
  <c r="D18" s="1"/>
  <c r="G29" i="19" s="1"/>
  <c r="E11" i="20"/>
  <c r="E17" s="1"/>
  <c r="H36" i="2" s="1"/>
  <c r="H104" s="1"/>
  <c r="F11" i="20"/>
  <c r="F19" s="1"/>
  <c r="I36" i="19" s="1"/>
  <c r="I35" s="1"/>
  <c r="C54" i="2"/>
  <c r="C15" i="14" s="1"/>
  <c r="C7" i="2"/>
  <c r="C11" i="14" s="1"/>
  <c r="C12"/>
  <c r="C62" i="2"/>
  <c r="C87" s="1"/>
  <c r="C16" i="14" s="1"/>
  <c r="F62" i="2"/>
  <c r="F87" s="1"/>
  <c r="G62"/>
  <c r="H62"/>
  <c r="F9"/>
  <c r="F7"/>
  <c r="F90" s="1"/>
  <c r="F54"/>
  <c r="G9"/>
  <c r="G54"/>
  <c r="H7"/>
  <c r="H9"/>
  <c r="H54"/>
  <c r="D94"/>
  <c r="E94"/>
  <c r="F94"/>
  <c r="G94"/>
  <c r="H94"/>
  <c r="I94"/>
  <c r="D95"/>
  <c r="E95"/>
  <c r="F95"/>
  <c r="G95"/>
  <c r="H95"/>
  <c r="I95"/>
  <c r="D96"/>
  <c r="E96"/>
  <c r="F96"/>
  <c r="G96"/>
  <c r="H96"/>
  <c r="I96"/>
  <c r="D89"/>
  <c r="D21" i="14" s="1"/>
  <c r="E89" i="2"/>
  <c r="F21" i="14" s="1"/>
  <c r="F89" i="2"/>
  <c r="G89"/>
  <c r="H89"/>
  <c r="I89"/>
  <c r="E21" i="14" s="1"/>
  <c r="G21" s="1"/>
  <c r="H21" s="1"/>
  <c r="I21" s="1"/>
  <c r="J21" s="1"/>
  <c r="D88" i="2"/>
  <c r="D20" i="14" s="1"/>
  <c r="E88" i="2"/>
  <c r="F20" i="14" s="1"/>
  <c r="F88" i="2"/>
  <c r="G88"/>
  <c r="H88"/>
  <c r="I88"/>
  <c r="E20" i="14" s="1"/>
  <c r="G20" s="1"/>
  <c r="H20" s="1"/>
  <c r="I20" s="1"/>
  <c r="J20" s="1"/>
  <c r="G87" i="2"/>
  <c r="C9" i="18"/>
  <c r="C18"/>
  <c r="C63"/>
  <c r="C64"/>
  <c r="C46"/>
  <c r="C36" i="14" s="1"/>
  <c r="E9" i="18"/>
  <c r="E18"/>
  <c r="E63"/>
  <c r="E64"/>
  <c r="I9"/>
  <c r="I46"/>
  <c r="E36" i="14" s="1"/>
  <c r="G36" s="1"/>
  <c r="H36" s="1"/>
  <c r="I36" s="1"/>
  <c r="J36" s="1"/>
  <c r="C21" i="19"/>
  <c r="C20"/>
  <c r="E8"/>
  <c r="C53" i="14"/>
  <c r="K59" i="9"/>
  <c r="O59"/>
  <c r="M53"/>
  <c r="M54"/>
  <c r="M55"/>
  <c r="G42"/>
  <c r="F45" i="14"/>
  <c r="C94" i="2"/>
  <c r="C95"/>
  <c r="C96"/>
  <c r="C6" i="3"/>
  <c r="C41" i="14" s="1"/>
  <c r="D9" i="18"/>
  <c r="D18"/>
  <c r="D63"/>
  <c r="D64"/>
  <c r="D46"/>
  <c r="D36" i="14" s="1"/>
  <c r="F9" i="18"/>
  <c r="F46"/>
  <c r="G9"/>
  <c r="G46"/>
  <c r="H9"/>
  <c r="H46"/>
  <c r="E38" i="14"/>
  <c r="G38" s="1"/>
  <c r="H38" s="1"/>
  <c r="I38" s="1"/>
  <c r="J38" s="1"/>
  <c r="E29"/>
  <c r="G29" s="1"/>
  <c r="H29" s="1"/>
  <c r="I29" s="1"/>
  <c r="J29" s="1"/>
  <c r="C22" i="19"/>
  <c r="C28" i="14" s="1"/>
  <c r="C25" i="19"/>
  <c r="C30" i="14" s="1"/>
  <c r="D22" i="19"/>
  <c r="D28" i="14" s="1"/>
  <c r="E22" i="19"/>
  <c r="F28" i="14" s="1"/>
  <c r="D21" i="19"/>
  <c r="E21"/>
  <c r="D20"/>
  <c r="D19" s="1"/>
  <c r="D27" i="14" s="1"/>
  <c r="E20" i="19"/>
  <c r="D8"/>
  <c r="C8"/>
  <c r="C89" i="2"/>
  <c r="C21" i="14" s="1"/>
  <c r="C88" i="2"/>
  <c r="C20" i="14" s="1"/>
  <c r="D53"/>
  <c r="E59" i="9"/>
  <c r="AC11"/>
  <c r="Z11"/>
  <c r="W11"/>
  <c r="T11"/>
  <c r="Q11"/>
  <c r="I6" i="3"/>
  <c r="E41" i="14" s="1"/>
  <c r="H6" i="3"/>
  <c r="G6"/>
  <c r="F6"/>
  <c r="F29" i="14"/>
  <c r="D29"/>
  <c r="C29"/>
  <c r="M58" i="9"/>
  <c r="M57"/>
  <c r="M56"/>
  <c r="M52"/>
  <c r="S59"/>
  <c r="Q59"/>
  <c r="I59"/>
  <c r="G59"/>
  <c r="X41"/>
  <c r="Z32"/>
  <c r="Y32"/>
  <c r="X32"/>
  <c r="W32"/>
  <c r="V42"/>
  <c r="U42"/>
  <c r="T42"/>
  <c r="S42"/>
  <c r="R42"/>
  <c r="Q42"/>
  <c r="P42"/>
  <c r="O42"/>
  <c r="J42"/>
  <c r="I42"/>
  <c r="H42"/>
  <c r="AD23"/>
  <c r="V23" s="1"/>
  <c r="AB23"/>
  <c r="Z23"/>
  <c r="X23"/>
  <c r="M10"/>
  <c r="M9"/>
  <c r="M8"/>
  <c r="K66" i="10"/>
  <c r="E6" i="3"/>
  <c r="F41" i="14" s="1"/>
  <c r="D6" i="3"/>
  <c r="D41" i="14" s="1"/>
  <c r="C45"/>
  <c r="F38"/>
  <c r="D38"/>
  <c r="C38"/>
  <c r="D34"/>
  <c r="C34"/>
  <c r="F31"/>
  <c r="D31"/>
  <c r="C31"/>
  <c r="F23"/>
  <c r="D23"/>
  <c r="C23"/>
  <c r="B21"/>
  <c r="B45"/>
  <c r="B44"/>
  <c r="B43"/>
  <c r="B41"/>
  <c r="B38"/>
  <c r="B37"/>
  <c r="B36"/>
  <c r="B35"/>
  <c r="B39"/>
  <c r="B34"/>
  <c r="B32"/>
  <c r="B31"/>
  <c r="B30"/>
  <c r="B28"/>
  <c r="B27"/>
  <c r="B25"/>
  <c r="B24"/>
  <c r="B23"/>
  <c r="B22"/>
  <c r="B20"/>
  <c r="B19"/>
  <c r="B18"/>
  <c r="B17"/>
  <c r="B16"/>
  <c r="B14"/>
  <c r="B15"/>
  <c r="B13"/>
  <c r="B12"/>
  <c r="B11"/>
  <c r="E47" l="1"/>
  <c r="D25" i="19"/>
  <c r="D30" i="14" s="1"/>
  <c r="H27" i="2"/>
  <c r="D87"/>
  <c r="D16" i="14" s="1"/>
  <c r="D106" i="2"/>
  <c r="D107" s="1"/>
  <c r="E25" i="19"/>
  <c r="F30" i="14" s="1"/>
  <c r="G23" i="2"/>
  <c r="E12" i="14"/>
  <c r="G12" s="1"/>
  <c r="H12" s="1"/>
  <c r="I12" s="1"/>
  <c r="J12" s="1"/>
  <c r="G17" i="11"/>
  <c r="E74" i="18"/>
  <c r="F36" i="14"/>
  <c r="C90" i="2"/>
  <c r="D91"/>
  <c r="C17" i="20"/>
  <c r="C19"/>
  <c r="F36" i="19" s="1"/>
  <c r="F35" s="1"/>
  <c r="F17" i="20"/>
  <c r="X42" i="9"/>
  <c r="Z42"/>
  <c r="C19" i="19"/>
  <c r="C38" s="1"/>
  <c r="C32" i="14" s="1"/>
  <c r="D23" i="2"/>
  <c r="D13" i="14" s="1"/>
  <c r="I23" i="2"/>
  <c r="E13" i="14" s="1"/>
  <c r="D19" i="20"/>
  <c r="G36" i="19" s="1"/>
  <c r="G35" s="1"/>
  <c r="G25" s="1"/>
  <c r="E19"/>
  <c r="F27" i="14" s="1"/>
  <c r="C74" i="18"/>
  <c r="M104" i="2"/>
  <c r="M105" s="1"/>
  <c r="H37" i="19"/>
  <c r="E18" i="20"/>
  <c r="H29" i="19" s="1"/>
  <c r="E19" i="20"/>
  <c r="H36" i="19" s="1"/>
  <c r="H35" s="1"/>
  <c r="F18" i="20"/>
  <c r="I29" i="19" s="1"/>
  <c r="I25" s="1"/>
  <c r="E30" i="14" s="1"/>
  <c r="G30" s="1"/>
  <c r="H30" s="1"/>
  <c r="I30" s="1"/>
  <c r="J30" s="1"/>
  <c r="D17" i="20"/>
  <c r="F23" i="2"/>
  <c r="C23"/>
  <c r="C13" i="14" s="1"/>
  <c r="F25" i="19"/>
  <c r="N104" i="2"/>
  <c r="E11" i="14"/>
  <c r="G11" s="1"/>
  <c r="H11" s="1"/>
  <c r="I11" s="1"/>
  <c r="J11" s="1"/>
  <c r="W42" i="9"/>
  <c r="Y42"/>
  <c r="E90" i="2"/>
  <c r="E23"/>
  <c r="D90"/>
  <c r="D11" i="14"/>
  <c r="E91" i="2"/>
  <c r="E106" s="1"/>
  <c r="E107" s="1"/>
  <c r="M59" i="9"/>
  <c r="G41" i="14"/>
  <c r="H41" s="1"/>
  <c r="I41" s="1"/>
  <c r="J41" s="1"/>
  <c r="M11" i="9"/>
  <c r="C14" i="14"/>
  <c r="C91" i="2"/>
  <c r="C106" s="1"/>
  <c r="C107" s="1"/>
  <c r="D74" i="18"/>
  <c r="D37" i="14" s="1"/>
  <c r="H23" i="2"/>
  <c r="F37" i="14"/>
  <c r="D38" i="19" l="1"/>
  <c r="D32" i="14" s="1"/>
  <c r="C27"/>
  <c r="G37" i="19"/>
  <c r="G36" i="2"/>
  <c r="I37" i="19"/>
  <c r="E31" i="14" s="1"/>
  <c r="G31" s="1"/>
  <c r="H31" s="1"/>
  <c r="I31" s="1"/>
  <c r="J31" s="1"/>
  <c r="I36" i="2"/>
  <c r="F37" i="19"/>
  <c r="F36" i="2"/>
  <c r="C37" i="14"/>
  <c r="D69" i="2"/>
  <c r="D79" s="1"/>
  <c r="K104"/>
  <c r="E38" i="19"/>
  <c r="F32" i="14" s="1"/>
  <c r="L104" i="2"/>
  <c r="G18" i="11"/>
  <c r="C69" i="2"/>
  <c r="C79" s="1"/>
  <c r="H25" i="19"/>
  <c r="C93" i="2"/>
  <c r="C98" s="1"/>
  <c r="C18" i="14" s="1"/>
  <c r="G13"/>
  <c r="G7" i="11"/>
  <c r="D93" i="2"/>
  <c r="D98" s="1"/>
  <c r="D18" i="14" s="1"/>
  <c r="E69" i="2"/>
  <c r="F13" i="14"/>
  <c r="F7" i="11" s="1"/>
  <c r="F104" i="2" l="1"/>
  <c r="F27"/>
  <c r="F69" s="1"/>
  <c r="I104"/>
  <c r="N105" s="1"/>
  <c r="I27"/>
  <c r="G104"/>
  <c r="L105" s="1"/>
  <c r="G27"/>
  <c r="G69" s="1"/>
  <c r="K105"/>
  <c r="F22" i="19"/>
  <c r="F18" i="18"/>
  <c r="D17" i="14"/>
  <c r="C17"/>
  <c r="C22"/>
  <c r="C7" i="18"/>
  <c r="C13" s="1"/>
  <c r="C17" s="1"/>
  <c r="C19" s="1"/>
  <c r="C78" s="1"/>
  <c r="C82" i="2"/>
  <c r="H13" i="14"/>
  <c r="C19"/>
  <c r="E79" i="2"/>
  <c r="E93"/>
  <c r="E98" s="1"/>
  <c r="F18" i="14" s="1"/>
  <c r="F8" i="11" s="1"/>
  <c r="F17" i="14"/>
  <c r="D22"/>
  <c r="D7" i="18"/>
  <c r="D13" s="1"/>
  <c r="D17" s="1"/>
  <c r="D19" s="1"/>
  <c r="D78" s="1"/>
  <c r="D82" i="2"/>
  <c r="E14" i="14" l="1"/>
  <c r="G14" s="1"/>
  <c r="I69" i="2"/>
  <c r="F93"/>
  <c r="F98" s="1"/>
  <c r="F79"/>
  <c r="F7" i="18" s="1"/>
  <c r="F91" i="2"/>
  <c r="F106" s="1"/>
  <c r="F107" s="1"/>
  <c r="G93"/>
  <c r="G98" s="1"/>
  <c r="G79"/>
  <c r="I91"/>
  <c r="I106" s="1"/>
  <c r="I107" s="1"/>
  <c r="E23" i="14"/>
  <c r="I22" i="19"/>
  <c r="E28" i="14" s="1"/>
  <c r="I18" i="18"/>
  <c r="G18"/>
  <c r="G22" i="19"/>
  <c r="G91" i="2"/>
  <c r="C35" i="14"/>
  <c r="J13"/>
  <c r="I13"/>
  <c r="C84" i="2"/>
  <c r="C24" i="14"/>
  <c r="C83" i="2"/>
  <c r="D79" i="18"/>
  <c r="D35" i="14"/>
  <c r="E7" i="18"/>
  <c r="E13" s="1"/>
  <c r="E17" s="1"/>
  <c r="E82" i="2"/>
  <c r="F22" i="14"/>
  <c r="D24"/>
  <c r="D84" i="2"/>
  <c r="D83"/>
  <c r="F13" i="11"/>
  <c r="H14" i="14" l="1"/>
  <c r="G17"/>
  <c r="G22" s="1"/>
  <c r="G7" i="18"/>
  <c r="G13" s="1"/>
  <c r="G17" s="1"/>
  <c r="G19" s="1"/>
  <c r="G79" s="1"/>
  <c r="G82" i="2"/>
  <c r="F13" i="18"/>
  <c r="F17" s="1"/>
  <c r="F19" s="1"/>
  <c r="F79" s="1"/>
  <c r="F82" i="2"/>
  <c r="I79"/>
  <c r="E17" i="14"/>
  <c r="I93" i="2"/>
  <c r="I98" s="1"/>
  <c r="E18" i="14" s="1"/>
  <c r="G106" i="2"/>
  <c r="G107" s="1"/>
  <c r="F63" i="18"/>
  <c r="F20" i="19"/>
  <c r="F8"/>
  <c r="E19" i="18"/>
  <c r="E79" s="1"/>
  <c r="C39" i="14"/>
  <c r="F34"/>
  <c r="C49"/>
  <c r="C44"/>
  <c r="C25"/>
  <c r="C43"/>
  <c r="E84" i="2"/>
  <c r="E83"/>
  <c r="F24" i="14"/>
  <c r="E17" i="19"/>
  <c r="D39" i="14"/>
  <c r="D49"/>
  <c r="E45"/>
  <c r="F83" i="2" l="1"/>
  <c r="F84"/>
  <c r="G83"/>
  <c r="G84"/>
  <c r="I14" i="14"/>
  <c r="H17"/>
  <c r="H22" s="1"/>
  <c r="G18"/>
  <c r="H18" s="1"/>
  <c r="I18" s="1"/>
  <c r="J18" s="1"/>
  <c r="G8" i="11"/>
  <c r="E22" i="14"/>
  <c r="I82" i="2"/>
  <c r="I7" i="18"/>
  <c r="I13" s="1"/>
  <c r="I17" s="1"/>
  <c r="I19" s="1"/>
  <c r="G23" i="14"/>
  <c r="G28" s="1"/>
  <c r="E78" i="18"/>
  <c r="H76" s="1"/>
  <c r="F11" i="11"/>
  <c r="F10"/>
  <c r="D44" i="14" s="1"/>
  <c r="F64" i="18"/>
  <c r="F21" i="19"/>
  <c r="F19" s="1"/>
  <c r="F38" s="1"/>
  <c r="F74" i="18"/>
  <c r="G63"/>
  <c r="G20" i="19"/>
  <c r="F35" i="14"/>
  <c r="H7" i="19"/>
  <c r="F7"/>
  <c r="F17" s="1"/>
  <c r="G7"/>
  <c r="I7"/>
  <c r="G24" i="14" l="1"/>
  <c r="G27" s="1"/>
  <c r="G32" s="1"/>
  <c r="I79" i="18"/>
  <c r="E35" i="14"/>
  <c r="G35" s="1"/>
  <c r="H35" s="1"/>
  <c r="I35" s="1"/>
  <c r="J35" s="1"/>
  <c r="J14"/>
  <c r="J17" s="1"/>
  <c r="J22" s="1"/>
  <c r="I17"/>
  <c r="I22" s="1"/>
  <c r="E24"/>
  <c r="E56" s="1"/>
  <c r="I84" i="2"/>
  <c r="I83"/>
  <c r="H23" i="14"/>
  <c r="H28" s="1"/>
  <c r="F44"/>
  <c r="F39"/>
  <c r="G64" i="18"/>
  <c r="G74" s="1"/>
  <c r="G21" i="19"/>
  <c r="G19" s="1"/>
  <c r="G38" s="1"/>
  <c r="G8"/>
  <c r="G17" s="1"/>
  <c r="I76" i="18"/>
  <c r="I78" s="1"/>
  <c r="F76"/>
  <c r="G76"/>
  <c r="G78" s="1"/>
  <c r="F49" i="14"/>
  <c r="G25" l="1"/>
  <c r="G11" i="11"/>
  <c r="J23" i="14"/>
  <c r="J28" s="1"/>
  <c r="H24"/>
  <c r="I23"/>
  <c r="I28" s="1"/>
  <c r="F78" i="18"/>
  <c r="E34" i="14"/>
  <c r="H90" i="2"/>
  <c r="J24" i="14" l="1"/>
  <c r="J25" s="1"/>
  <c r="H25"/>
  <c r="H27"/>
  <c r="H32" s="1"/>
  <c r="I24"/>
  <c r="J27"/>
  <c r="J32" s="1"/>
  <c r="H69" i="2"/>
  <c r="H93" s="1"/>
  <c r="H98" s="1"/>
  <c r="H87"/>
  <c r="I27" i="14" l="1"/>
  <c r="I32" s="1"/>
  <c r="I25"/>
  <c r="H79" i="2"/>
  <c r="H7" i="18" l="1"/>
  <c r="H13" s="1"/>
  <c r="H17" s="1"/>
  <c r="H18" l="1"/>
  <c r="H19" s="1"/>
  <c r="H22" i="19"/>
  <c r="H91" i="2"/>
  <c r="H106" s="1"/>
  <c r="H107" s="1"/>
  <c r="H82"/>
  <c r="H78" i="18" l="1"/>
  <c r="H79"/>
  <c r="H83" i="2"/>
  <c r="H84"/>
  <c r="H8" i="19" l="1"/>
  <c r="H17" s="1"/>
  <c r="H63" i="18"/>
  <c r="H20" i="19"/>
  <c r="I20" l="1"/>
  <c r="I63" i="18"/>
  <c r="H21" i="19"/>
  <c r="H19" s="1"/>
  <c r="H38" s="1"/>
  <c r="I8"/>
  <c r="I17" s="1"/>
  <c r="H64" i="18"/>
  <c r="H74" s="1"/>
  <c r="I64" l="1"/>
  <c r="I21" i="19"/>
  <c r="I19" s="1"/>
  <c r="I74" i="18"/>
  <c r="E27" i="14" l="1"/>
  <c r="G10" i="11" s="1"/>
  <c r="E44" i="14" s="1"/>
  <c r="I38" i="19"/>
  <c r="E32" i="14" s="1"/>
  <c r="E37"/>
  <c r="G37" s="1"/>
  <c r="H37" s="1"/>
  <c r="I37" s="1"/>
  <c r="J37" s="1"/>
  <c r="E49" l="1"/>
  <c r="E48" s="1"/>
  <c r="E39"/>
  <c r="G34" s="1"/>
  <c r="G39" l="1"/>
  <c r="H34" s="1"/>
  <c r="H39" s="1"/>
  <c r="I34" s="1"/>
  <c r="I39" s="1"/>
  <c r="J34" s="1"/>
  <c r="J39" s="1"/>
  <c r="E53"/>
  <c r="E50" s="1"/>
  <c r="G9" i="11" s="1"/>
  <c r="E43" i="14" s="1"/>
  <c r="G13" i="11"/>
  <c r="F9"/>
  <c r="D43" i="14" l="1"/>
  <c r="F43"/>
</calcChain>
</file>

<file path=xl/sharedStrings.xml><?xml version="1.0" encoding="utf-8"?>
<sst xmlns="http://schemas.openxmlformats.org/spreadsheetml/2006/main" count="849" uniqueCount="605">
  <si>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</si>
  <si>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</si>
  <si>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</si>
  <si>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</si>
  <si>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</si>
  <si>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</si>
  <si>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</si>
  <si>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</si>
  <si>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</si>
  <si>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</si>
  <si>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</si>
  <si>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</si>
  <si>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</si>
  <si>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</si>
  <si>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</si>
  <si>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</si>
  <si>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</si>
  <si>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</si>
  <si>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</si>
  <si>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</si>
  <si>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</si>
  <si>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</si>
  <si>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</si>
  <si>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</si>
  <si>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</si>
  <si>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</si>
  <si>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</si>
  <si>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</si>
  <si>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</si>
  <si>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</si>
  <si>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</si>
  <si>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</si>
  <si>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</si>
  <si>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</si>
  <si>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</si>
  <si>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</si>
  <si>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</si>
  <si>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</si>
  <si>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</si>
  <si>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</si>
  <si>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</si>
  <si>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</si>
  <si>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</si>
  <si>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</si>
  <si>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</si>
  <si>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</si>
  <si>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</si>
  <si>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</si>
  <si>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</si>
  <si>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</si>
  <si>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</si>
  <si>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</si>
  <si>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</si>
  <si>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</si>
  <si>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</si>
  <si>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</si>
  <si>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</si>
  <si>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</si>
  <si>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</si>
  <si>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</si>
  <si>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</si>
  <si>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</si>
  <si>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</si>
  <si>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</si>
  <si>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</si>
  <si>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</si>
  <si>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</si>
  <si>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</si>
  <si>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</si>
  <si>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</si>
  <si>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</si>
  <si>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</si>
  <si>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</si>
  <si>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</si>
  <si>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</si>
  <si>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</si>
  <si>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</si>
  <si>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</si>
  <si>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</si>
  <si>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</si>
  <si>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</si>
  <si>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</si>
  <si>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</si>
  <si>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</si>
  <si>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</si>
  <si>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</si>
  <si>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</si>
  <si>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</si>
  <si>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</si>
  <si>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</si>
  <si>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</si>
  <si>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</si>
  <si>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</si>
  <si>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</si>
  <si>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</si>
  <si>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</si>
  <si>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</si>
  <si>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</si>
  <si>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</si>
  <si>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</si>
  <si>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</si>
  <si>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</si>
  <si>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</si>
  <si>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</si>
  <si>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</si>
  <si>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</si>
  <si>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</si>
  <si>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</si>
  <si>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</si>
  <si>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</si>
  <si>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</si>
  <si>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</si>
  <si>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</si>
  <si>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</si>
  <si>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</si>
  <si>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</si>
  <si>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</si>
  <si>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</si>
  <si>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</si>
  <si>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</si>
  <si>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</si>
  <si>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</si>
  <si>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</si>
  <si>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</si>
  <si>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</si>
  <si>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</si>
  <si>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</si>
  <si>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</si>
  <si>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</si>
  <si>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</si>
  <si>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</si>
  <si>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</si>
  <si>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</si>
  <si>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</si>
  <si>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</si>
  <si>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</si>
  <si>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</si>
  <si>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</si>
  <si>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</si>
  <si>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</si>
  <si>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</si>
  <si>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</si>
  <si>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</si>
  <si>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</si>
  <si>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</si>
  <si>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</si>
  <si>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</si>
  <si>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</si>
  <si>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</si>
  <si>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</si>
  <si>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</si>
  <si>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</si>
  <si>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</si>
  <si>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</si>
  <si>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</si>
  <si>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</si>
  <si>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</si>
  <si>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</si>
  <si>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</si>
  <si>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</si>
  <si>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</si>
  <si>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</si>
  <si>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</si>
  <si>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</si>
  <si>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</si>
  <si>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</si>
  <si>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</si>
  <si>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</si>
  <si>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</si>
  <si>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</si>
  <si>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</si>
  <si>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</si>
  <si>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</si>
  <si>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</si>
  <si>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</si>
  <si>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</si>
  <si>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</si>
  <si>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</si>
  <si>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</si>
  <si>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</si>
  <si>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</si>
  <si>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</si>
  <si>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</si>
  <si>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</si>
  <si>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</si>
  <si>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</si>
  <si>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</si>
  <si>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</si>
  <si>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</si>
  <si>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</si>
  <si>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</si>
  <si>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</si>
  <si>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</si>
  <si>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</si>
  <si>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</si>
  <si>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</si>
  <si>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</si>
  <si>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</si>
  <si>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</si>
  <si>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</si>
  <si>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</si>
  <si>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</si>
  <si>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</si>
  <si>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</si>
  <si>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</si>
  <si>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</si>
  <si>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</si>
  <si>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</si>
  <si>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</si>
  <si>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</si>
  <si>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</si>
  <si>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</si>
  <si>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</si>
  <si>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</si>
  <si>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</si>
  <si>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</si>
  <si>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</si>
  <si>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</si>
  <si>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</si>
  <si>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</si>
  <si>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</si>
  <si>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</si>
  <si>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</si>
  <si>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</si>
  <si>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</si>
  <si>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</si>
  <si>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</si>
  <si>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</si>
  <si>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</si>
  <si>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</si>
  <si>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</si>
  <si>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</si>
  <si>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</si>
  <si>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</si>
  <si>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</si>
  <si>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</si>
  <si>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</si>
  <si>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</si>
  <si>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</si>
  <si>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</si>
  <si>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</si>
  <si>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</si>
  <si>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</si>
  <si>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</si>
  <si>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</si>
  <si>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</si>
  <si>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</si>
  <si>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</si>
  <si>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</si>
  <si>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</si>
  <si>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</si>
  <si>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</si>
  <si>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</si>
  <si>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</si>
  <si>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</si>
  <si>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</si>
  <si>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</si>
  <si>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</si>
  <si>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</si>
  <si>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</si>
  <si>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_________________________</t>
  </si>
  <si>
    <t>____________________________________________</t>
  </si>
  <si>
    <t>Коди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</si>
  <si>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</si>
  <si>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</si>
  <si>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</si>
  <si>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</si>
  <si>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</si>
  <si>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</si>
  <si>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</si>
  <si>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</si>
  <si>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</si>
  <si>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</si>
  <si>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</si>
  <si>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</si>
  <si>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</si>
  <si>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</si>
  <si>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</si>
  <si>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</si>
  <si>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</si>
  <si>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</si>
  <si>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</si>
  <si>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</si>
  <si>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</si>
  <si>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</si>
  <si>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</si>
  <si>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</si>
  <si>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</si>
  <si>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</si>
  <si>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</si>
  <si>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</si>
  <si>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</si>
  <si>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</si>
  <si>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</si>
  <si>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</si>
  <si>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</si>
  <si>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</si>
  <si>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</si>
  <si>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</si>
  <si>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</si>
  <si>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</si>
  <si>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</si>
  <si>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r>
      <t xml:space="preserve">Керівник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</si>
  <si>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</si>
  <si>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</si>
  <si>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</si>
  <si>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</si>
  <si>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</si>
  <si>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</si>
  <si>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</si>
  <si>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</si>
  <si>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</si>
  <si>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</si>
  <si>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</si>
  <si>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</si>
  <si>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</si>
  <si>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</si>
  <si>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</si>
  <si>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</si>
  <si>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</si>
  <si>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</si>
  <si>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</si>
  <si>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</si>
  <si>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</si>
  <si>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</si>
  <si>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</si>
  <si>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</si>
  <si>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</si>
  <si>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</si>
  <si>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</si>
  <si>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</si>
  <si>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</si>
  <si>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</si>
  <si>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</si>
  <si>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</si>
  <si>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</si>
  <si>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</si>
  <si>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</si>
  <si>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</si>
  <si>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</si>
  <si>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</si>
  <si>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</si>
  <si>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</si>
  <si>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</si>
  <si>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</si>
  <si>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</si>
  <si>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</si>
  <si>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</si>
  <si>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</si>
  <si>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</si>
  <si>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</si>
  <si>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</si>
  <si>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</si>
  <si>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</si>
  <si>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</si>
  <si>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</si>
  <si>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</si>
  <si>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</si>
  <si>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</si>
  <si>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</si>
  <si>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</si>
  <si>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</si>
  <si>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</si>
  <si>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</si>
  <si>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</si>
  <si>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</si>
  <si>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</si>
  <si>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</si>
  <si>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</si>
  <si>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</si>
  <si>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</si>
  <si>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</si>
  <si>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</si>
  <si>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</si>
  <si>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</si>
  <si>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</si>
  <si>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</si>
  <si>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</si>
  <si>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</si>
  <si>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</si>
  <si>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</si>
  <si>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</si>
  <si>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</si>
  <si>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</si>
  <si>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</si>
  <si>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</si>
  <si>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</si>
  <si>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</si>
  <si>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</si>
  <si>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</si>
  <si>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</si>
  <si>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</si>
  <si>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</si>
  <si>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</si>
  <si>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</si>
  <si>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</si>
  <si>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</si>
  <si>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</si>
  <si>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</si>
  <si>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Інші операційні доходи (розшифрувати), у тому числі: (дотація з бюджету)</t>
  </si>
  <si>
    <t>3480/1</t>
  </si>
  <si>
    <t>внески органів місцевого самоврядування до статутного фонду</t>
  </si>
  <si>
    <t>цільове фінансування (поповнення обігових коштів)</t>
  </si>
  <si>
    <t>1030/1</t>
  </si>
  <si>
    <t>дохід від участі проведення святкових заходів</t>
  </si>
  <si>
    <t>1018/1</t>
  </si>
  <si>
    <t>1018/2</t>
  </si>
  <si>
    <t>1018/3</t>
  </si>
  <si>
    <t>1018/4</t>
  </si>
  <si>
    <t>1018/5</t>
  </si>
  <si>
    <t>відсотки банка</t>
  </si>
  <si>
    <t>1150/1</t>
  </si>
  <si>
    <t>поточні зобовязання</t>
  </si>
  <si>
    <t>30602/1</t>
  </si>
  <si>
    <t>1062/1</t>
  </si>
  <si>
    <t>1062/2</t>
  </si>
  <si>
    <t>витрати за обслуговування банком</t>
  </si>
  <si>
    <t>1062/3</t>
  </si>
  <si>
    <t>___________________________</t>
  </si>
  <si>
    <t>Головний бухгалтер</t>
  </si>
  <si>
    <t xml:space="preserve"> (посада)</t>
  </si>
  <si>
    <t xml:space="preserve">(ініціали, прізвище)    </t>
  </si>
  <si>
    <t xml:space="preserve">ПОГОДЖЕНО             </t>
  </si>
  <si>
    <t>Для придбання основних засобів, та інших матеріальних активів</t>
  </si>
  <si>
    <t>3470/1</t>
  </si>
  <si>
    <t>КП "ІНФОРМАЦІЙНІ СИСТЕМИ" ДМР</t>
  </si>
  <si>
    <t xml:space="preserve"> Міські, районі у містах ради та їх виконачі органи</t>
  </si>
  <si>
    <t>Оброблення даних, розміщення інформації на веб-вузлах і пов'язана з ними діяльність.</t>
  </si>
  <si>
    <t>63.11</t>
  </si>
  <si>
    <t>Форма власності</t>
  </si>
  <si>
    <t>Комунальне підприємство</t>
  </si>
  <si>
    <t>Середньооблікова кількість штатних працівників - 16 осіб</t>
  </si>
  <si>
    <t>49000, м. Дніпро просп. Дмитра Яворницького,75</t>
  </si>
  <si>
    <t>Смирна К.В.</t>
  </si>
  <si>
    <t>ФІНАНСОВИЙ ПЛАН ПІДПРИЄМСТВА НА 2019 рік</t>
  </si>
  <si>
    <t>Факт минулого року (2017)</t>
  </si>
  <si>
    <t>Фінансовий план поточного року (2018)</t>
  </si>
  <si>
    <t>Плановий рік (2019)</t>
  </si>
  <si>
    <t>Прогноз на поточний рік (2018)</t>
  </si>
  <si>
    <t>Факт минулого року 2017</t>
  </si>
  <si>
    <t>Фінансовий план поточного року 2018</t>
  </si>
  <si>
    <t>Прогноз на поточний рік 2018</t>
  </si>
  <si>
    <t>План 2019</t>
  </si>
  <si>
    <t>оренда службових приміщення, відшкодування орендодавцю комунальних витрат</t>
  </si>
  <si>
    <t>витрати на обслуговування оргтехніки (запрвка катріджів)</t>
  </si>
  <si>
    <t>витрати на придбання офісне устаткування та приладдя різне</t>
  </si>
  <si>
    <t>1062/4</t>
  </si>
  <si>
    <t>поліграфічні послуги на випуск бюлетенів</t>
  </si>
  <si>
    <t>витрати на обслуговування сайту</t>
  </si>
  <si>
    <t>опитування громадської думки</t>
  </si>
  <si>
    <t>витрати, що здійснюються для підтримання об’єкта в робочому стані (проведення тех. ремонту, технічного огляду, нагляду, обслуговування тощо)</t>
  </si>
  <si>
    <t>Послуги з обслуговування технічної підтримки та доопрацювання систем комплексу "Автоматизованна система управління об'єктами ", інше</t>
  </si>
  <si>
    <t xml:space="preserve">витрати на охорону </t>
  </si>
  <si>
    <t>К. В. СМИРНА</t>
  </si>
  <si>
    <t>до фінансового плану на 2019 рік</t>
  </si>
  <si>
    <t>Фактичний показник за 2017 рік</t>
  </si>
  <si>
    <t>Плановий показник поточного 2018 року</t>
  </si>
  <si>
    <t>Фактичний показник поточного року за останній звітний період 2018 року</t>
  </si>
  <si>
    <t>Плановий 2019 рік</t>
  </si>
  <si>
    <t xml:space="preserve">Придбання основних засобів </t>
  </si>
  <si>
    <t>Придбання нематеріальних активів</t>
  </si>
  <si>
    <t>К.В. СМИРНА</t>
  </si>
  <si>
    <r>
      <t>___К.В. СМИРНА</t>
    </r>
    <r>
      <rPr>
        <u/>
        <sz val="14"/>
        <rFont val="Times New Roman"/>
        <family val="1"/>
        <charset val="204"/>
      </rPr>
      <t>_</t>
    </r>
    <r>
      <rPr>
        <sz val="14"/>
        <rFont val="Times New Roman"/>
        <family val="1"/>
        <charset val="204"/>
      </rPr>
      <t>_________</t>
    </r>
  </si>
  <si>
    <r>
      <t>____</t>
    </r>
    <r>
      <rPr>
        <u/>
        <sz val="14"/>
        <rFont val="Times New Roman"/>
        <family val="1"/>
        <charset val="204"/>
      </rPr>
      <t>К.В. СМИРНА._</t>
    </r>
    <r>
      <rPr>
        <sz val="14"/>
        <rFont val="Times New Roman"/>
        <family val="1"/>
        <charset val="204"/>
      </rPr>
      <t>_________</t>
    </r>
  </si>
  <si>
    <t>КОМУНАЛЬНЕ ПІДПРИЄМСТВО "ІНФОРМАЦІЙНІ СИСТЕМИ" ДНІПРОВСЬКОЇ МІСЬКОЇ РАДИ</t>
  </si>
  <si>
    <t>Проектно-вишукальні роботи</t>
  </si>
  <si>
    <t>Виконані робрти</t>
  </si>
  <si>
    <t xml:space="preserve"> (прізвище та ініціали та підпис заступника міського голови за напрямом діяльності  підприємства)</t>
  </si>
  <si>
    <t>К.В. Смирна</t>
  </si>
  <si>
    <t>витрати по обслуговуванню системи автоматизованого обліку (Послуги з обслуговування технічної підтримки та доопрацювання систем комплексу "Автоматизованна система управління об'єктами ")</t>
  </si>
  <si>
    <t>плата за землю</t>
  </si>
  <si>
    <t>2146/1</t>
  </si>
  <si>
    <t>Придбання модулів автоматизованого керування об'єктами систем диспетчеризації ліфтів у м. Дніпро (по районам)</t>
  </si>
  <si>
    <t>3270/1</t>
  </si>
  <si>
    <t>Придбання(виготовлення) апаратно- програмний комплекс автоматизованої системи  диспетчеризації ліфтів у м. Дніпро</t>
  </si>
  <si>
    <t>Придбання(виготовлення) апаратий комплекс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t>
  </si>
  <si>
    <t>3270/2</t>
  </si>
  <si>
    <t>3270/3</t>
  </si>
  <si>
    <t>Модуль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t>
  </si>
  <si>
    <t>Модуль програмного забеспечення інтеграції системи керування об'єктами мереж освітлення міста до системи головного центру автоматизованного керування</t>
  </si>
  <si>
    <t>3290/1</t>
  </si>
  <si>
    <t>3290/2</t>
  </si>
  <si>
    <t>3290/3</t>
  </si>
  <si>
    <t>Модуль програмного забеспечення взаємодії систем керування об'єктами мереж освітлення, автоматизованої системи диспетчеризації ліфтів та автоматизованної системи керування дорожнім рухом</t>
  </si>
  <si>
    <t>3290/4</t>
  </si>
  <si>
    <t>Виконання робіт з капітального ремонту нежитлового примішення,</t>
  </si>
  <si>
    <t>3310/1</t>
  </si>
  <si>
    <t>Пояснювальна записка</t>
  </si>
  <si>
    <t xml:space="preserve">до фінансового плану </t>
  </si>
  <si>
    <t xml:space="preserve">Комунального підприємства «ІНФОРМАЦІЙНІ СИСТЕМИ» </t>
  </si>
  <si>
    <t xml:space="preserve">Дніпропетровської міської ради </t>
  </si>
  <si>
    <t xml:space="preserve">на 2019 рік </t>
  </si>
  <si>
    <t>Загальні відомості</t>
  </si>
  <si>
    <t>КП "ІНФОРМАЦІЙНІ СИСТЕМИ" ДМР  (41803086) є комунальним унітарним комерційним підприємством, здійснює оброблення даних, розміщення інформації на веб-вузлах і пов’язана з ними діяльність (КВЕД 63.11), діяльність із керування комп’ютерним устаткуванням (КВЕД 62.03).</t>
  </si>
  <si>
    <t>Формування дохідної частини фінансового плану</t>
  </si>
  <si>
    <t>Дохідна частина фінансового плану складена на базі чинного законодавства та діючих цін на товари, роботи та послуги.</t>
  </si>
  <si>
    <t xml:space="preserve">Формування витратної частини фінансового плану </t>
  </si>
  <si>
    <t>До адміністративних витрат входять:</t>
  </si>
  <si>
    <r>
      <t xml:space="preserve">Комунальне підприємство е співвиконавцем </t>
    </r>
    <r>
      <rPr>
        <b/>
        <i/>
        <sz val="14"/>
        <color rgb="FF000000"/>
        <rFont val="Times New Roman"/>
        <family val="1"/>
        <charset val="204"/>
      </rPr>
      <t>Програми інформатизації та інформаційної діяльності дніпровської міської ради на 2016-2020 роки</t>
    </r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</si>
  <si>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інші витрати: 252,0 тис.грн.</t>
    </r>
  </si>
  <si>
    <t xml:space="preserve">            податок на доходи фізичних осіб – 554 тис. грн.</t>
  </si>
  <si>
    <r>
      <rPr>
        <sz val="7"/>
        <color rgb="FF000000"/>
        <rFont val="Times New Roman"/>
        <family val="1"/>
        <charset val="204"/>
      </rPr>
      <t xml:space="preserve">                              </t>
    </r>
    <r>
      <rPr>
        <sz val="14"/>
        <color rgb="FF000000"/>
        <rFont val="Times New Roman"/>
        <family val="1"/>
        <charset val="204"/>
      </rPr>
      <t>військовий збір – 46 тис. грн.</t>
    </r>
  </si>
  <si>
    <r>
      <rPr>
        <sz val="7"/>
        <color rgb="FF000000"/>
        <rFont val="Times New Roman"/>
        <family val="1"/>
        <charset val="204"/>
      </rPr>
      <t xml:space="preserve">             </t>
    </r>
    <r>
      <rPr>
        <sz val="14"/>
        <color rgb="FF000000"/>
        <rFont val="Times New Roman"/>
        <family val="1"/>
        <charset val="204"/>
      </rPr>
      <t>витрати на оплату праці – 3076,0 тис. грн.;</t>
    </r>
  </si>
  <si>
    <t xml:space="preserve">      амортизація – 10 тис. грн.;</t>
  </si>
  <si>
    <t xml:space="preserve">       заправка картриджа, придбання</t>
  </si>
  <si>
    <t xml:space="preserve">       канцелярських виробів  -14,0 тис. грн.</t>
  </si>
  <si>
    <t xml:space="preserve">       оренда службових приміщення, відшкодування орендодавцю комунальних витрат -  101,0 тис.грн.</t>
  </si>
  <si>
    <t>До виробничих витрат входить:</t>
  </si>
  <si>
    <t xml:space="preserve">Головним розпорядником коштів являеться Департамент благоустрою та інфраструктури дніпровської міської ради. </t>
  </si>
  <si>
    <t>Витрати підприємства розраховані у відповідності до статей витрат, що входять до собівартості реалізованої продукції (товарів, робіт та послуг) з урахуванням підвищенням мінімальної заробітної плати ( прожиткового мінімуму), вартості електроенергії, матеріальних витрат тощо.</t>
  </si>
  <si>
    <t xml:space="preserve">амортизація основних та нематеріальні засобів,  придбаних для чіткого виконання поставлених задач  -500,0 тис.грн., </t>
  </si>
  <si>
    <t xml:space="preserve"> Директор                                                                                                                               К.В. Смирна</t>
  </si>
  <si>
    <t>Доопрацювання систем комплексу "Автоматизована система управління об'єктами"</t>
  </si>
  <si>
    <t>ПОГОДЖЕНО</t>
  </si>
  <si>
    <t xml:space="preserve">ЗАТВЕРДЖУЮ </t>
  </si>
  <si>
    <t>штат у кількості _16 (шістнадцять)  штатних одиниць</t>
  </si>
  <si>
    <t>з місячним фондом заробітної плати 275 110 грн. 50 коп.</t>
  </si>
  <si>
    <t>(Двісті  сімдесят п’ять тисяч сто десять гривень 50 копійок )</t>
  </si>
  <si>
    <t>Заступник міського голови - директор департаменту благоустрою і інфраструктури Дніпровської міської ради</t>
  </si>
  <si>
    <t>Директор КП "ІНФОРМАЦІЙНІ СИСТЕМИ"  Дніпровської міської ради</t>
  </si>
  <si>
    <t>______________________________________</t>
  </si>
  <si>
    <t>М.О. Лисенко</t>
  </si>
  <si>
    <t>(підпис керівника) (ініціали і прізвище)</t>
  </si>
  <si>
    <t>__________________</t>
  </si>
  <si>
    <t>ШТАТНИЙ РОЗПИС</t>
  </si>
  <si>
    <t>на 01 січня  2019р.</t>
  </si>
  <si>
    <t>№
з/п</t>
  </si>
  <si>
    <t>Назва структурного підрозділу та посад</t>
  </si>
  <si>
    <t>Код за класифікатором професій</t>
  </si>
  <si>
    <t>Кількість штатних одиниць</t>
  </si>
  <si>
    <t>Посадовий оклад (грн.)</t>
  </si>
  <si>
    <t>Надбавки (грн.) (за складність, напруженність у роботі)</t>
  </si>
  <si>
    <t>Фонд заробітної плати на місяць (грн.)</t>
  </si>
  <si>
    <t>%</t>
  </si>
  <si>
    <t>Сума</t>
  </si>
  <si>
    <t>Директор</t>
  </si>
  <si>
    <t>1210.1</t>
  </si>
  <si>
    <t xml:space="preserve">Заступник директора </t>
  </si>
  <si>
    <t>Заступник директора з юридичних питань</t>
  </si>
  <si>
    <t>Інспектор з кадрів</t>
  </si>
  <si>
    <t>Юрисконсульт</t>
  </si>
  <si>
    <t>2421.2</t>
  </si>
  <si>
    <t>Всього</t>
  </si>
  <si>
    <t>Відділ бухгалтерського обліку та звітності</t>
  </si>
  <si>
    <t>Головний екомоміст</t>
  </si>
  <si>
    <t>Економіст</t>
  </si>
  <si>
    <t>2441.2</t>
  </si>
  <si>
    <t xml:space="preserve">Бухгалтер </t>
  </si>
  <si>
    <t>2419.3</t>
  </si>
  <si>
    <t>Відділ автоматизації та комунікацій</t>
  </si>
  <si>
    <t>Начальник відділу</t>
  </si>
  <si>
    <t>Заступник начальника відділу</t>
  </si>
  <si>
    <t>1229.1</t>
  </si>
  <si>
    <t>Провідний інженер</t>
  </si>
  <si>
    <t>2149.2</t>
  </si>
  <si>
    <t>РАЗОМ</t>
  </si>
  <si>
    <t>Г.Ю. Кавун</t>
  </si>
  <si>
    <r>
      <t xml:space="preserve">(число, місяць, рік)                       </t>
    </r>
    <r>
      <rPr>
        <b/>
        <sz val="11"/>
        <color rgb="FF292929"/>
        <rFont val="Tahoma"/>
        <family val="2"/>
        <charset val="204"/>
      </rPr>
      <t>М. П.</t>
    </r>
  </si>
  <si>
    <r>
      <t xml:space="preserve">(число, місяць, рік)                         </t>
    </r>
    <r>
      <rPr>
        <b/>
        <sz val="11"/>
        <color rgb="FF292929"/>
        <rFont val="Tahoma"/>
        <family val="2"/>
        <charset val="204"/>
      </rPr>
      <t>М. П.</t>
    </r>
  </si>
  <si>
    <t>1085/1</t>
  </si>
  <si>
    <t>оренда та експлуатаційні витрати</t>
  </si>
  <si>
    <t>3310/2</t>
  </si>
  <si>
    <t>Модуль програмного забезпечення інтеграції системи керування дорожнім рухом до системи головного центру автоматизованного керування взаємодії систем та його автоматизованого помічника</t>
  </si>
  <si>
    <t>1кв</t>
  </si>
  <si>
    <t>надбавка</t>
  </si>
  <si>
    <t>6міс</t>
  </si>
  <si>
    <t>9міс</t>
  </si>
  <si>
    <t>фоп</t>
  </si>
  <si>
    <t>єсв</t>
  </si>
  <si>
    <t>інваліди</t>
  </si>
  <si>
    <t>для таб. 6.1</t>
  </si>
  <si>
    <t>фонд оплати праці</t>
  </si>
  <si>
    <t>ауп</t>
  </si>
  <si>
    <t>середньомісячна ЗП</t>
  </si>
  <si>
    <t>середньомісячний дохід</t>
  </si>
  <si>
    <t>3310/3</t>
  </si>
  <si>
    <t>Придбання (виготовлення) інших необоротних матеріальних активів (принтер, мебель і т.п.)</t>
  </si>
  <si>
    <t xml:space="preserve">           єдиний внесок на загальнообов’язкове державне соціальне страхування – 660,0 тис. грн.;</t>
  </si>
  <si>
    <t>2.1</t>
  </si>
  <si>
    <t>2.2</t>
  </si>
  <si>
    <t>2.3</t>
  </si>
  <si>
    <t>3.1</t>
  </si>
  <si>
    <t>3.2</t>
  </si>
  <si>
    <t>4.1</t>
  </si>
  <si>
    <r>
      <t>Середньомісячна кількість працівників у еквіваленті повної зайнятості – 16 осіб, у тому числі 1 інвалід, в особі спеціаліста – провідного інженеру (</t>
    </r>
    <r>
      <rPr>
        <sz val="14"/>
        <color rgb="FFFF0000"/>
        <rFont val="Times New Roman"/>
        <family val="1"/>
        <charset val="204"/>
      </rPr>
      <t>посадовий оклад – 8404 грн./міс). Середньомісячна заробітна плата працівників - 10805,00 грн.</t>
    </r>
  </si>
  <si>
    <r>
      <rPr>
        <sz val="7"/>
        <color rgb="FF000000"/>
        <rFont val="Times New Roman"/>
        <family val="1"/>
        <charset val="204"/>
      </rPr>
      <t xml:space="preserve">             </t>
    </r>
    <r>
      <rPr>
        <sz val="14"/>
        <color rgb="FF000000"/>
        <rFont val="Times New Roman"/>
        <family val="1"/>
        <charset val="204"/>
      </rPr>
      <t>відрахувань на заробітну плату – 660,0 тис. грн.;</t>
    </r>
  </si>
  <si>
    <t>Очікуваний обсяг платежів до державного бюджету та державних цільових фондів у плановому році складає 1260 тис. грн., з яких:</t>
  </si>
  <si>
    <t xml:space="preserve">        Підприємство працює на загальній системі оподаткування, не являється  платником податку на додану вартість, пільг не має.</t>
  </si>
  <si>
    <t xml:space="preserve">         У 2019 році інвестиційна діяльність підприємства спрямована на виконання Програми інформатизації та інформаційної діяльності Дніпровської міської ради на 2016-2020 рр., та заплановані видатки у розмірі 55 384 тис. грн., з яких 40 384 тис. грн. – на придбання основних засобів, 10 000 тис. грн. – на придбання нематеріальних активів, 5 000 тис. грн. – інші витрати.</t>
  </si>
  <si>
    <r>
      <t>В структуру підприємство входять адміністративний персонал та провідні спеціалісти, фахівці.</t>
    </r>
    <r>
      <rPr>
        <b/>
        <sz val="14"/>
        <color rgb="FF000000"/>
        <rFont val="Times New Roman"/>
        <family val="1"/>
        <charset val="204"/>
      </rPr>
      <t xml:space="preserve"> ,</t>
    </r>
  </si>
  <si>
    <t>Заступник міського голови директор департаменту благоустрою та інфраструктури Дніпровської міської ради</t>
  </si>
  <si>
    <r>
      <t>Керівник</t>
    </r>
    <r>
      <rPr>
        <sz val="14"/>
        <rFont val="Times New Roman"/>
        <family val="1"/>
        <charset val="204"/>
      </rPr>
      <t xml:space="preserve">   __Директор______</t>
    </r>
  </si>
  <si>
    <r>
      <t xml:space="preserve">Керівник </t>
    </r>
    <r>
      <rPr>
        <sz val="14"/>
        <rFont val="Times New Roman"/>
        <family val="1"/>
        <charset val="204"/>
      </rPr>
      <t xml:space="preserve"> ___Директор_____</t>
    </r>
  </si>
  <si>
    <r>
      <t xml:space="preserve">Керівник </t>
    </r>
    <r>
      <rPr>
        <sz val="14"/>
        <rFont val="Times New Roman"/>
        <family val="1"/>
        <charset val="204"/>
      </rPr>
      <t xml:space="preserve"> _____Директор _____________</t>
    </r>
  </si>
  <si>
    <r>
      <t>Керівник ___Директор ____________</t>
    </r>
    <r>
      <rPr>
        <sz val="14"/>
        <rFont val="Times New Roman"/>
        <family val="1"/>
        <charset val="204"/>
      </rPr>
      <t xml:space="preserve"> </t>
    </r>
  </si>
  <si>
    <t xml:space="preserve">_____________________________________М.О. Лисенко </t>
  </si>
  <si>
    <t>РОЗГЛЯНУТО</t>
  </si>
  <si>
    <t xml:space="preserve">О.М. Самілик </t>
  </si>
  <si>
    <t>Заступник  директора департаменту благоустрою та інфраструктури Дніпровської міської ради</t>
  </si>
  <si>
    <t xml:space="preserve"> (прізвище та ініціали та підпис )</t>
  </si>
  <si>
    <r>
      <t xml:space="preserve">Керівник </t>
    </r>
    <r>
      <rPr>
        <sz val="14"/>
        <rFont val="Times New Roman"/>
        <family val="1"/>
        <charset val="204"/>
      </rPr>
      <t>___Директор __________</t>
    </r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</si>
  <si>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</si>
  <si>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2019 рік</t>
  </si>
  <si>
    <r>
      <t xml:space="preserve">Керівник </t>
    </r>
    <r>
      <rPr>
        <sz val="14"/>
        <rFont val="Times New Roman"/>
        <family val="1"/>
        <charset val="204"/>
      </rPr>
      <t>___Директор _____</t>
    </r>
  </si>
  <si>
    <t xml:space="preserve">                     (посада)</t>
  </si>
</sst>
</file>

<file path=xl/styles.xml><?xml version="1.0" encoding="utf-8"?>
<styleSheet xmlns="http://schemas.openxmlformats.org/spreadsheetml/2006/main">
  <numFmts count="16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0.0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dd\.mm\.yyyy;@"/>
    <numFmt numFmtId="177" formatCode="_(* #,##0_);_(* \(#,##0\);_(* &quot;-&quot;??_);_(@_)"/>
    <numFmt numFmtId="178" formatCode="000000"/>
  </numFmts>
  <fonts count="11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1"/>
      <color rgb="FF292929"/>
      <name val="Tahoma"/>
      <family val="2"/>
      <charset val="204"/>
    </font>
    <font>
      <sz val="10"/>
      <name val="Arimo"/>
    </font>
    <font>
      <sz val="11"/>
      <name val="Tahoma"/>
      <family val="2"/>
      <charset val="204"/>
    </font>
    <font>
      <sz val="11"/>
      <color rgb="FF292929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1"/>
      <name val="Tahoma"/>
      <family val="2"/>
      <charset val="204"/>
    </font>
    <font>
      <sz val="8"/>
      <color rgb="FF292929"/>
      <name val="Tahoma"/>
      <family val="2"/>
      <charset val="204"/>
    </font>
    <font>
      <sz val="8"/>
      <name val="Arimo"/>
    </font>
    <font>
      <sz val="8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u/>
      <sz val="11"/>
      <name val="Tahoma"/>
      <family val="2"/>
      <charset val="204"/>
    </font>
    <font>
      <b/>
      <u/>
      <sz val="10"/>
      <name val="Arimo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Arimo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7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0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1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5" fontId="68" fillId="22" borderId="12" applyFill="0" applyBorder="0">
      <alignment horizontal="center" vertical="center" wrapText="1"/>
      <protection locked="0"/>
    </xf>
    <xf numFmtId="170" fontId="69" fillId="0" borderId="0">
      <alignment wrapText="1"/>
    </xf>
    <xf numFmtId="170" fontId="36" fillId="0" borderId="0">
      <alignment wrapText="1"/>
    </xf>
  </cellStyleXfs>
  <cellXfs count="576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9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69" fontId="5" fillId="0" borderId="0" xfId="0" applyNumberFormat="1" applyFont="1" applyFill="1" applyAlignment="1">
      <alignment vertical="center"/>
    </xf>
    <xf numFmtId="0" fontId="12" fillId="0" borderId="0" xfId="0" applyFont="1" applyFill="1"/>
    <xf numFmtId="169" fontId="5" fillId="0" borderId="0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8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69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2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6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vertical="top" wrapText="1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right" vertical="center"/>
      <protection locked="0"/>
    </xf>
    <xf numFmtId="0" fontId="71" fillId="0" borderId="0" xfId="0" applyFont="1" applyFill="1" applyBorder="1" applyAlignment="1" applyProtection="1">
      <alignment horizontal="right" vertical="center" wrapText="1"/>
      <protection locked="0"/>
    </xf>
    <xf numFmtId="0" fontId="71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1" fillId="0" borderId="3" xfId="0" applyFont="1" applyFill="1" applyBorder="1" applyAlignment="1" applyProtection="1">
      <alignment vertical="center" wrapText="1"/>
      <protection locked="0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6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69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69" fontId="4" fillId="0" borderId="0" xfId="0" quotePrefix="1" applyNumberFormat="1" applyFont="1" applyFill="1" applyBorder="1" applyAlignment="1" applyProtection="1">
      <alignment horizontal="center"/>
      <protection locked="0"/>
    </xf>
    <xf numFmtId="169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69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9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13" fillId="0" borderId="3" xfId="0" applyFont="1" applyFill="1" applyBorder="1" applyAlignment="1">
      <alignment horizontal="left" vertical="center" wrapText="1"/>
    </xf>
    <xf numFmtId="0" fontId="13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5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29" borderId="3" xfId="0" applyFont="1" applyFill="1" applyBorder="1" applyAlignment="1">
      <alignment horizontal="left" wrapText="1"/>
    </xf>
    <xf numFmtId="0" fontId="75" fillId="3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237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6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5" fillId="31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6" fillId="3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quotePrefix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182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1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5" fillId="0" borderId="0" xfId="0" quotePrefix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1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5" fillId="0" borderId="24" xfId="0" applyFont="1" applyBorder="1" applyAlignment="1">
      <alignment horizontal="center" vertical="center"/>
    </xf>
    <xf numFmtId="0" fontId="71" fillId="0" borderId="16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71" fillId="0" borderId="0" xfId="0" applyFont="1" applyFill="1" applyBorder="1" applyAlignment="1" applyProtection="1">
      <alignment vertical="center" wrapText="1"/>
      <protection locked="0"/>
    </xf>
    <xf numFmtId="1" fontId="5" fillId="31" borderId="0" xfId="0" applyNumberFormat="1" applyFont="1" applyFill="1" applyBorder="1" applyAlignment="1">
      <alignment vertical="center"/>
    </xf>
    <xf numFmtId="0" fontId="8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81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2" fillId="0" borderId="0" xfId="0" applyFont="1" applyAlignment="1">
      <alignment vertical="center" wrapText="1"/>
    </xf>
    <xf numFmtId="0" fontId="84" fillId="0" borderId="0" xfId="0" applyFont="1" applyAlignment="1">
      <alignment horizontal="justify" vertical="center" wrapText="1"/>
    </xf>
    <xf numFmtId="0" fontId="85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82" fillId="0" borderId="0" xfId="0" applyFont="1" applyAlignment="1">
      <alignment horizontal="justify" vertical="center" wrapText="1"/>
    </xf>
    <xf numFmtId="0" fontId="4" fillId="0" borderId="0" xfId="0" applyFont="1" applyBorder="1"/>
    <xf numFmtId="0" fontId="87" fillId="0" borderId="0" xfId="0" applyFont="1"/>
    <xf numFmtId="0" fontId="5" fillId="0" borderId="0" xfId="0" applyFont="1" applyBorder="1"/>
    <xf numFmtId="0" fontId="88" fillId="0" borderId="0" xfId="0" applyFont="1" applyBorder="1" applyAlignment="1">
      <alignment wrapText="1"/>
    </xf>
    <xf numFmtId="0" fontId="89" fillId="0" borderId="0" xfId="0" applyFont="1" applyBorder="1" applyAlignment="1">
      <alignment wrapText="1"/>
    </xf>
    <xf numFmtId="0" fontId="90" fillId="0" borderId="0" xfId="0" applyFont="1"/>
    <xf numFmtId="0" fontId="94" fillId="0" borderId="0" xfId="0" applyFont="1" applyBorder="1" applyAlignment="1">
      <alignment wrapText="1"/>
    </xf>
    <xf numFmtId="0" fontId="95" fillId="0" borderId="0" xfId="0" applyFont="1"/>
    <xf numFmtId="0" fontId="12" fillId="0" borderId="0" xfId="0" applyFont="1" applyBorder="1"/>
    <xf numFmtId="0" fontId="92" fillId="0" borderId="0" xfId="0" applyFont="1" applyBorder="1" applyAlignment="1">
      <alignment wrapText="1"/>
    </xf>
    <xf numFmtId="0" fontId="96" fillId="0" borderId="0" xfId="0" applyFont="1"/>
    <xf numFmtId="0" fontId="92" fillId="0" borderId="13" xfId="0" applyFont="1" applyBorder="1" applyAlignment="1">
      <alignment wrapText="1"/>
    </xf>
    <xf numFmtId="0" fontId="90" fillId="0" borderId="25" xfId="0" applyFont="1" applyBorder="1" applyAlignment="1"/>
    <xf numFmtId="0" fontId="97" fillId="0" borderId="0" xfId="0" applyFont="1" applyBorder="1" applyAlignment="1">
      <alignment vertical="top"/>
    </xf>
    <xf numFmtId="0" fontId="98" fillId="0" borderId="0" xfId="0" applyFont="1" applyBorder="1" applyAlignment="1">
      <alignment wrapText="1"/>
    </xf>
    <xf numFmtId="0" fontId="89" fillId="0" borderId="0" xfId="0" applyFont="1" applyBorder="1" applyAlignment="1">
      <alignment horizontal="right"/>
    </xf>
    <xf numFmtId="0" fontId="96" fillId="0" borderId="0" xfId="0" applyFont="1" applyBorder="1"/>
    <xf numFmtId="0" fontId="99" fillId="0" borderId="0" xfId="0" applyFont="1" applyBorder="1" applyAlignment="1">
      <alignment wrapText="1"/>
    </xf>
    <xf numFmtId="0" fontId="12" fillId="0" borderId="0" xfId="0" applyFont="1" applyBorder="1" applyAlignment="1">
      <alignment horizontal="right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00" fillId="0" borderId="40" xfId="0" applyFont="1" applyBorder="1" applyAlignment="1">
      <alignment horizontal="center" vertical="center" wrapText="1"/>
    </xf>
    <xf numFmtId="0" fontId="4" fillId="22" borderId="36" xfId="0" applyFont="1" applyFill="1" applyBorder="1" applyAlignment="1">
      <alignment horizontal="center" vertical="center" wrapText="1"/>
    </xf>
    <xf numFmtId="0" fontId="103" fillId="22" borderId="36" xfId="0" applyFont="1" applyFill="1" applyBorder="1" applyAlignment="1">
      <alignment horizontal="left" vertical="center" wrapText="1"/>
    </xf>
    <xf numFmtId="0" fontId="103" fillId="22" borderId="36" xfId="0" applyFont="1" applyFill="1" applyBorder="1" applyAlignment="1">
      <alignment horizontal="center" vertical="center" wrapText="1"/>
    </xf>
    <xf numFmtId="0" fontId="72" fillId="22" borderId="36" xfId="0" applyFont="1" applyFill="1" applyBorder="1" applyAlignment="1">
      <alignment horizontal="center" vertical="center" wrapText="1"/>
    </xf>
    <xf numFmtId="3" fontId="72" fillId="0" borderId="36" xfId="0" applyNumberFormat="1" applyFont="1" applyBorder="1" applyAlignment="1">
      <alignment horizontal="right" vertical="center" wrapText="1"/>
    </xf>
    <xf numFmtId="0" fontId="88" fillId="0" borderId="36" xfId="0" applyFont="1" applyBorder="1" applyAlignment="1">
      <alignment wrapText="1"/>
    </xf>
    <xf numFmtId="0" fontId="5" fillId="0" borderId="36" xfId="0" applyFont="1" applyBorder="1" applyAlignment="1">
      <alignment horizontal="right" vertical="center" wrapText="1"/>
    </xf>
    <xf numFmtId="0" fontId="103" fillId="0" borderId="36" xfId="0" applyFont="1" applyFill="1" applyBorder="1" applyAlignment="1">
      <alignment horizontal="left" vertical="center" wrapText="1"/>
    </xf>
    <xf numFmtId="0" fontId="104" fillId="22" borderId="36" xfId="0" applyFont="1" applyFill="1" applyBorder="1" applyAlignment="1">
      <alignment horizontal="left" vertical="center" wrapText="1"/>
    </xf>
    <xf numFmtId="1" fontId="105" fillId="22" borderId="36" xfId="0" applyNumberFormat="1" applyFont="1" applyFill="1" applyBorder="1" applyAlignment="1">
      <alignment horizontal="center" vertical="center" wrapText="1"/>
    </xf>
    <xf numFmtId="3" fontId="105" fillId="0" borderId="36" xfId="0" applyNumberFormat="1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72" fillId="0" borderId="36" xfId="0" applyFont="1" applyFill="1" applyBorder="1" applyAlignment="1">
      <alignment horizontal="center" vertical="center" wrapText="1"/>
    </xf>
    <xf numFmtId="3" fontId="72" fillId="0" borderId="36" xfId="0" applyNumberFormat="1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horizontal="right" vertical="center" wrapText="1"/>
    </xf>
    <xf numFmtId="0" fontId="103" fillId="0" borderId="36" xfId="0" applyFont="1" applyFill="1" applyBorder="1" applyAlignment="1">
      <alignment vertical="center" wrapText="1"/>
    </xf>
    <xf numFmtId="0" fontId="104" fillId="0" borderId="36" xfId="0" applyFont="1" applyFill="1" applyBorder="1" applyAlignment="1">
      <alignment horizontal="left" vertical="center" wrapText="1"/>
    </xf>
    <xf numFmtId="1" fontId="105" fillId="0" borderId="36" xfId="0" applyNumberFormat="1" applyFont="1" applyFill="1" applyBorder="1" applyAlignment="1">
      <alignment horizontal="center" vertical="center" wrapText="1"/>
    </xf>
    <xf numFmtId="3" fontId="105" fillId="0" borderId="36" xfId="0" applyNumberFormat="1" applyFont="1" applyFill="1" applyBorder="1" applyAlignment="1">
      <alignment horizontal="right" vertical="center" wrapText="1"/>
    </xf>
    <xf numFmtId="0" fontId="7" fillId="0" borderId="36" xfId="0" applyFont="1" applyFill="1" applyBorder="1" applyAlignment="1">
      <alignment horizontal="right" vertical="center" wrapText="1"/>
    </xf>
    <xf numFmtId="0" fontId="107" fillId="0" borderId="36" xfId="0" applyFont="1" applyFill="1" applyBorder="1" applyAlignment="1">
      <alignment wrapText="1"/>
    </xf>
    <xf numFmtId="0" fontId="4" fillId="0" borderId="36" xfId="0" applyFont="1" applyFill="1" applyBorder="1" applyAlignment="1">
      <alignment horizontal="left" vertical="center" wrapText="1"/>
    </xf>
    <xf numFmtId="1" fontId="108" fillId="0" borderId="36" xfId="0" applyNumberFormat="1" applyFont="1" applyFill="1" applyBorder="1" applyAlignment="1">
      <alignment horizontal="center" vertical="center" wrapText="1"/>
    </xf>
    <xf numFmtId="3" fontId="4" fillId="0" borderId="36" xfId="0" applyNumberFormat="1" applyFont="1" applyFill="1" applyBorder="1" applyAlignment="1">
      <alignment horizontal="right" vertical="center" wrapText="1"/>
    </xf>
    <xf numFmtId="0" fontId="107" fillId="0" borderId="0" xfId="0" applyFont="1" applyFill="1" applyBorder="1" applyAlignment="1">
      <alignment wrapText="1"/>
    </xf>
    <xf numFmtId="0" fontId="106" fillId="0" borderId="0" xfId="0" applyFont="1" applyFill="1" applyBorder="1"/>
    <xf numFmtId="0" fontId="4" fillId="0" borderId="0" xfId="0" applyFont="1" applyFill="1" applyBorder="1"/>
    <xf numFmtId="0" fontId="4" fillId="31" borderId="0" xfId="0" applyFont="1" applyFill="1" applyBorder="1" applyAlignment="1">
      <alignment horizontal="center" vertical="center" wrapText="1"/>
    </xf>
    <xf numFmtId="0" fontId="109" fillId="31" borderId="0" xfId="0" applyFont="1" applyFill="1" applyBorder="1" applyAlignment="1">
      <alignment horizontal="left" vertical="center" wrapText="1"/>
    </xf>
    <xf numFmtId="0" fontId="106" fillId="31" borderId="0" xfId="0" applyFont="1" applyFill="1" applyBorder="1" applyAlignment="1">
      <alignment horizontal="center" vertical="center" wrapText="1"/>
    </xf>
    <xf numFmtId="2" fontId="106" fillId="31" borderId="0" xfId="0" applyNumberFormat="1" applyFont="1" applyFill="1" applyBorder="1" applyAlignment="1">
      <alignment horizontal="right" vertical="center" wrapText="1"/>
    </xf>
    <xf numFmtId="0" fontId="4" fillId="31" borderId="0" xfId="0" applyFont="1" applyFill="1" applyBorder="1" applyAlignment="1">
      <alignment horizontal="right" vertical="center" wrapText="1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1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3" fontId="0" fillId="0" borderId="0" xfId="0" applyNumberFormat="1"/>
    <xf numFmtId="4" fontId="0" fillId="0" borderId="0" xfId="0" applyNumberFormat="1"/>
    <xf numFmtId="1" fontId="110" fillId="0" borderId="0" xfId="0" applyNumberFormat="1" applyFont="1" applyFill="1" applyAlignment="1">
      <alignment vertical="center"/>
    </xf>
    <xf numFmtId="0" fontId="103" fillId="32" borderId="36" xfId="0" applyFont="1" applyFill="1" applyBorder="1" applyAlignment="1">
      <alignment horizontal="left" vertical="center" wrapText="1"/>
    </xf>
    <xf numFmtId="0" fontId="103" fillId="31" borderId="36" xfId="0" applyFont="1" applyFill="1" applyBorder="1" applyAlignment="1">
      <alignment horizontal="left" vertical="center" wrapText="1"/>
    </xf>
    <xf numFmtId="0" fontId="72" fillId="33" borderId="36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0" fillId="31" borderId="0" xfId="0" applyFill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vertical="center"/>
    </xf>
    <xf numFmtId="0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0" applyNumberFormat="1" applyFont="1" applyFill="1" applyBorder="1" applyAlignment="1" applyProtection="1">
      <alignment horizontal="center" vertical="center" wrapText="1"/>
    </xf>
    <xf numFmtId="2" fontId="80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 applyProtection="1">
      <alignment horizontal="left" vertical="center" wrapText="1"/>
      <protection locked="0"/>
    </xf>
    <xf numFmtId="0" fontId="5" fillId="0" borderId="36" xfId="0" applyNumberFormat="1" applyFont="1" applyFill="1" applyBorder="1" applyAlignment="1">
      <alignment horizontal="center" vertical="center" wrapText="1"/>
    </xf>
    <xf numFmtId="0" fontId="5" fillId="0" borderId="4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5" fillId="0" borderId="3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1" fillId="0" borderId="15" xfId="0" applyFont="1" applyFill="1" applyBorder="1" applyAlignment="1" applyProtection="1">
      <alignment horizontal="center" vertical="center" wrapText="1"/>
      <protection locked="0"/>
    </xf>
    <xf numFmtId="0" fontId="71" fillId="0" borderId="3" xfId="0" applyFont="1" applyFill="1" applyBorder="1" applyAlignment="1" applyProtection="1">
      <alignment horizontal="righ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4" fillId="0" borderId="15" xfId="0" applyFont="1" applyBorder="1" applyAlignment="1" applyProtection="1">
      <alignment horizontal="left" vertical="center" wrapText="1"/>
      <protection locked="0"/>
    </xf>
    <xf numFmtId="0" fontId="74" fillId="0" borderId="16" xfId="0" applyFont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9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13" xfId="0" applyFont="1" applyFill="1" applyBorder="1" applyAlignment="1" applyProtection="1">
      <alignment horizontal="right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horizontal="center" wrapText="1"/>
      <protection locked="0"/>
    </xf>
    <xf numFmtId="0" fontId="71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16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69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16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</xf>
    <xf numFmtId="177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0" fontId="80" fillId="0" borderId="14" xfId="0" applyNumberFormat="1" applyFont="1" applyFill="1" applyBorder="1" applyAlignment="1" applyProtection="1">
      <alignment horizontal="center" vertical="center" wrapText="1"/>
    </xf>
    <xf numFmtId="10" fontId="80" fillId="0" borderId="16" xfId="0" applyNumberFormat="1" applyFont="1" applyFill="1" applyBorder="1" applyAlignment="1" applyProtection="1">
      <alignment horizontal="center" vertical="center" wrapText="1"/>
    </xf>
    <xf numFmtId="10" fontId="5" fillId="0" borderId="14" xfId="0" applyNumberFormat="1" applyFont="1" applyFill="1" applyBorder="1" applyAlignment="1" applyProtection="1">
      <alignment horizontal="center" vertical="center" wrapText="1"/>
    </xf>
    <xf numFmtId="10" fontId="5" fillId="0" borderId="16" xfId="0" applyNumberFormat="1" applyFont="1" applyFill="1" applyBorder="1" applyAlignment="1" applyProtection="1">
      <alignment horizontal="center" vertical="center" wrapText="1"/>
    </xf>
    <xf numFmtId="3" fontId="71" fillId="0" borderId="14" xfId="0" applyNumberFormat="1" applyFont="1" applyFill="1" applyBorder="1" applyAlignment="1">
      <alignment horizontal="right" vertical="center" wrapText="1"/>
    </xf>
    <xf numFmtId="3" fontId="71" fillId="0" borderId="16" xfId="0" applyNumberFormat="1" applyFont="1" applyFill="1" applyBorder="1" applyAlignment="1">
      <alignment horizontal="right" vertical="center" wrapText="1"/>
    </xf>
    <xf numFmtId="3" fontId="71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178" fontId="5" fillId="0" borderId="43" xfId="0" applyNumberFormat="1" applyFont="1" applyFill="1" applyBorder="1" applyAlignment="1" applyProtection="1">
      <alignment horizontal="left" vertical="center" wrapText="1"/>
      <protection locked="0"/>
    </xf>
    <xf numFmtId="178" fontId="5" fillId="0" borderId="44" xfId="0" applyNumberFormat="1" applyFont="1" applyFill="1" applyBorder="1" applyAlignment="1" applyProtection="1">
      <alignment horizontal="left" vertical="center" wrapText="1"/>
      <protection locked="0"/>
    </xf>
    <xf numFmtId="178" fontId="5" fillId="0" borderId="4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82" fillId="0" borderId="0" xfId="0" applyFont="1" applyAlignment="1">
      <alignment horizontal="justify" vertical="center" wrapText="1"/>
    </xf>
    <xf numFmtId="0" fontId="81" fillId="0" borderId="0" xfId="0" applyFont="1" applyAlignment="1">
      <alignment horizontal="center" vertical="center" wrapText="1"/>
    </xf>
    <xf numFmtId="4" fontId="7" fillId="0" borderId="36" xfId="0" applyNumberFormat="1" applyFont="1" applyFill="1" applyBorder="1" applyAlignment="1">
      <alignment horizontal="center" vertical="center" wrapText="1"/>
    </xf>
    <xf numFmtId="4" fontId="105" fillId="0" borderId="36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 vertical="center" wrapText="1"/>
    </xf>
    <xf numFmtId="4" fontId="106" fillId="0" borderId="36" xfId="0" applyNumberFormat="1" applyFont="1" applyFill="1" applyBorder="1" applyAlignment="1">
      <alignment horizontal="center" vertical="center" wrapText="1"/>
    </xf>
    <xf numFmtId="2" fontId="4" fillId="31" borderId="0" xfId="0" applyNumberFormat="1" applyFont="1" applyFill="1" applyBorder="1" applyAlignment="1">
      <alignment horizontal="center" vertical="center" wrapText="1"/>
    </xf>
    <xf numFmtId="2" fontId="106" fillId="31" borderId="0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>
      <alignment horizontal="center" vertical="center" wrapText="1"/>
    </xf>
    <xf numFmtId="4" fontId="72" fillId="0" borderId="36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72" fillId="22" borderId="36" xfId="0" applyNumberFormat="1" applyFont="1" applyFill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105" fillId="22" borderId="36" xfId="0" applyNumberFormat="1" applyFont="1" applyFill="1" applyBorder="1" applyAlignment="1">
      <alignment horizontal="center" vertical="center" wrapText="1"/>
    </xf>
    <xf numFmtId="0" fontId="106" fillId="0" borderId="41" xfId="0" applyFont="1" applyFill="1" applyBorder="1" applyAlignment="1">
      <alignment horizontal="left" vertical="center" wrapText="1"/>
    </xf>
    <xf numFmtId="0" fontId="106" fillId="0" borderId="42" xfId="0" applyFont="1" applyFill="1" applyBorder="1" applyAlignment="1">
      <alignment horizontal="left" vertical="center" wrapText="1"/>
    </xf>
    <xf numFmtId="0" fontId="106" fillId="0" borderId="38" xfId="0" applyFont="1" applyFill="1" applyBorder="1" applyAlignment="1">
      <alignment horizontal="left" vertical="center" wrapText="1"/>
    </xf>
    <xf numFmtId="2" fontId="5" fillId="0" borderId="36" xfId="0" applyNumberFormat="1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4" fontId="106" fillId="22" borderId="36" xfId="0" applyNumberFormat="1" applyFont="1" applyFill="1" applyBorder="1" applyAlignment="1">
      <alignment horizontal="center" vertical="center" wrapText="1"/>
    </xf>
    <xf numFmtId="0" fontId="106" fillId="22" borderId="36" xfId="0" applyFont="1" applyFill="1" applyBorder="1" applyAlignment="1">
      <alignment horizontal="left" vertical="center" wrapText="1"/>
    </xf>
    <xf numFmtId="0" fontId="101" fillId="0" borderId="28" xfId="0" applyFont="1" applyBorder="1" applyAlignment="1">
      <alignment horizontal="center" vertical="center" wrapText="1"/>
    </xf>
    <xf numFmtId="0" fontId="101" fillId="0" borderId="34" xfId="0" applyFont="1" applyBorder="1" applyAlignment="1">
      <alignment horizontal="center" vertical="center" wrapText="1"/>
    </xf>
    <xf numFmtId="0" fontId="101" fillId="0" borderId="36" xfId="0" applyFont="1" applyBorder="1" applyAlignment="1">
      <alignment horizontal="center" vertical="center" wrapText="1"/>
    </xf>
    <xf numFmtId="0" fontId="101" fillId="0" borderId="39" xfId="0" applyFont="1" applyBorder="1" applyAlignment="1">
      <alignment horizontal="center" vertical="center" wrapText="1"/>
    </xf>
    <xf numFmtId="0" fontId="100" fillId="0" borderId="40" xfId="0" applyFont="1" applyBorder="1" applyAlignment="1">
      <alignment horizontal="center" vertical="center" wrapText="1"/>
    </xf>
    <xf numFmtId="0" fontId="88" fillId="0" borderId="36" xfId="0" applyFont="1" applyBorder="1" applyAlignment="1">
      <alignment wrapText="1"/>
    </xf>
    <xf numFmtId="0" fontId="101" fillId="0" borderId="31" xfId="0" applyFont="1" applyBorder="1" applyAlignment="1">
      <alignment horizontal="center" vertical="center" wrapText="1"/>
    </xf>
    <xf numFmtId="0" fontId="101" fillId="0" borderId="32" xfId="0" applyFont="1" applyBorder="1" applyAlignment="1">
      <alignment horizontal="center" vertical="center" wrapText="1"/>
    </xf>
    <xf numFmtId="0" fontId="101" fillId="0" borderId="33" xfId="0" applyFont="1" applyBorder="1" applyAlignment="1">
      <alignment horizontal="center" vertical="center" wrapText="1"/>
    </xf>
    <xf numFmtId="0" fontId="101" fillId="0" borderId="22" xfId="0" applyFont="1" applyBorder="1" applyAlignment="1">
      <alignment horizontal="center" vertical="center" wrapText="1"/>
    </xf>
    <xf numFmtId="0" fontId="101" fillId="0" borderId="13" xfId="0" applyFont="1" applyBorder="1" applyAlignment="1">
      <alignment horizontal="center" vertical="center" wrapText="1"/>
    </xf>
    <xf numFmtId="0" fontId="101" fillId="0" borderId="23" xfId="0" applyFont="1" applyBorder="1" applyAlignment="1">
      <alignment horizontal="center" vertical="center" wrapText="1"/>
    </xf>
    <xf numFmtId="0" fontId="100" fillId="0" borderId="27" xfId="0" applyFont="1" applyBorder="1" applyAlignment="1">
      <alignment horizontal="center" vertical="center" wrapText="1"/>
    </xf>
    <xf numFmtId="0" fontId="100" fillId="0" borderId="35" xfId="0" applyFont="1" applyBorder="1" applyAlignment="1">
      <alignment horizontal="center" vertical="center" wrapText="1"/>
    </xf>
    <xf numFmtId="0" fontId="102" fillId="0" borderId="29" xfId="0" applyFont="1" applyBorder="1" applyAlignment="1">
      <alignment horizontal="center" vertical="center" wrapText="1"/>
    </xf>
    <xf numFmtId="0" fontId="102" fillId="0" borderId="37" xfId="0" applyFont="1" applyBorder="1" applyAlignment="1">
      <alignment horizontal="center" vertical="center" wrapText="1"/>
    </xf>
    <xf numFmtId="0" fontId="102" fillId="0" borderId="19" xfId="0" applyFont="1" applyBorder="1" applyAlignment="1">
      <alignment horizontal="center" vertical="center" wrapText="1"/>
    </xf>
    <xf numFmtId="0" fontId="101" fillId="0" borderId="30" xfId="0" applyFont="1" applyBorder="1" applyAlignment="1">
      <alignment horizontal="center" vertical="center" wrapText="1"/>
    </xf>
    <xf numFmtId="0" fontId="101" fillId="0" borderId="3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91" fillId="0" borderId="0" xfId="0" applyFont="1" applyAlignment="1">
      <alignment horizontal="left" vertical="center" wrapText="1"/>
    </xf>
    <xf numFmtId="0" fontId="92" fillId="0" borderId="13" xfId="0" applyFont="1" applyBorder="1" applyAlignment="1">
      <alignment horizontal="left" vertical="top" wrapText="1"/>
    </xf>
    <xf numFmtId="0" fontId="93" fillId="0" borderId="0" xfId="0" applyFont="1" applyBorder="1" applyAlignment="1">
      <alignment horizontal="center"/>
    </xf>
    <xf numFmtId="0" fontId="92" fillId="0" borderId="0" xfId="0" applyFont="1" applyBorder="1" applyAlignment="1">
      <alignment horizontal="left" wrapText="1"/>
    </xf>
    <xf numFmtId="0" fontId="92" fillId="0" borderId="13" xfId="0" applyFont="1" applyBorder="1" applyAlignment="1">
      <alignment horizontal="center" wrapText="1"/>
    </xf>
    <xf numFmtId="0" fontId="90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34" borderId="3" xfId="0" applyNumberFormat="1" applyFont="1" applyFill="1" applyBorder="1" applyAlignment="1" applyProtection="1">
      <alignment horizontal="center" vertical="center" wrapText="1"/>
    </xf>
    <xf numFmtId="1" fontId="5" fillId="34" borderId="3" xfId="0" applyNumberFormat="1" applyFont="1" applyFill="1" applyBorder="1" applyAlignment="1" applyProtection="1">
      <alignment horizontal="center" vertical="center" wrapText="1"/>
      <protection locked="0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35\Downloads\&#1064;&#1090;&#1072;&#1090;&#1082;&#1072;\&#1096;&#1090;&#1072;&#1090;&#1082;&#1072;%20&#1089;%2001.01.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01.01.2019"/>
      <sheetName val="Расчет на 01.01.19"/>
      <sheetName val="Лист1"/>
    </sheetNames>
    <sheetDataSet>
      <sheetData sheetId="0"/>
      <sheetData sheetId="1">
        <row r="14">
          <cell r="E14">
            <v>18270</v>
          </cell>
        </row>
        <row r="15">
          <cell r="E15">
            <v>17357</v>
          </cell>
        </row>
        <row r="16">
          <cell r="E16">
            <v>17357</v>
          </cell>
        </row>
        <row r="18">
          <cell r="E18">
            <v>16443</v>
          </cell>
        </row>
        <row r="19">
          <cell r="E19">
            <v>16078</v>
          </cell>
        </row>
        <row r="20">
          <cell r="E20">
            <v>14470</v>
          </cell>
        </row>
        <row r="22">
          <cell r="E22">
            <v>8770</v>
          </cell>
        </row>
        <row r="23">
          <cell r="E23">
            <v>12789</v>
          </cell>
        </row>
        <row r="24">
          <cell r="E24">
            <v>9500</v>
          </cell>
        </row>
        <row r="25">
          <cell r="E25">
            <v>8770</v>
          </cell>
        </row>
        <row r="26">
          <cell r="E26">
            <v>8404</v>
          </cell>
        </row>
        <row r="27">
          <cell r="E27">
            <v>7673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9"/>
  </sheetPr>
  <dimension ref="A5:F20"/>
  <sheetViews>
    <sheetView workbookViewId="0">
      <selection activeCell="C17" sqref="C17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343" t="s">
        <v>389</v>
      </c>
      <c r="B5" s="343"/>
      <c r="C5" s="344" t="s">
        <v>390</v>
      </c>
      <c r="D5" s="344"/>
      <c r="E5" s="153" t="s">
        <v>391</v>
      </c>
      <c r="F5" s="153" t="s">
        <v>392</v>
      </c>
    </row>
    <row r="6" spans="1:6" ht="18">
      <c r="A6" s="150" t="s">
        <v>387</v>
      </c>
      <c r="B6" s="167">
        <v>0.22</v>
      </c>
      <c r="C6" s="169"/>
      <c r="D6" s="170"/>
      <c r="E6" s="152">
        <v>0.18</v>
      </c>
      <c r="F6" s="151">
        <v>1.4999999999999999E-2</v>
      </c>
    </row>
    <row r="7" spans="1:6" ht="25.5">
      <c r="A7" s="150" t="s">
        <v>388</v>
      </c>
      <c r="B7" s="173">
        <v>8.4099999999999994E-2</v>
      </c>
      <c r="C7" s="169"/>
      <c r="D7" s="156"/>
      <c r="E7" s="156"/>
      <c r="F7" s="156"/>
    </row>
    <row r="8" spans="1:6" ht="72.75" customHeight="1">
      <c r="A8" s="169"/>
      <c r="B8" s="170"/>
      <c r="C8" s="169"/>
      <c r="D8" s="170"/>
      <c r="E8" s="156"/>
      <c r="F8" s="156"/>
    </row>
    <row r="10" spans="1:6" ht="24" customHeight="1">
      <c r="B10" s="148"/>
      <c r="C10" s="149" t="s">
        <v>378</v>
      </c>
      <c r="D10" s="149" t="s">
        <v>370</v>
      </c>
      <c r="E10" s="149" t="s">
        <v>371</v>
      </c>
      <c r="F10" s="149" t="s">
        <v>85</v>
      </c>
    </row>
    <row r="11" spans="1:6" ht="25.5">
      <c r="B11" s="154" t="s">
        <v>394</v>
      </c>
      <c r="C11" s="165">
        <f>'I. Фін результат'!F103</f>
        <v>745</v>
      </c>
      <c r="D11" s="165">
        <f>'I. Фін результат'!G103</f>
        <v>1501</v>
      </c>
      <c r="E11" s="165">
        <f>'I. Фін результат'!H103</f>
        <v>2288</v>
      </c>
      <c r="F11" s="165">
        <f>'I. Фін результат'!I103</f>
        <v>3076</v>
      </c>
    </row>
    <row r="12" spans="1:6" ht="26.25" customHeight="1">
      <c r="B12" s="155" t="s">
        <v>393</v>
      </c>
      <c r="C12" s="166">
        <v>30</v>
      </c>
      <c r="D12" s="166">
        <v>61</v>
      </c>
      <c r="E12" s="166">
        <v>91</v>
      </c>
      <c r="F12" s="166">
        <v>121</v>
      </c>
    </row>
    <row r="13" spans="1:6">
      <c r="B13" s="171"/>
      <c r="C13" s="172"/>
      <c r="D13" s="172"/>
      <c r="E13" s="172"/>
      <c r="F13" s="172"/>
    </row>
    <row r="17" spans="2:6" ht="25.5">
      <c r="B17" s="145" t="s">
        <v>6</v>
      </c>
      <c r="C17" s="147">
        <f>(C11-C12)*$B$6+C12*$B$7</f>
        <v>159.82300000000001</v>
      </c>
      <c r="D17" s="147">
        <f>(D11-D12)*$B$6+D12*$B$7</f>
        <v>321.93010000000004</v>
      </c>
      <c r="E17" s="147">
        <f>(E11-E12)*$B$6+E12*$B$7</f>
        <v>490.99309999999997</v>
      </c>
      <c r="F17" s="147">
        <f>(F11-F12)*$B$6+F12*$B$7</f>
        <v>660.27610000000004</v>
      </c>
    </row>
    <row r="18" spans="2:6" ht="38.25">
      <c r="B18" s="146" t="s">
        <v>395</v>
      </c>
      <c r="C18" s="147">
        <f>C11*$E$6</f>
        <v>134.1</v>
      </c>
      <c r="D18" s="147">
        <f>D11*$E$6</f>
        <v>270.18</v>
      </c>
      <c r="E18" s="147">
        <f>E11*$E$6</f>
        <v>411.84</v>
      </c>
      <c r="F18" s="147">
        <f>F11*$E$6</f>
        <v>553.67999999999995</v>
      </c>
    </row>
    <row r="19" spans="2:6">
      <c r="B19" s="150" t="s">
        <v>392</v>
      </c>
      <c r="C19" s="147">
        <f>C11*$F$6</f>
        <v>11.174999999999999</v>
      </c>
      <c r="D19" s="147">
        <f>D11*$F$6</f>
        <v>22.515000000000001</v>
      </c>
      <c r="E19" s="147">
        <f>E11*$F$6</f>
        <v>34.32</v>
      </c>
      <c r="F19" s="147">
        <f>F11*$F$6</f>
        <v>46.14</v>
      </c>
    </row>
    <row r="20" spans="2:6">
      <c r="C20" s="144"/>
      <c r="D20" s="144"/>
      <c r="E20" s="144"/>
      <c r="F20" s="144"/>
    </row>
  </sheetData>
  <sheetProtection password="C6FB" sheet="1"/>
  <mergeCells count="2">
    <mergeCell ref="A5:B5"/>
    <mergeCell ref="C5:D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AE77"/>
  <sheetViews>
    <sheetView view="pageBreakPreview" topLeftCell="A10" zoomScale="50" zoomScaleNormal="69" zoomScaleSheetLayoutView="50" workbookViewId="0">
      <selection activeCell="B34" sqref="B34:F34"/>
    </sheetView>
  </sheetViews>
  <sheetFormatPr defaultRowHeight="18.75"/>
  <cols>
    <col min="1" max="1" width="6.140625" style="1" customWidth="1"/>
    <col min="2" max="2" width="24.42578125" style="1" customWidth="1"/>
    <col min="3" max="6" width="19.85546875" style="1" customWidth="1"/>
    <col min="7" max="10" width="11.5703125" style="1" customWidth="1"/>
    <col min="11" max="16" width="17" style="1" customWidth="1"/>
    <col min="17" max="22" width="10.140625" style="1" customWidth="1"/>
    <col min="23" max="26" width="19" style="1" customWidth="1"/>
    <col min="2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517"/>
      <c r="AC1" s="518"/>
      <c r="AD1" s="518"/>
      <c r="AE1" s="518"/>
    </row>
    <row r="2" spans="1:31" ht="18.75" customHeight="1">
      <c r="B2" s="37" t="s">
        <v>254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</row>
    <row r="3" spans="1:3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18.75" customHeight="1">
      <c r="A4" s="423" t="s">
        <v>54</v>
      </c>
      <c r="B4" s="423" t="s">
        <v>210</v>
      </c>
      <c r="C4" s="481" t="s">
        <v>211</v>
      </c>
      <c r="D4" s="482"/>
      <c r="E4" s="482"/>
      <c r="F4" s="483"/>
      <c r="G4" s="481" t="s">
        <v>347</v>
      </c>
      <c r="H4" s="482"/>
      <c r="I4" s="482"/>
      <c r="J4" s="482"/>
      <c r="K4" s="482"/>
      <c r="L4" s="483"/>
      <c r="M4" s="481" t="s">
        <v>212</v>
      </c>
      <c r="N4" s="482"/>
      <c r="O4" s="482"/>
      <c r="P4" s="483"/>
      <c r="Q4" s="453" t="s">
        <v>300</v>
      </c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5"/>
    </row>
    <row r="5" spans="1:31" ht="48.75" customHeight="1">
      <c r="A5" s="424"/>
      <c r="B5" s="424"/>
      <c r="C5" s="484"/>
      <c r="D5" s="485"/>
      <c r="E5" s="485"/>
      <c r="F5" s="486"/>
      <c r="G5" s="484"/>
      <c r="H5" s="485"/>
      <c r="I5" s="485"/>
      <c r="J5" s="485"/>
      <c r="K5" s="485"/>
      <c r="L5" s="486"/>
      <c r="M5" s="484"/>
      <c r="N5" s="485"/>
      <c r="O5" s="485"/>
      <c r="P5" s="486"/>
      <c r="Q5" s="451" t="s">
        <v>213</v>
      </c>
      <c r="R5" s="345"/>
      <c r="S5" s="452"/>
      <c r="T5" s="451" t="s">
        <v>214</v>
      </c>
      <c r="U5" s="345"/>
      <c r="V5" s="452"/>
      <c r="W5" s="451" t="s">
        <v>43</v>
      </c>
      <c r="X5" s="345"/>
      <c r="Y5" s="452"/>
      <c r="Z5" s="453" t="s">
        <v>215</v>
      </c>
      <c r="AA5" s="454"/>
      <c r="AB5" s="455"/>
      <c r="AC5" s="453" t="s">
        <v>216</v>
      </c>
      <c r="AD5" s="454"/>
      <c r="AE5" s="455"/>
    </row>
    <row r="6" spans="1:31" ht="18" customHeight="1">
      <c r="A6" s="59">
        <v>1</v>
      </c>
      <c r="B6" s="60">
        <v>2</v>
      </c>
      <c r="C6" s="474">
        <v>3</v>
      </c>
      <c r="D6" s="475"/>
      <c r="E6" s="475"/>
      <c r="F6" s="476"/>
      <c r="G6" s="474">
        <v>4</v>
      </c>
      <c r="H6" s="475"/>
      <c r="I6" s="475"/>
      <c r="J6" s="475"/>
      <c r="K6" s="475"/>
      <c r="L6" s="476"/>
      <c r="M6" s="474">
        <v>5</v>
      </c>
      <c r="N6" s="475"/>
      <c r="O6" s="475"/>
      <c r="P6" s="476"/>
      <c r="Q6" s="474">
        <v>6</v>
      </c>
      <c r="R6" s="475"/>
      <c r="S6" s="476"/>
      <c r="T6" s="474">
        <v>7</v>
      </c>
      <c r="U6" s="475"/>
      <c r="V6" s="476"/>
      <c r="W6" s="496">
        <v>8</v>
      </c>
      <c r="X6" s="497"/>
      <c r="Y6" s="498"/>
      <c r="Z6" s="496">
        <v>9</v>
      </c>
      <c r="AA6" s="497"/>
      <c r="AB6" s="498"/>
      <c r="AC6" s="496">
        <v>10</v>
      </c>
      <c r="AD6" s="497"/>
      <c r="AE6" s="498"/>
    </row>
    <row r="7" spans="1:31" ht="20.100000000000001" customHeight="1">
      <c r="A7" s="59"/>
      <c r="B7" s="183"/>
      <c r="C7" s="487"/>
      <c r="D7" s="488"/>
      <c r="E7" s="488"/>
      <c r="F7" s="489"/>
      <c r="G7" s="490"/>
      <c r="H7" s="491"/>
      <c r="I7" s="491"/>
      <c r="J7" s="491"/>
      <c r="K7" s="491"/>
      <c r="L7" s="492"/>
      <c r="M7" s="493">
        <f>SUM(Q7,T7,W7,Z7,AC7)</f>
        <v>0</v>
      </c>
      <c r="N7" s="494"/>
      <c r="O7" s="494"/>
      <c r="P7" s="495"/>
      <c r="Q7" s="477"/>
      <c r="R7" s="478"/>
      <c r="S7" s="479"/>
      <c r="T7" s="477"/>
      <c r="U7" s="478"/>
      <c r="V7" s="479"/>
      <c r="W7" s="477"/>
      <c r="X7" s="478"/>
      <c r="Y7" s="479"/>
      <c r="Z7" s="477"/>
      <c r="AA7" s="478"/>
      <c r="AB7" s="479"/>
      <c r="AC7" s="477"/>
      <c r="AD7" s="478"/>
      <c r="AE7" s="479"/>
    </row>
    <row r="8" spans="1:31" ht="20.100000000000001" customHeight="1">
      <c r="A8" s="59"/>
      <c r="B8" s="183"/>
      <c r="C8" s="487"/>
      <c r="D8" s="488"/>
      <c r="E8" s="488"/>
      <c r="F8" s="489"/>
      <c r="G8" s="490"/>
      <c r="H8" s="491"/>
      <c r="I8" s="491"/>
      <c r="J8" s="491"/>
      <c r="K8" s="491"/>
      <c r="L8" s="492"/>
      <c r="M8" s="493">
        <f>SUM(Q8,T8,W8,Z8,AC8)</f>
        <v>0</v>
      </c>
      <c r="N8" s="494"/>
      <c r="O8" s="494"/>
      <c r="P8" s="495"/>
      <c r="Q8" s="477"/>
      <c r="R8" s="478"/>
      <c r="S8" s="479"/>
      <c r="T8" s="477"/>
      <c r="U8" s="478"/>
      <c r="V8" s="479"/>
      <c r="W8" s="477"/>
      <c r="X8" s="478"/>
      <c r="Y8" s="479"/>
      <c r="Z8" s="477"/>
      <c r="AA8" s="478"/>
      <c r="AB8" s="479"/>
      <c r="AC8" s="477"/>
      <c r="AD8" s="478"/>
      <c r="AE8" s="479"/>
    </row>
    <row r="9" spans="1:31" ht="20.100000000000001" customHeight="1">
      <c r="A9" s="59"/>
      <c r="B9" s="183"/>
      <c r="C9" s="487"/>
      <c r="D9" s="488"/>
      <c r="E9" s="488"/>
      <c r="F9" s="489"/>
      <c r="G9" s="490"/>
      <c r="H9" s="491"/>
      <c r="I9" s="491"/>
      <c r="J9" s="491"/>
      <c r="K9" s="491"/>
      <c r="L9" s="492"/>
      <c r="M9" s="493">
        <f>SUM(Q9,T9,W9,Z9,AC9)</f>
        <v>0</v>
      </c>
      <c r="N9" s="494"/>
      <c r="O9" s="494"/>
      <c r="P9" s="495"/>
      <c r="Q9" s="477"/>
      <c r="R9" s="478"/>
      <c r="S9" s="479"/>
      <c r="T9" s="477"/>
      <c r="U9" s="478"/>
      <c r="V9" s="479"/>
      <c r="W9" s="477"/>
      <c r="X9" s="478"/>
      <c r="Y9" s="479"/>
      <c r="Z9" s="477"/>
      <c r="AA9" s="478"/>
      <c r="AB9" s="479"/>
      <c r="AC9" s="477"/>
      <c r="AD9" s="478"/>
      <c r="AE9" s="479"/>
    </row>
    <row r="10" spans="1:31" ht="20.100000000000001" customHeight="1">
      <c r="A10" s="59"/>
      <c r="B10" s="183"/>
      <c r="C10" s="487"/>
      <c r="D10" s="488"/>
      <c r="E10" s="488"/>
      <c r="F10" s="489"/>
      <c r="G10" s="490"/>
      <c r="H10" s="491"/>
      <c r="I10" s="491"/>
      <c r="J10" s="491"/>
      <c r="K10" s="491"/>
      <c r="L10" s="492"/>
      <c r="M10" s="493">
        <f>SUM(Q10,T10,W10,Z10,AC10)</f>
        <v>0</v>
      </c>
      <c r="N10" s="494"/>
      <c r="O10" s="494"/>
      <c r="P10" s="495"/>
      <c r="Q10" s="477"/>
      <c r="R10" s="478"/>
      <c r="S10" s="479"/>
      <c r="T10" s="477"/>
      <c r="U10" s="478"/>
      <c r="V10" s="479"/>
      <c r="W10" s="477"/>
      <c r="X10" s="478"/>
      <c r="Y10" s="479"/>
      <c r="Z10" s="477"/>
      <c r="AA10" s="478"/>
      <c r="AB10" s="479"/>
      <c r="AC10" s="477"/>
      <c r="AD10" s="478"/>
      <c r="AE10" s="479"/>
    </row>
    <row r="11" spans="1:31" ht="20.100000000000001" customHeight="1">
      <c r="A11" s="499" t="s">
        <v>59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0"/>
      <c r="L11" s="501"/>
      <c r="M11" s="445">
        <f>SUM(M7:P10)</f>
        <v>0</v>
      </c>
      <c r="N11" s="480"/>
      <c r="O11" s="480"/>
      <c r="P11" s="446"/>
      <c r="Q11" s="445">
        <f>SUM(Q7:S10)</f>
        <v>0</v>
      </c>
      <c r="R11" s="480"/>
      <c r="S11" s="446"/>
      <c r="T11" s="445">
        <f>SUM(T7:V10)</f>
        <v>0</v>
      </c>
      <c r="U11" s="480"/>
      <c r="V11" s="446"/>
      <c r="W11" s="445">
        <f>SUM(W7:Y10)</f>
        <v>0</v>
      </c>
      <c r="X11" s="480"/>
      <c r="Y11" s="446"/>
      <c r="Z11" s="445">
        <f>SUM(Z7:AB10)</f>
        <v>0</v>
      </c>
      <c r="AA11" s="480"/>
      <c r="AB11" s="446"/>
      <c r="AC11" s="445">
        <f>SUM(AC7:AE10)</f>
        <v>0</v>
      </c>
      <c r="AD11" s="480"/>
      <c r="AE11" s="446"/>
    </row>
    <row r="12" spans="1:31" ht="18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3"/>
      <c r="N12" s="33"/>
      <c r="O12" s="33"/>
      <c r="P12" s="33"/>
      <c r="Q12" s="51"/>
      <c r="R12" s="51"/>
      <c r="S12" s="51"/>
      <c r="T12" s="51"/>
      <c r="U12" s="51"/>
      <c r="V12" s="51"/>
      <c r="W12" s="52"/>
      <c r="X12" s="52"/>
      <c r="Y12" s="52"/>
      <c r="Z12" s="52"/>
      <c r="AA12" s="52"/>
      <c r="AB12" s="52"/>
      <c r="AC12" s="52"/>
      <c r="AD12" s="52"/>
      <c r="AE12" s="52"/>
    </row>
    <row r="13" spans="1:31" s="37" customFormat="1" ht="18.75" customHeight="1">
      <c r="B13" s="37" t="s">
        <v>255</v>
      </c>
    </row>
    <row r="14" spans="1:31" s="37" customFormat="1" ht="18.75" customHeight="1"/>
    <row r="15" spans="1:31" ht="18.75" customHeight="1">
      <c r="A15" s="412" t="s">
        <v>54</v>
      </c>
      <c r="B15" s="412" t="s">
        <v>217</v>
      </c>
      <c r="C15" s="413" t="s">
        <v>210</v>
      </c>
      <c r="D15" s="413"/>
      <c r="E15" s="413"/>
      <c r="F15" s="413"/>
      <c r="G15" s="413" t="s">
        <v>347</v>
      </c>
      <c r="H15" s="413"/>
      <c r="I15" s="413"/>
      <c r="J15" s="413"/>
      <c r="K15" s="413"/>
      <c r="L15" s="413"/>
      <c r="M15" s="413"/>
      <c r="N15" s="413"/>
      <c r="O15" s="413"/>
      <c r="P15" s="413"/>
      <c r="Q15" s="413" t="s">
        <v>218</v>
      </c>
      <c r="R15" s="413"/>
      <c r="S15" s="413"/>
      <c r="T15" s="413"/>
      <c r="U15" s="413"/>
      <c r="V15" s="410" t="s">
        <v>219</v>
      </c>
      <c r="W15" s="410"/>
      <c r="X15" s="410"/>
      <c r="Y15" s="410"/>
      <c r="Z15" s="410"/>
      <c r="AA15" s="410"/>
      <c r="AB15" s="410"/>
      <c r="AC15" s="410"/>
      <c r="AD15" s="410"/>
      <c r="AE15" s="410"/>
    </row>
    <row r="16" spans="1:31" ht="18.75" customHeight="1">
      <c r="A16" s="412"/>
      <c r="B16" s="412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0" t="s">
        <v>220</v>
      </c>
      <c r="W16" s="410"/>
      <c r="X16" s="410" t="s">
        <v>104</v>
      </c>
      <c r="Y16" s="410"/>
      <c r="Z16" s="410"/>
      <c r="AA16" s="410"/>
      <c r="AB16" s="410"/>
      <c r="AC16" s="410"/>
      <c r="AD16" s="410"/>
      <c r="AE16" s="410"/>
    </row>
    <row r="17" spans="1:31" ht="18.75" customHeight="1">
      <c r="A17" s="412"/>
      <c r="B17" s="412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0"/>
      <c r="W17" s="410"/>
      <c r="X17" s="410" t="s">
        <v>378</v>
      </c>
      <c r="Y17" s="410"/>
      <c r="Z17" s="410" t="s">
        <v>370</v>
      </c>
      <c r="AA17" s="410"/>
      <c r="AB17" s="410" t="s">
        <v>371</v>
      </c>
      <c r="AC17" s="410"/>
      <c r="AD17" s="410" t="s">
        <v>85</v>
      </c>
      <c r="AE17" s="410"/>
    </row>
    <row r="18" spans="1:31" ht="18" customHeight="1">
      <c r="A18" s="59">
        <v>1</v>
      </c>
      <c r="B18" s="59">
        <v>2</v>
      </c>
      <c r="C18" s="503">
        <v>3</v>
      </c>
      <c r="D18" s="503"/>
      <c r="E18" s="503"/>
      <c r="F18" s="503"/>
      <c r="G18" s="503">
        <v>4</v>
      </c>
      <c r="H18" s="503"/>
      <c r="I18" s="503"/>
      <c r="J18" s="503"/>
      <c r="K18" s="503"/>
      <c r="L18" s="503"/>
      <c r="M18" s="503"/>
      <c r="N18" s="503"/>
      <c r="O18" s="503"/>
      <c r="P18" s="503"/>
      <c r="Q18" s="503">
        <v>5</v>
      </c>
      <c r="R18" s="503"/>
      <c r="S18" s="503"/>
      <c r="T18" s="503"/>
      <c r="U18" s="503"/>
      <c r="V18" s="503">
        <v>6</v>
      </c>
      <c r="W18" s="503"/>
      <c r="X18" s="502">
        <v>7</v>
      </c>
      <c r="Y18" s="502"/>
      <c r="Z18" s="502">
        <v>8</v>
      </c>
      <c r="AA18" s="502"/>
      <c r="AB18" s="502">
        <v>9</v>
      </c>
      <c r="AC18" s="502"/>
      <c r="AD18" s="502">
        <v>10</v>
      </c>
      <c r="AE18" s="502"/>
    </row>
    <row r="19" spans="1:31" ht="20.100000000000001" customHeight="1">
      <c r="A19" s="81"/>
      <c r="B19" s="76"/>
      <c r="C19" s="504"/>
      <c r="D19" s="504"/>
      <c r="E19" s="504"/>
      <c r="F19" s="504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6"/>
      <c r="R19" s="506"/>
      <c r="S19" s="506"/>
      <c r="T19" s="506"/>
      <c r="U19" s="506"/>
      <c r="V19" s="507">
        <f>AD19</f>
        <v>0</v>
      </c>
      <c r="W19" s="507"/>
      <c r="X19" s="507"/>
      <c r="Y19" s="507"/>
      <c r="Z19" s="507"/>
      <c r="AA19" s="507"/>
      <c r="AB19" s="507"/>
      <c r="AC19" s="507"/>
      <c r="AD19" s="507"/>
      <c r="AE19" s="507"/>
    </row>
    <row r="20" spans="1:31" ht="20.100000000000001" customHeight="1">
      <c r="A20" s="81"/>
      <c r="B20" s="76"/>
      <c r="C20" s="504"/>
      <c r="D20" s="504"/>
      <c r="E20" s="504"/>
      <c r="F20" s="504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6"/>
      <c r="R20" s="506"/>
      <c r="S20" s="506"/>
      <c r="T20" s="506"/>
      <c r="U20" s="506"/>
      <c r="V20" s="507">
        <f>AD20</f>
        <v>0</v>
      </c>
      <c r="W20" s="507"/>
      <c r="X20" s="507"/>
      <c r="Y20" s="507"/>
      <c r="Z20" s="507"/>
      <c r="AA20" s="507"/>
      <c r="AB20" s="507"/>
      <c r="AC20" s="507"/>
      <c r="AD20" s="507"/>
      <c r="AE20" s="507"/>
    </row>
    <row r="21" spans="1:31" ht="20.100000000000001" customHeight="1">
      <c r="A21" s="81"/>
      <c r="B21" s="76"/>
      <c r="C21" s="504"/>
      <c r="D21" s="504"/>
      <c r="E21" s="504"/>
      <c r="F21" s="504"/>
      <c r="G21" s="505"/>
      <c r="H21" s="505"/>
      <c r="I21" s="505"/>
      <c r="J21" s="505"/>
      <c r="K21" s="505"/>
      <c r="L21" s="505"/>
      <c r="M21" s="505"/>
      <c r="N21" s="505"/>
      <c r="O21" s="505"/>
      <c r="P21" s="505"/>
      <c r="Q21" s="506"/>
      <c r="R21" s="506"/>
      <c r="S21" s="506"/>
      <c r="T21" s="506"/>
      <c r="U21" s="506"/>
      <c r="V21" s="507">
        <f>AD21</f>
        <v>0</v>
      </c>
      <c r="W21" s="507"/>
      <c r="X21" s="507"/>
      <c r="Y21" s="507"/>
      <c r="Z21" s="507"/>
      <c r="AA21" s="507"/>
      <c r="AB21" s="507"/>
      <c r="AC21" s="507"/>
      <c r="AD21" s="507"/>
      <c r="AE21" s="507"/>
    </row>
    <row r="22" spans="1:31" ht="20.100000000000001" customHeight="1">
      <c r="A22" s="81"/>
      <c r="B22" s="76"/>
      <c r="C22" s="504"/>
      <c r="D22" s="504"/>
      <c r="E22" s="504"/>
      <c r="F22" s="504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6"/>
      <c r="R22" s="506"/>
      <c r="S22" s="506"/>
      <c r="T22" s="506"/>
      <c r="U22" s="506"/>
      <c r="V22" s="507">
        <f>AD22</f>
        <v>0</v>
      </c>
      <c r="W22" s="507"/>
      <c r="X22" s="507"/>
      <c r="Y22" s="507"/>
      <c r="Z22" s="507"/>
      <c r="AA22" s="507"/>
      <c r="AB22" s="507"/>
      <c r="AC22" s="507"/>
      <c r="AD22" s="507"/>
      <c r="AE22" s="507"/>
    </row>
    <row r="23" spans="1:31" ht="20.100000000000001" customHeight="1">
      <c r="A23" s="412" t="s">
        <v>59</v>
      </c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507">
        <f>AD23</f>
        <v>0</v>
      </c>
      <c r="W23" s="507"/>
      <c r="X23" s="447">
        <f>SUM(X19:Y22)</f>
        <v>0</v>
      </c>
      <c r="Y23" s="447"/>
      <c r="Z23" s="447">
        <f>SUM(Z19:AA22)</f>
        <v>0</v>
      </c>
      <c r="AA23" s="447"/>
      <c r="AB23" s="447">
        <f>SUM(AB19:AC22)</f>
        <v>0</v>
      </c>
      <c r="AC23" s="447"/>
      <c r="AD23" s="447">
        <f>SUM(AD19:AE22)</f>
        <v>0</v>
      </c>
      <c r="AE23" s="447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7" customFormat="1" ht="18.75" customHeight="1">
      <c r="B26" s="37" t="s">
        <v>233</v>
      </c>
    </row>
    <row r="27" spans="1:31">
      <c r="A27" s="23"/>
      <c r="B27" s="23"/>
      <c r="C27" s="23"/>
      <c r="D27" s="23"/>
      <c r="E27" s="23"/>
      <c r="F27" s="23"/>
      <c r="G27" s="2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3"/>
      <c r="Y27" s="63" t="s">
        <v>252</v>
      </c>
    </row>
    <row r="28" spans="1:31" ht="30" customHeight="1">
      <c r="A28" s="413" t="s">
        <v>54</v>
      </c>
      <c r="B28" s="413" t="s">
        <v>256</v>
      </c>
      <c r="C28" s="413"/>
      <c r="D28" s="413"/>
      <c r="E28" s="413"/>
      <c r="F28" s="413"/>
      <c r="G28" s="451" t="s">
        <v>58</v>
      </c>
      <c r="H28" s="345"/>
      <c r="I28" s="345"/>
      <c r="J28" s="452"/>
      <c r="K28" s="451" t="s">
        <v>95</v>
      </c>
      <c r="L28" s="345"/>
      <c r="M28" s="345"/>
      <c r="N28" s="452"/>
      <c r="O28" s="451" t="s">
        <v>305</v>
      </c>
      <c r="P28" s="345"/>
      <c r="Q28" s="345"/>
      <c r="R28" s="452"/>
      <c r="S28" s="451" t="s">
        <v>141</v>
      </c>
      <c r="T28" s="345"/>
      <c r="U28" s="345"/>
      <c r="V28" s="452"/>
      <c r="W28" s="451" t="s">
        <v>59</v>
      </c>
      <c r="X28" s="345"/>
      <c r="Y28" s="345"/>
      <c r="Z28" s="452"/>
    </row>
    <row r="29" spans="1:31" ht="30" customHeight="1">
      <c r="A29" s="413"/>
      <c r="B29" s="413"/>
      <c r="C29" s="413"/>
      <c r="D29" s="413"/>
      <c r="E29" s="413"/>
      <c r="F29" s="413"/>
      <c r="G29" s="451" t="s">
        <v>104</v>
      </c>
      <c r="H29" s="345"/>
      <c r="I29" s="345"/>
      <c r="J29" s="452"/>
      <c r="K29" s="451" t="s">
        <v>104</v>
      </c>
      <c r="L29" s="345"/>
      <c r="M29" s="345"/>
      <c r="N29" s="452"/>
      <c r="O29" s="451" t="s">
        <v>104</v>
      </c>
      <c r="P29" s="345"/>
      <c r="Q29" s="345"/>
      <c r="R29" s="452"/>
      <c r="S29" s="451" t="s">
        <v>104</v>
      </c>
      <c r="T29" s="345"/>
      <c r="U29" s="345"/>
      <c r="V29" s="452"/>
      <c r="W29" s="451" t="s">
        <v>104</v>
      </c>
      <c r="X29" s="345"/>
      <c r="Y29" s="345"/>
      <c r="Z29" s="452"/>
    </row>
    <row r="30" spans="1:31" ht="39.950000000000003" customHeight="1">
      <c r="A30" s="413"/>
      <c r="B30" s="413"/>
      <c r="C30" s="413"/>
      <c r="D30" s="413"/>
      <c r="E30" s="413"/>
      <c r="F30" s="413"/>
      <c r="G30" s="320" t="s">
        <v>379</v>
      </c>
      <c r="H30" s="320" t="s">
        <v>370</v>
      </c>
      <c r="I30" s="320" t="s">
        <v>371</v>
      </c>
      <c r="J30" s="320" t="s">
        <v>85</v>
      </c>
      <c r="K30" s="320" t="s">
        <v>379</v>
      </c>
      <c r="L30" s="320" t="s">
        <v>370</v>
      </c>
      <c r="M30" s="320" t="s">
        <v>371</v>
      </c>
      <c r="N30" s="320" t="s">
        <v>85</v>
      </c>
      <c r="O30" s="320" t="s">
        <v>379</v>
      </c>
      <c r="P30" s="320" t="s">
        <v>370</v>
      </c>
      <c r="Q30" s="320" t="s">
        <v>371</v>
      </c>
      <c r="R30" s="320" t="s">
        <v>85</v>
      </c>
      <c r="S30" s="320" t="s">
        <v>379</v>
      </c>
      <c r="T30" s="320" t="s">
        <v>370</v>
      </c>
      <c r="U30" s="320" t="s">
        <v>371</v>
      </c>
      <c r="V30" s="320" t="s">
        <v>85</v>
      </c>
      <c r="W30" s="320" t="s">
        <v>379</v>
      </c>
      <c r="X30" s="320" t="s">
        <v>370</v>
      </c>
      <c r="Y30" s="320" t="s">
        <v>371</v>
      </c>
      <c r="Z30" s="320" t="s">
        <v>85</v>
      </c>
    </row>
    <row r="31" spans="1:31" ht="18" customHeight="1">
      <c r="A31" s="320">
        <v>1</v>
      </c>
      <c r="B31" s="413">
        <v>2</v>
      </c>
      <c r="C31" s="413"/>
      <c r="D31" s="413"/>
      <c r="E31" s="413"/>
      <c r="F31" s="413"/>
      <c r="G31" s="320">
        <v>3</v>
      </c>
      <c r="H31" s="195">
        <v>4</v>
      </c>
      <c r="I31" s="195">
        <v>5</v>
      </c>
      <c r="J31" s="195">
        <v>6</v>
      </c>
      <c r="K31" s="195">
        <v>7</v>
      </c>
      <c r="L31" s="195">
        <v>8</v>
      </c>
      <c r="M31" s="195">
        <v>9</v>
      </c>
      <c r="N31" s="320">
        <v>10</v>
      </c>
      <c r="O31" s="195">
        <v>11</v>
      </c>
      <c r="P31" s="195">
        <v>12</v>
      </c>
      <c r="Q31" s="195">
        <v>13</v>
      </c>
      <c r="R31" s="195">
        <v>14</v>
      </c>
      <c r="S31" s="320">
        <v>15</v>
      </c>
      <c r="T31" s="195">
        <v>16</v>
      </c>
      <c r="U31" s="195">
        <v>17</v>
      </c>
      <c r="V31" s="195">
        <v>18</v>
      </c>
      <c r="W31" s="195">
        <v>19</v>
      </c>
      <c r="X31" s="195">
        <v>20</v>
      </c>
      <c r="Y31" s="320">
        <v>21</v>
      </c>
      <c r="Z31" s="319">
        <v>22</v>
      </c>
    </row>
    <row r="32" spans="1:31" ht="20.100000000000001" customHeight="1">
      <c r="A32" s="80">
        <v>1</v>
      </c>
      <c r="B32" s="473" t="s">
        <v>465</v>
      </c>
      <c r="C32" s="473"/>
      <c r="D32" s="473"/>
      <c r="E32" s="473"/>
      <c r="F32" s="473"/>
      <c r="G32" s="327"/>
      <c r="H32" s="327"/>
      <c r="I32" s="327"/>
      <c r="J32" s="327"/>
      <c r="K32" s="327"/>
      <c r="L32" s="327"/>
      <c r="M32" s="327"/>
      <c r="N32" s="300"/>
      <c r="O32" s="327"/>
      <c r="P32" s="327"/>
      <c r="Q32" s="327"/>
      <c r="R32" s="327"/>
      <c r="S32" s="327"/>
      <c r="T32" s="327"/>
      <c r="U32" s="327"/>
      <c r="V32" s="327"/>
      <c r="W32" s="328">
        <f t="shared" ref="W32:Z41" si="0">SUM(G32,K32,O32,S32)</f>
        <v>0</v>
      </c>
      <c r="X32" s="328">
        <f t="shared" si="0"/>
        <v>0</v>
      </c>
      <c r="Y32" s="328">
        <f t="shared" si="0"/>
        <v>0</v>
      </c>
      <c r="Z32" s="328">
        <f t="shared" si="0"/>
        <v>0</v>
      </c>
    </row>
    <row r="33" spans="1:31" ht="20.100000000000001" customHeight="1">
      <c r="A33" s="80">
        <v>2</v>
      </c>
      <c r="B33" s="473" t="s">
        <v>460</v>
      </c>
      <c r="C33" s="473"/>
      <c r="D33" s="473"/>
      <c r="E33" s="473"/>
      <c r="F33" s="473"/>
      <c r="G33" s="327"/>
      <c r="H33" s="327"/>
      <c r="I33" s="327"/>
      <c r="J33" s="327"/>
      <c r="K33" s="300">
        <f>SUM(K34:K36)</f>
        <v>0</v>
      </c>
      <c r="L33" s="300">
        <f t="shared" ref="L33:N33" si="1">SUM(L34:L36)</f>
        <v>0</v>
      </c>
      <c r="M33" s="300">
        <f t="shared" si="1"/>
        <v>0</v>
      </c>
      <c r="N33" s="300">
        <f t="shared" si="1"/>
        <v>0</v>
      </c>
      <c r="O33" s="327"/>
      <c r="P33" s="327"/>
      <c r="Q33" s="327"/>
      <c r="R33" s="327"/>
      <c r="S33" s="327"/>
      <c r="T33" s="327"/>
      <c r="U33" s="327"/>
      <c r="V33" s="327"/>
      <c r="W33" s="328">
        <f t="shared" si="0"/>
        <v>0</v>
      </c>
      <c r="X33" s="328">
        <f t="shared" si="0"/>
        <v>0</v>
      </c>
      <c r="Y33" s="328">
        <f t="shared" si="0"/>
        <v>0</v>
      </c>
      <c r="Z33" s="328">
        <f t="shared" si="0"/>
        <v>0</v>
      </c>
    </row>
    <row r="34" spans="1:31" ht="65.25" customHeight="1">
      <c r="A34" s="299" t="s">
        <v>578</v>
      </c>
      <c r="B34" s="514" t="str">
        <f>'ІІІ. Рух грош. коштів'!A38</f>
        <v>Модуль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v>
      </c>
      <c r="C34" s="515"/>
      <c r="D34" s="515"/>
      <c r="E34" s="515"/>
      <c r="F34" s="516"/>
      <c r="G34" s="297"/>
      <c r="H34" s="297"/>
      <c r="I34" s="297"/>
      <c r="J34" s="297"/>
      <c r="K34" s="301">
        <f>'ІІІ. Рух грош. коштів'!F38</f>
        <v>0</v>
      </c>
      <c r="L34" s="301">
        <f>'ІІІ. Рух грош. коштів'!G38</f>
        <v>0</v>
      </c>
      <c r="M34" s="301">
        <f>'ІІІ. Рух грош. коштів'!H38</f>
        <v>0</v>
      </c>
      <c r="N34" s="301">
        <f>'ІІІ. Рух грош. коштів'!I38</f>
        <v>0</v>
      </c>
      <c r="O34" s="297"/>
      <c r="P34" s="297"/>
      <c r="Q34" s="297"/>
      <c r="R34" s="297"/>
      <c r="S34" s="297"/>
      <c r="T34" s="297"/>
      <c r="U34" s="297"/>
      <c r="V34" s="297"/>
      <c r="W34" s="339">
        <v>1000</v>
      </c>
      <c r="X34" s="339">
        <v>4000</v>
      </c>
      <c r="Y34" s="339">
        <v>4000</v>
      </c>
      <c r="Z34" s="339">
        <v>4000</v>
      </c>
    </row>
    <row r="35" spans="1:31" ht="94.5" customHeight="1">
      <c r="A35" s="299" t="s">
        <v>579</v>
      </c>
      <c r="B35" s="514" t="str">
        <f>'ІІІ. Рух грош. коштів'!A39</f>
        <v>Модуль програмного забеспечення взаємодії систем керування об'єктами мереж освітлення, автоматизованої системи диспетчеризації ліфтів та автоматизованної системи керування дорожнім рухом</v>
      </c>
      <c r="C35" s="515"/>
      <c r="D35" s="515"/>
      <c r="E35" s="515"/>
      <c r="F35" s="516"/>
      <c r="G35" s="297"/>
      <c r="H35" s="297"/>
      <c r="I35" s="297"/>
      <c r="J35" s="297"/>
      <c r="K35" s="301">
        <f>'ІІІ. Рух грош. коштів'!F39</f>
        <v>0</v>
      </c>
      <c r="L35" s="301">
        <f>'ІІІ. Рух грош. коштів'!G39</f>
        <v>0</v>
      </c>
      <c r="M35" s="301">
        <f>'ІІІ. Рух грош. коштів'!H39</f>
        <v>0</v>
      </c>
      <c r="N35" s="301">
        <f>'ІІІ. Рух грош. коштів'!I39</f>
        <v>0</v>
      </c>
      <c r="O35" s="297"/>
      <c r="P35" s="297"/>
      <c r="Q35" s="297"/>
      <c r="R35" s="297"/>
      <c r="S35" s="297"/>
      <c r="T35" s="297"/>
      <c r="U35" s="297"/>
      <c r="V35" s="297"/>
      <c r="W35" s="339">
        <v>1000</v>
      </c>
      <c r="X35" s="339">
        <v>1000</v>
      </c>
      <c r="Y35" s="339">
        <v>1000</v>
      </c>
      <c r="Z35" s="339">
        <v>1000</v>
      </c>
    </row>
    <row r="36" spans="1:31" ht="94.5" customHeight="1">
      <c r="A36" s="299" t="s">
        <v>580</v>
      </c>
      <c r="B36" s="514" t="str">
        <f>'ІІІ. Рух грош. коштів'!A40</f>
        <v>Модуль програмного забезпечення інтеграції системи керування дорожнім рухом до системи головного центру автоматизованного керування взаємодії систем та його автоматизованого помічника</v>
      </c>
      <c r="C36" s="515"/>
      <c r="D36" s="515"/>
      <c r="E36" s="515"/>
      <c r="F36" s="516"/>
      <c r="G36" s="298"/>
      <c r="H36" s="298"/>
      <c r="I36" s="298"/>
      <c r="J36" s="298"/>
      <c r="K36" s="301">
        <f>'ІІІ. Рух грош. коштів'!F40</f>
        <v>0</v>
      </c>
      <c r="L36" s="301">
        <f>'ІІІ. Рух грош. коштів'!G40</f>
        <v>0</v>
      </c>
      <c r="M36" s="301">
        <f>'ІІІ. Рух грош. коштів'!H40</f>
        <v>0</v>
      </c>
      <c r="N36" s="301">
        <f>'ІІІ. Рух грош. коштів'!I40</f>
        <v>0</v>
      </c>
      <c r="O36" s="298"/>
      <c r="P36" s="298"/>
      <c r="Q36" s="298"/>
      <c r="R36" s="298"/>
      <c r="S36" s="298"/>
      <c r="T36" s="298"/>
      <c r="U36" s="298"/>
      <c r="V36" s="298"/>
      <c r="W36" s="340">
        <v>3000</v>
      </c>
      <c r="X36" s="340">
        <v>5000</v>
      </c>
      <c r="Y36" s="340">
        <v>5000</v>
      </c>
      <c r="Z36" s="340">
        <v>5000</v>
      </c>
    </row>
    <row r="37" spans="1:31" ht="20.100000000000001" customHeight="1">
      <c r="A37" s="80">
        <v>3</v>
      </c>
      <c r="B37" s="473" t="s">
        <v>459</v>
      </c>
      <c r="C37" s="473"/>
      <c r="D37" s="473"/>
      <c r="E37" s="473"/>
      <c r="F37" s="473"/>
      <c r="G37" s="327"/>
      <c r="H37" s="327"/>
      <c r="I37" s="327"/>
      <c r="J37" s="327"/>
      <c r="K37" s="300">
        <f>SUM(K38:K39)</f>
        <v>13883</v>
      </c>
      <c r="L37" s="300">
        <f t="shared" ref="L37:N37" si="2">SUM(L38:L39)</f>
        <v>26390</v>
      </c>
      <c r="M37" s="300">
        <f t="shared" si="2"/>
        <v>38391</v>
      </c>
      <c r="N37" s="300">
        <f t="shared" si="2"/>
        <v>40384</v>
      </c>
      <c r="O37" s="327"/>
      <c r="P37" s="327"/>
      <c r="Q37" s="327"/>
      <c r="R37" s="327"/>
      <c r="S37" s="327"/>
      <c r="T37" s="327"/>
      <c r="U37" s="327"/>
      <c r="V37" s="327"/>
      <c r="W37" s="328">
        <f t="shared" si="0"/>
        <v>13883</v>
      </c>
      <c r="X37" s="328">
        <f t="shared" si="0"/>
        <v>26390</v>
      </c>
      <c r="Y37" s="328">
        <f t="shared" si="0"/>
        <v>38391</v>
      </c>
      <c r="Z37" s="328">
        <f t="shared" si="0"/>
        <v>40384</v>
      </c>
    </row>
    <row r="38" spans="1:31" ht="60" customHeight="1">
      <c r="A38" s="299" t="s">
        <v>581</v>
      </c>
      <c r="B38" s="514" t="str">
        <f>'ІІІ. Рух грош. коштів'!A32</f>
        <v>Придбання модулів автоматизованого керування об'єктами систем диспетчеризації ліфтів у м. Дніпро (по районам)</v>
      </c>
      <c r="C38" s="515"/>
      <c r="D38" s="515"/>
      <c r="E38" s="515"/>
      <c r="F38" s="516"/>
      <c r="G38" s="298"/>
      <c r="H38" s="298"/>
      <c r="I38" s="298"/>
      <c r="J38" s="298"/>
      <c r="K38" s="302">
        <f>'ІІІ. Рух грош. коштів'!F32</f>
        <v>10224</v>
      </c>
      <c r="L38" s="302">
        <f>'ІІІ. Рух грош. коштів'!G32</f>
        <v>20448</v>
      </c>
      <c r="M38" s="302">
        <f>'ІІІ. Рух грош. коштів'!H32</f>
        <v>31087</v>
      </c>
      <c r="N38" s="302">
        <f>'ІІІ. Рух грош. коштів'!I32</f>
        <v>33080</v>
      </c>
      <c r="O38" s="298"/>
      <c r="P38" s="298"/>
      <c r="Q38" s="298"/>
      <c r="R38" s="298"/>
      <c r="S38" s="298"/>
      <c r="T38" s="298"/>
      <c r="U38" s="298"/>
      <c r="V38" s="298"/>
      <c r="W38" s="340">
        <v>15224</v>
      </c>
      <c r="X38" s="340">
        <v>20448</v>
      </c>
      <c r="Y38" s="340">
        <v>31087</v>
      </c>
      <c r="Z38" s="340">
        <v>33080</v>
      </c>
    </row>
    <row r="39" spans="1:31" ht="79.5" customHeight="1">
      <c r="A39" s="299" t="s">
        <v>582</v>
      </c>
      <c r="B39" s="514" t="str">
        <f>'ІІІ. Рух грош. коштів'!A34</f>
        <v>Придбання(виготовлення) апаратий комплекс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v>
      </c>
      <c r="C39" s="515"/>
      <c r="D39" s="515"/>
      <c r="E39" s="515"/>
      <c r="F39" s="516"/>
      <c r="G39" s="298"/>
      <c r="H39" s="298"/>
      <c r="I39" s="298"/>
      <c r="J39" s="298"/>
      <c r="K39" s="302">
        <f>'ІІІ. Рух грош. коштів'!F34</f>
        <v>3659</v>
      </c>
      <c r="L39" s="302">
        <f>'ІІІ. Рух грош. коштів'!G34</f>
        <v>5942</v>
      </c>
      <c r="M39" s="302">
        <f>'ІІІ. Рух грош. коштів'!H34</f>
        <v>7304</v>
      </c>
      <c r="N39" s="302">
        <f>'ІІІ. Рух грош. коштів'!I34</f>
        <v>7304</v>
      </c>
      <c r="O39" s="298"/>
      <c r="P39" s="298"/>
      <c r="Q39" s="298"/>
      <c r="R39" s="298"/>
      <c r="S39" s="298"/>
      <c r="T39" s="298"/>
      <c r="U39" s="298"/>
      <c r="V39" s="298"/>
      <c r="W39" s="340">
        <v>3659</v>
      </c>
      <c r="X39" s="340">
        <v>5942</v>
      </c>
      <c r="Y39" s="340">
        <v>7304</v>
      </c>
      <c r="Z39" s="340">
        <v>7304</v>
      </c>
    </row>
    <row r="40" spans="1:31" ht="30.75" customHeight="1">
      <c r="A40" s="80">
        <v>4</v>
      </c>
      <c r="B40" s="473" t="s">
        <v>466</v>
      </c>
      <c r="C40" s="473"/>
      <c r="D40" s="473"/>
      <c r="E40" s="473"/>
      <c r="F40" s="473"/>
      <c r="G40" s="327"/>
      <c r="H40" s="327"/>
      <c r="I40" s="327"/>
      <c r="J40" s="327"/>
      <c r="K40" s="300">
        <v>2500</v>
      </c>
      <c r="L40" s="300">
        <v>3500</v>
      </c>
      <c r="M40" s="300">
        <v>5000</v>
      </c>
      <c r="N40" s="300">
        <v>5000</v>
      </c>
      <c r="O40" s="327"/>
      <c r="P40" s="327"/>
      <c r="Q40" s="327"/>
      <c r="R40" s="327"/>
      <c r="S40" s="327"/>
      <c r="T40" s="327"/>
      <c r="U40" s="327"/>
      <c r="V40" s="327"/>
      <c r="W40" s="328">
        <f t="shared" ref="W40" si="3">SUM(G40,K40,O40,S40)</f>
        <v>2500</v>
      </c>
      <c r="X40" s="328">
        <f t="shared" ref="X40" si="4">SUM(H40,L40,P40,T40)</f>
        <v>3500</v>
      </c>
      <c r="Y40" s="328">
        <f t="shared" ref="Y40" si="5">SUM(I40,M40,Q40,U40)</f>
        <v>5000</v>
      </c>
      <c r="Z40" s="328">
        <f t="shared" ref="Z40" si="6">SUM(J40,N40,R40,V40)</f>
        <v>5000</v>
      </c>
    </row>
    <row r="41" spans="1:31" ht="43.5" customHeight="1">
      <c r="A41" s="299" t="s">
        <v>583</v>
      </c>
      <c r="B41" s="514" t="str">
        <f>'ІІІ. Рух грош. коштів'!A44</f>
        <v>Виконання робіт з капітального ремонту нежитлового примішення,</v>
      </c>
      <c r="C41" s="515"/>
      <c r="D41" s="515"/>
      <c r="E41" s="515"/>
      <c r="F41" s="516"/>
      <c r="G41" s="327"/>
      <c r="H41" s="327"/>
      <c r="I41" s="327"/>
      <c r="J41" s="327"/>
      <c r="K41" s="300">
        <v>2500</v>
      </c>
      <c r="L41" s="300">
        <v>3500</v>
      </c>
      <c r="M41" s="300">
        <v>5000</v>
      </c>
      <c r="N41" s="300">
        <v>5000</v>
      </c>
      <c r="O41" s="327"/>
      <c r="P41" s="327"/>
      <c r="Q41" s="327"/>
      <c r="R41" s="327"/>
      <c r="S41" s="327"/>
      <c r="T41" s="327"/>
      <c r="U41" s="327"/>
      <c r="V41" s="327"/>
      <c r="W41" s="328">
        <f t="shared" si="0"/>
        <v>2500</v>
      </c>
      <c r="X41" s="328">
        <f t="shared" si="0"/>
        <v>3500</v>
      </c>
      <c r="Y41" s="328">
        <f t="shared" si="0"/>
        <v>5000</v>
      </c>
      <c r="Z41" s="328">
        <f t="shared" si="0"/>
        <v>5000</v>
      </c>
    </row>
    <row r="42" spans="1:31" ht="20.100000000000001" customHeight="1">
      <c r="A42" s="511" t="s">
        <v>59</v>
      </c>
      <c r="B42" s="512"/>
      <c r="C42" s="512"/>
      <c r="D42" s="512"/>
      <c r="E42" s="512"/>
      <c r="F42" s="513"/>
      <c r="G42" s="328">
        <f t="shared" ref="G42:Z42" si="7">SUM(G32:G41)</f>
        <v>0</v>
      </c>
      <c r="H42" s="328">
        <f t="shared" si="7"/>
        <v>0</v>
      </c>
      <c r="I42" s="328">
        <f t="shared" si="7"/>
        <v>0</v>
      </c>
      <c r="J42" s="328">
        <f t="shared" si="7"/>
        <v>0</v>
      </c>
      <c r="K42" s="341">
        <f>K33+K37+K40</f>
        <v>16383</v>
      </c>
      <c r="L42" s="341">
        <f t="shared" ref="L42:N42" si="8">L33+L37+L40</f>
        <v>29890</v>
      </c>
      <c r="M42" s="341">
        <f t="shared" si="8"/>
        <v>43391</v>
      </c>
      <c r="N42" s="341">
        <f t="shared" si="8"/>
        <v>45384</v>
      </c>
      <c r="O42" s="328">
        <f t="shared" si="7"/>
        <v>0</v>
      </c>
      <c r="P42" s="328">
        <f t="shared" si="7"/>
        <v>0</v>
      </c>
      <c r="Q42" s="328">
        <f t="shared" si="7"/>
        <v>0</v>
      </c>
      <c r="R42" s="328">
        <f t="shared" si="7"/>
        <v>0</v>
      </c>
      <c r="S42" s="328">
        <f t="shared" si="7"/>
        <v>0</v>
      </c>
      <c r="T42" s="328">
        <f t="shared" si="7"/>
        <v>0</v>
      </c>
      <c r="U42" s="328">
        <f t="shared" si="7"/>
        <v>0</v>
      </c>
      <c r="V42" s="328">
        <f t="shared" si="7"/>
        <v>0</v>
      </c>
      <c r="W42" s="328">
        <f t="shared" si="7"/>
        <v>42766</v>
      </c>
      <c r="X42" s="328">
        <f t="shared" si="7"/>
        <v>69780</v>
      </c>
      <c r="Y42" s="328">
        <f t="shared" si="7"/>
        <v>96782</v>
      </c>
      <c r="Z42" s="328">
        <f t="shared" si="7"/>
        <v>100768</v>
      </c>
    </row>
    <row r="43" spans="1:31" ht="20.100000000000001" customHeight="1">
      <c r="A43" s="508" t="s">
        <v>60</v>
      </c>
      <c r="B43" s="509"/>
      <c r="C43" s="509"/>
      <c r="D43" s="509"/>
      <c r="E43" s="509"/>
      <c r="F43" s="510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</row>
    <row r="44" spans="1:31" ht="20.100000000000001" customHeight="1">
      <c r="A44" s="49"/>
      <c r="B44" s="4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49"/>
      <c r="T44" s="49"/>
      <c r="U44" s="49"/>
      <c r="V44" s="49"/>
      <c r="W44" s="79"/>
      <c r="X44" s="49"/>
      <c r="Y44" s="49"/>
      <c r="Z44" s="49"/>
      <c r="AA44" s="49"/>
    </row>
    <row r="45" spans="1:31" ht="20.100000000000001" customHeight="1">
      <c r="A45" s="13"/>
      <c r="B45" s="1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1" s="37" customFormat="1" ht="20.100000000000001" customHeight="1">
      <c r="B46" s="37" t="s">
        <v>257</v>
      </c>
    </row>
    <row r="47" spans="1:31" s="64" customFormat="1" ht="20.100000000000001" customHeight="1">
      <c r="A47" s="1"/>
      <c r="B47" s="1"/>
      <c r="C47" s="1"/>
      <c r="D47" s="1"/>
      <c r="E47" s="1"/>
      <c r="F47" s="1"/>
      <c r="G47" s="1"/>
      <c r="H47" s="1"/>
      <c r="I47" s="1"/>
      <c r="K47" s="1"/>
      <c r="AD47" s="63" t="s">
        <v>252</v>
      </c>
    </row>
    <row r="48" spans="1:31" s="65" customFormat="1" ht="34.5" customHeight="1">
      <c r="A48" s="410" t="s">
        <v>225</v>
      </c>
      <c r="B48" s="413" t="s">
        <v>304</v>
      </c>
      <c r="C48" s="413" t="s">
        <v>335</v>
      </c>
      <c r="D48" s="413"/>
      <c r="E48" s="413" t="s">
        <v>226</v>
      </c>
      <c r="F48" s="413"/>
      <c r="G48" s="413" t="s">
        <v>227</v>
      </c>
      <c r="H48" s="413"/>
      <c r="I48" s="413" t="s">
        <v>295</v>
      </c>
      <c r="J48" s="413"/>
      <c r="K48" s="413" t="s">
        <v>150</v>
      </c>
      <c r="L48" s="413"/>
      <c r="M48" s="413"/>
      <c r="N48" s="413"/>
      <c r="O48" s="413"/>
      <c r="P48" s="413"/>
      <c r="Q48" s="413"/>
      <c r="R48" s="413"/>
      <c r="S48" s="413"/>
      <c r="T48" s="413"/>
      <c r="U48" s="413" t="s">
        <v>336</v>
      </c>
      <c r="V48" s="413"/>
      <c r="W48" s="413"/>
      <c r="X48" s="413"/>
      <c r="Y48" s="413"/>
      <c r="Z48" s="413" t="s">
        <v>299</v>
      </c>
      <c r="AA48" s="413"/>
      <c r="AB48" s="413"/>
      <c r="AC48" s="413"/>
      <c r="AD48" s="413"/>
      <c r="AE48" s="413"/>
    </row>
    <row r="49" spans="1:31" s="65" customFormat="1" ht="52.5" customHeight="1">
      <c r="A49" s="410"/>
      <c r="B49" s="413"/>
      <c r="C49" s="413"/>
      <c r="D49" s="413"/>
      <c r="E49" s="413"/>
      <c r="F49" s="413"/>
      <c r="G49" s="413"/>
      <c r="H49" s="413"/>
      <c r="I49" s="413"/>
      <c r="J49" s="413"/>
      <c r="K49" s="413" t="s">
        <v>348</v>
      </c>
      <c r="L49" s="413"/>
      <c r="M49" s="413" t="s">
        <v>349</v>
      </c>
      <c r="N49" s="413"/>
      <c r="O49" s="413" t="s">
        <v>334</v>
      </c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</row>
    <row r="50" spans="1:31" s="66" customFormat="1" ht="82.5" customHeight="1">
      <c r="A50" s="410"/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 t="s">
        <v>296</v>
      </c>
      <c r="P50" s="413"/>
      <c r="Q50" s="413" t="s">
        <v>297</v>
      </c>
      <c r="R50" s="413"/>
      <c r="S50" s="413" t="s">
        <v>298</v>
      </c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</row>
    <row r="51" spans="1:31" s="65" customFormat="1" ht="18" customHeight="1">
      <c r="A51" s="319">
        <v>1</v>
      </c>
      <c r="B51" s="320">
        <v>2</v>
      </c>
      <c r="C51" s="413">
        <v>3</v>
      </c>
      <c r="D51" s="413"/>
      <c r="E51" s="413">
        <v>4</v>
      </c>
      <c r="F51" s="413"/>
      <c r="G51" s="413">
        <v>5</v>
      </c>
      <c r="H51" s="413"/>
      <c r="I51" s="413">
        <v>6</v>
      </c>
      <c r="J51" s="413"/>
      <c r="K51" s="451">
        <v>7</v>
      </c>
      <c r="L51" s="452"/>
      <c r="M51" s="451">
        <v>8</v>
      </c>
      <c r="N51" s="452"/>
      <c r="O51" s="413">
        <v>9</v>
      </c>
      <c r="P51" s="413"/>
      <c r="Q51" s="410">
        <v>10</v>
      </c>
      <c r="R51" s="410"/>
      <c r="S51" s="413">
        <v>11</v>
      </c>
      <c r="T51" s="413"/>
      <c r="U51" s="413">
        <v>12</v>
      </c>
      <c r="V51" s="413"/>
      <c r="W51" s="413"/>
      <c r="X51" s="413"/>
      <c r="Y51" s="413"/>
      <c r="Z51" s="413">
        <v>13</v>
      </c>
      <c r="AA51" s="413"/>
      <c r="AB51" s="413"/>
      <c r="AC51" s="413"/>
      <c r="AD51" s="413"/>
      <c r="AE51" s="413"/>
    </row>
    <row r="52" spans="1:31" s="65" customFormat="1" ht="20.100000000000001" customHeight="1">
      <c r="A52" s="330"/>
      <c r="B52" s="184"/>
      <c r="C52" s="472"/>
      <c r="D52" s="472"/>
      <c r="E52" s="442"/>
      <c r="F52" s="442"/>
      <c r="G52" s="442"/>
      <c r="H52" s="442"/>
      <c r="I52" s="442"/>
      <c r="J52" s="442"/>
      <c r="K52" s="443"/>
      <c r="L52" s="444"/>
      <c r="M52" s="445">
        <f t="shared" ref="M52:M58" si="9">SUM(O52,Q52,S52)</f>
        <v>0</v>
      </c>
      <c r="N52" s="446"/>
      <c r="O52" s="442"/>
      <c r="P52" s="442"/>
      <c r="Q52" s="442"/>
      <c r="R52" s="442"/>
      <c r="S52" s="442"/>
      <c r="T52" s="442"/>
      <c r="U52" s="461"/>
      <c r="V52" s="461"/>
      <c r="W52" s="461"/>
      <c r="X52" s="461"/>
      <c r="Y52" s="461"/>
      <c r="Z52" s="473"/>
      <c r="AA52" s="473"/>
      <c r="AB52" s="473"/>
      <c r="AC52" s="473"/>
      <c r="AD52" s="473"/>
      <c r="AE52" s="473"/>
    </row>
    <row r="53" spans="1:31" s="65" customFormat="1" ht="20.100000000000001" customHeight="1">
      <c r="A53" s="330"/>
      <c r="B53" s="184"/>
      <c r="C53" s="472"/>
      <c r="D53" s="472"/>
      <c r="E53" s="442"/>
      <c r="F53" s="442"/>
      <c r="G53" s="442"/>
      <c r="H53" s="442"/>
      <c r="I53" s="442"/>
      <c r="J53" s="442"/>
      <c r="K53" s="443"/>
      <c r="L53" s="444"/>
      <c r="M53" s="445">
        <f t="shared" si="9"/>
        <v>0</v>
      </c>
      <c r="N53" s="446"/>
      <c r="O53" s="442"/>
      <c r="P53" s="442"/>
      <c r="Q53" s="442"/>
      <c r="R53" s="442"/>
      <c r="S53" s="442"/>
      <c r="T53" s="442"/>
      <c r="U53" s="461"/>
      <c r="V53" s="461"/>
      <c r="W53" s="461"/>
      <c r="X53" s="461"/>
      <c r="Y53" s="461"/>
      <c r="Z53" s="473"/>
      <c r="AA53" s="473"/>
      <c r="AB53" s="473"/>
      <c r="AC53" s="473"/>
      <c r="AD53" s="473"/>
      <c r="AE53" s="473"/>
    </row>
    <row r="54" spans="1:31" s="65" customFormat="1" ht="20.100000000000001" customHeight="1">
      <c r="A54" s="330"/>
      <c r="B54" s="184"/>
      <c r="C54" s="472"/>
      <c r="D54" s="472"/>
      <c r="E54" s="442"/>
      <c r="F54" s="442"/>
      <c r="G54" s="442"/>
      <c r="H54" s="442"/>
      <c r="I54" s="442"/>
      <c r="J54" s="442"/>
      <c r="K54" s="443"/>
      <c r="L54" s="444"/>
      <c r="M54" s="445">
        <f t="shared" si="9"/>
        <v>0</v>
      </c>
      <c r="N54" s="446"/>
      <c r="O54" s="442"/>
      <c r="P54" s="442"/>
      <c r="Q54" s="442"/>
      <c r="R54" s="442"/>
      <c r="S54" s="442"/>
      <c r="T54" s="442"/>
      <c r="U54" s="461"/>
      <c r="V54" s="461"/>
      <c r="W54" s="461"/>
      <c r="X54" s="461"/>
      <c r="Y54" s="461"/>
      <c r="Z54" s="473"/>
      <c r="AA54" s="473"/>
      <c r="AB54" s="473"/>
      <c r="AC54" s="473"/>
      <c r="AD54" s="473"/>
      <c r="AE54" s="473"/>
    </row>
    <row r="55" spans="1:31" s="65" customFormat="1" ht="20.100000000000001" customHeight="1">
      <c r="A55" s="330"/>
      <c r="B55" s="184"/>
      <c r="C55" s="472"/>
      <c r="D55" s="472"/>
      <c r="E55" s="442"/>
      <c r="F55" s="442"/>
      <c r="G55" s="442"/>
      <c r="H55" s="442"/>
      <c r="I55" s="442"/>
      <c r="J55" s="442"/>
      <c r="K55" s="443"/>
      <c r="L55" s="444"/>
      <c r="M55" s="445">
        <f>SUM(O55,Q55,S55)</f>
        <v>0</v>
      </c>
      <c r="N55" s="446"/>
      <c r="O55" s="442"/>
      <c r="P55" s="442"/>
      <c r="Q55" s="442"/>
      <c r="R55" s="442"/>
      <c r="S55" s="442"/>
      <c r="T55" s="442"/>
      <c r="U55" s="461"/>
      <c r="V55" s="461"/>
      <c r="W55" s="461"/>
      <c r="X55" s="461"/>
      <c r="Y55" s="461"/>
      <c r="Z55" s="473"/>
      <c r="AA55" s="473"/>
      <c r="AB55" s="473"/>
      <c r="AC55" s="473"/>
      <c r="AD55" s="473"/>
      <c r="AE55" s="473"/>
    </row>
    <row r="56" spans="1:31" s="65" customFormat="1" ht="20.100000000000001" customHeight="1">
      <c r="A56" s="330"/>
      <c r="B56" s="184"/>
      <c r="C56" s="472"/>
      <c r="D56" s="472"/>
      <c r="E56" s="442"/>
      <c r="F56" s="442"/>
      <c r="G56" s="442"/>
      <c r="H56" s="442"/>
      <c r="I56" s="442"/>
      <c r="J56" s="442"/>
      <c r="K56" s="443"/>
      <c r="L56" s="444"/>
      <c r="M56" s="445">
        <f t="shared" si="9"/>
        <v>0</v>
      </c>
      <c r="N56" s="446"/>
      <c r="O56" s="442"/>
      <c r="P56" s="442"/>
      <c r="Q56" s="442"/>
      <c r="R56" s="442"/>
      <c r="S56" s="442"/>
      <c r="T56" s="442"/>
      <c r="U56" s="461"/>
      <c r="V56" s="461"/>
      <c r="W56" s="461"/>
      <c r="X56" s="461"/>
      <c r="Y56" s="461"/>
      <c r="Z56" s="473"/>
      <c r="AA56" s="473"/>
      <c r="AB56" s="473"/>
      <c r="AC56" s="473"/>
      <c r="AD56" s="473"/>
      <c r="AE56" s="473"/>
    </row>
    <row r="57" spans="1:31" s="65" customFormat="1" ht="20.100000000000001" customHeight="1">
      <c r="A57" s="330"/>
      <c r="B57" s="184"/>
      <c r="C57" s="472"/>
      <c r="D57" s="472"/>
      <c r="E57" s="442"/>
      <c r="F57" s="442"/>
      <c r="G57" s="442"/>
      <c r="H57" s="442"/>
      <c r="I57" s="442"/>
      <c r="J57" s="442"/>
      <c r="K57" s="443"/>
      <c r="L57" s="444"/>
      <c r="M57" s="445">
        <f t="shared" si="9"/>
        <v>0</v>
      </c>
      <c r="N57" s="446"/>
      <c r="O57" s="442"/>
      <c r="P57" s="442"/>
      <c r="Q57" s="442"/>
      <c r="R57" s="442"/>
      <c r="S57" s="442"/>
      <c r="T57" s="442"/>
      <c r="U57" s="461"/>
      <c r="V57" s="461"/>
      <c r="W57" s="461"/>
      <c r="X57" s="461"/>
      <c r="Y57" s="461"/>
      <c r="Z57" s="473"/>
      <c r="AA57" s="473"/>
      <c r="AB57" s="473"/>
      <c r="AC57" s="473"/>
      <c r="AD57" s="473"/>
      <c r="AE57" s="473"/>
    </row>
    <row r="58" spans="1:31" s="65" customFormat="1" ht="20.100000000000001" customHeight="1">
      <c r="A58" s="330"/>
      <c r="B58" s="184"/>
      <c r="C58" s="472"/>
      <c r="D58" s="472"/>
      <c r="E58" s="442"/>
      <c r="F58" s="442"/>
      <c r="G58" s="442"/>
      <c r="H58" s="442"/>
      <c r="I58" s="442"/>
      <c r="J58" s="442"/>
      <c r="K58" s="443"/>
      <c r="L58" s="444"/>
      <c r="M58" s="445">
        <f t="shared" si="9"/>
        <v>0</v>
      </c>
      <c r="N58" s="446"/>
      <c r="O58" s="442"/>
      <c r="P58" s="442"/>
      <c r="Q58" s="442"/>
      <c r="R58" s="442"/>
      <c r="S58" s="442"/>
      <c r="T58" s="442"/>
      <c r="U58" s="461"/>
      <c r="V58" s="461"/>
      <c r="W58" s="461"/>
      <c r="X58" s="461"/>
      <c r="Y58" s="461"/>
      <c r="Z58" s="473"/>
      <c r="AA58" s="473"/>
      <c r="AB58" s="473"/>
      <c r="AC58" s="473"/>
      <c r="AD58" s="473"/>
      <c r="AE58" s="473"/>
    </row>
    <row r="59" spans="1:31" s="65" customFormat="1" ht="20.100000000000001" customHeight="1">
      <c r="A59" s="508" t="s">
        <v>59</v>
      </c>
      <c r="B59" s="509"/>
      <c r="C59" s="509"/>
      <c r="D59" s="510"/>
      <c r="E59" s="447">
        <f>SUM(E52:F58)</f>
        <v>0</v>
      </c>
      <c r="F59" s="447"/>
      <c r="G59" s="447">
        <f>SUM(G52:H58)</f>
        <v>0</v>
      </c>
      <c r="H59" s="447"/>
      <c r="I59" s="447">
        <f>SUM(I52:J58)</f>
        <v>0</v>
      </c>
      <c r="J59" s="447"/>
      <c r="K59" s="447">
        <f>SUM(K52:L58)</f>
        <v>0</v>
      </c>
      <c r="L59" s="447"/>
      <c r="M59" s="447">
        <f>SUM(M52:N58)</f>
        <v>0</v>
      </c>
      <c r="N59" s="447"/>
      <c r="O59" s="447">
        <f>SUM(O52:P58)</f>
        <v>0</v>
      </c>
      <c r="P59" s="447"/>
      <c r="Q59" s="447">
        <f>SUM(Q52:R58)</f>
        <v>0</v>
      </c>
      <c r="R59" s="447"/>
      <c r="S59" s="447">
        <f>SUM(S52:T58)</f>
        <v>0</v>
      </c>
      <c r="T59" s="447"/>
      <c r="U59" s="520"/>
      <c r="V59" s="520"/>
      <c r="W59" s="520"/>
      <c r="X59" s="520"/>
      <c r="Y59" s="520"/>
      <c r="Z59" s="521"/>
      <c r="AA59" s="521"/>
      <c r="AB59" s="521"/>
      <c r="AC59" s="521"/>
      <c r="AD59" s="521"/>
      <c r="AE59" s="521"/>
    </row>
    <row r="60" spans="1:31" ht="20.100000000000001" customHeight="1">
      <c r="A60" s="13"/>
      <c r="B60" s="13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31" ht="20.100000000000001" customHeight="1">
      <c r="A61" s="13"/>
      <c r="B61" s="13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31" s="331" customFormat="1" ht="20.100000000000001" customHeight="1">
      <c r="C62" s="37"/>
      <c r="D62" s="37"/>
      <c r="E62" s="37"/>
      <c r="F62" s="37"/>
      <c r="G62" s="37"/>
      <c r="H62" s="37"/>
      <c r="I62" s="37"/>
      <c r="J62" s="37"/>
      <c r="K62" s="37"/>
    </row>
    <row r="63" spans="1:31" s="32" customFormat="1" ht="20.100000000000001" customHeight="1">
      <c r="B63" s="462" t="s">
        <v>594</v>
      </c>
      <c r="C63" s="522"/>
      <c r="D63" s="522"/>
      <c r="E63" s="522"/>
      <c r="F63" s="522"/>
      <c r="G63" s="329"/>
      <c r="H63" s="329"/>
      <c r="I63" s="329"/>
      <c r="J63" s="329"/>
      <c r="K63" s="329"/>
      <c r="L63" s="523" t="s">
        <v>261</v>
      </c>
      <c r="M63" s="523"/>
      <c r="N63" s="523"/>
      <c r="O63" s="523"/>
      <c r="P63" s="523"/>
      <c r="Q63" s="62"/>
      <c r="R63" s="62"/>
      <c r="S63" s="62"/>
      <c r="T63" s="62"/>
      <c r="U63" s="62"/>
      <c r="V63" s="485" t="s">
        <v>461</v>
      </c>
      <c r="W63" s="524"/>
      <c r="X63" s="524"/>
      <c r="Y63" s="524"/>
      <c r="Z63" s="524"/>
    </row>
    <row r="64" spans="1:31" s="331" customFormat="1" ht="19.5" customHeight="1">
      <c r="B64" s="3"/>
      <c r="C64" s="331" t="s">
        <v>82</v>
      </c>
      <c r="E64" s="40"/>
      <c r="F64" s="40"/>
      <c r="G64" s="40"/>
      <c r="H64" s="40"/>
      <c r="I64" s="40"/>
      <c r="J64" s="40"/>
      <c r="K64" s="40"/>
      <c r="M64" s="3"/>
      <c r="N64" s="22" t="s">
        <v>83</v>
      </c>
      <c r="O64" s="3"/>
      <c r="Q64" s="40"/>
      <c r="R64" s="40"/>
      <c r="S64" s="40"/>
      <c r="V64" s="519" t="s">
        <v>142</v>
      </c>
      <c r="W64" s="519"/>
      <c r="X64" s="519"/>
      <c r="Y64" s="519"/>
      <c r="Z64" s="519"/>
    </row>
    <row r="65" spans="2:21" ht="20.100000000000001" customHeight="1">
      <c r="B65" s="34"/>
      <c r="C65" s="34"/>
      <c r="D65" s="34"/>
      <c r="E65" s="34"/>
      <c r="F65" s="34"/>
      <c r="G65" s="3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34"/>
      <c r="U65" s="34"/>
    </row>
    <row r="66" spans="2:21" ht="20.100000000000001" customHeight="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2:2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2:21">
      <c r="B68" s="35"/>
    </row>
    <row r="71" spans="2:21" ht="19.5">
      <c r="B71" s="36"/>
    </row>
    <row r="72" spans="2:21" ht="19.5">
      <c r="B72" s="36"/>
    </row>
    <row r="73" spans="2:21" ht="19.5">
      <c r="B73" s="36"/>
    </row>
    <row r="74" spans="2:21" ht="19.5">
      <c r="B74" s="36"/>
    </row>
    <row r="75" spans="2:21" ht="19.5">
      <c r="B75" s="36"/>
    </row>
    <row r="76" spans="2:21" ht="19.5">
      <c r="B76" s="36"/>
    </row>
    <row r="77" spans="2:21" ht="19.5">
      <c r="B77" s="36"/>
    </row>
  </sheetData>
  <mergeCells count="260">
    <mergeCell ref="B63:F63"/>
    <mergeCell ref="L63:P63"/>
    <mergeCell ref="V63:Z63"/>
    <mergeCell ref="K29:N29"/>
    <mergeCell ref="A59:D59"/>
    <mergeCell ref="C58:D58"/>
    <mergeCell ref="E58:F58"/>
    <mergeCell ref="Z58:AE58"/>
    <mergeCell ref="Q59:R59"/>
    <mergeCell ref="K59:L59"/>
    <mergeCell ref="C54:D54"/>
    <mergeCell ref="C53:D53"/>
    <mergeCell ref="E52:F52"/>
    <mergeCell ref="G51:H51"/>
    <mergeCell ref="I53:J53"/>
    <mergeCell ref="G52:H52"/>
    <mergeCell ref="I52:J52"/>
    <mergeCell ref="I51:J51"/>
    <mergeCell ref="C56:D56"/>
    <mergeCell ref="E59:F59"/>
    <mergeCell ref="G59:H59"/>
    <mergeCell ref="I58:J58"/>
    <mergeCell ref="E57:F57"/>
    <mergeCell ref="C57:D57"/>
    <mergeCell ref="V64:Z64"/>
    <mergeCell ref="U59:Y59"/>
    <mergeCell ref="S29:V29"/>
    <mergeCell ref="W28:Z28"/>
    <mergeCell ref="O29:R29"/>
    <mergeCell ref="S58:T58"/>
    <mergeCell ref="Z59:AE59"/>
    <mergeCell ref="M58:N58"/>
    <mergeCell ref="S59:T59"/>
    <mergeCell ref="U58:Y58"/>
    <mergeCell ref="Q55:R55"/>
    <mergeCell ref="S51:T51"/>
    <mergeCell ref="M57:N57"/>
    <mergeCell ref="O57:P57"/>
    <mergeCell ref="Q57:R57"/>
    <mergeCell ref="M56:N56"/>
    <mergeCell ref="M59:N59"/>
    <mergeCell ref="O50:P50"/>
    <mergeCell ref="Q50:R50"/>
    <mergeCell ref="U48:Y50"/>
    <mergeCell ref="K48:T48"/>
    <mergeCell ref="W29:Z29"/>
    <mergeCell ref="S28:V28"/>
    <mergeCell ref="K49:L50"/>
    <mergeCell ref="AB1:AE1"/>
    <mergeCell ref="Q58:R58"/>
    <mergeCell ref="S54:T54"/>
    <mergeCell ref="U54:Y54"/>
    <mergeCell ref="S56:T56"/>
    <mergeCell ref="U56:Y56"/>
    <mergeCell ref="S52:T52"/>
    <mergeCell ref="A23:U23"/>
    <mergeCell ref="K51:L51"/>
    <mergeCell ref="K52:L52"/>
    <mergeCell ref="Z55:AE55"/>
    <mergeCell ref="S55:T55"/>
    <mergeCell ref="U55:Y55"/>
    <mergeCell ref="Q53:R53"/>
    <mergeCell ref="Q52:R52"/>
    <mergeCell ref="O52:P52"/>
    <mergeCell ref="O49:T49"/>
    <mergeCell ref="M53:N53"/>
    <mergeCell ref="M52:N52"/>
    <mergeCell ref="M49:N50"/>
    <mergeCell ref="S50:T50"/>
    <mergeCell ref="M51:N51"/>
    <mergeCell ref="O53:P53"/>
    <mergeCell ref="O51:P51"/>
    <mergeCell ref="A42:F42"/>
    <mergeCell ref="A28:A30"/>
    <mergeCell ref="B31:F31"/>
    <mergeCell ref="A48:A50"/>
    <mergeCell ref="B48:B50"/>
    <mergeCell ref="C48:D50"/>
    <mergeCell ref="E48:F50"/>
    <mergeCell ref="I48:J50"/>
    <mergeCell ref="G48:H50"/>
    <mergeCell ref="B41:F41"/>
    <mergeCell ref="B33:F33"/>
    <mergeCell ref="B37:F37"/>
    <mergeCell ref="B34:F34"/>
    <mergeCell ref="B35:F35"/>
    <mergeCell ref="B36:F36"/>
    <mergeCell ref="B38:F38"/>
    <mergeCell ref="B39:F39"/>
    <mergeCell ref="B40:F40"/>
    <mergeCell ref="Z48:AE50"/>
    <mergeCell ref="A43:F43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32:F32"/>
    <mergeCell ref="B28:F30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Q4:AE4"/>
    <mergeCell ref="T5:V5"/>
    <mergeCell ref="W5:Y5"/>
    <mergeCell ref="Z5:AB5"/>
    <mergeCell ref="Q5:S5"/>
    <mergeCell ref="AC5:AE5"/>
    <mergeCell ref="Q6:S6"/>
    <mergeCell ref="I54:J54"/>
    <mergeCell ref="G53:H53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54:P54"/>
    <mergeCell ref="Q7:S7"/>
    <mergeCell ref="Q15:U17"/>
    <mergeCell ref="Q8:S8"/>
    <mergeCell ref="T10:V10"/>
    <mergeCell ref="G29:J29"/>
    <mergeCell ref="Z53:AE53"/>
    <mergeCell ref="U51:Y51"/>
    <mergeCell ref="U52:Y52"/>
    <mergeCell ref="U53:Y53"/>
    <mergeCell ref="E56:F56"/>
    <mergeCell ref="G56:H56"/>
    <mergeCell ref="I56:J56"/>
    <mergeCell ref="Q56:R56"/>
    <mergeCell ref="E54:F54"/>
    <mergeCell ref="G54:H54"/>
    <mergeCell ref="Z51:AE51"/>
    <mergeCell ref="Z52:AE52"/>
    <mergeCell ref="Q51:R51"/>
    <mergeCell ref="S53:T53"/>
    <mergeCell ref="K53:L53"/>
    <mergeCell ref="K56:L56"/>
    <mergeCell ref="K58:L58"/>
    <mergeCell ref="O59:P59"/>
    <mergeCell ref="I59:J59"/>
    <mergeCell ref="O58:P58"/>
    <mergeCell ref="Z54:AE54"/>
    <mergeCell ref="I57:J57"/>
    <mergeCell ref="K55:L55"/>
    <mergeCell ref="K54:L54"/>
    <mergeCell ref="O56:P56"/>
    <mergeCell ref="Q54:R54"/>
    <mergeCell ref="Z57:AE57"/>
    <mergeCell ref="S57:T57"/>
    <mergeCell ref="U57:Y57"/>
    <mergeCell ref="Z56:AE56"/>
    <mergeCell ref="I55:J55"/>
    <mergeCell ref="M55:N55"/>
    <mergeCell ref="O55:P55"/>
    <mergeCell ref="M54:N54"/>
    <mergeCell ref="K57:L57"/>
    <mergeCell ref="C55:D55"/>
    <mergeCell ref="E55:F55"/>
    <mergeCell ref="E53:F53"/>
    <mergeCell ref="C51:D51"/>
    <mergeCell ref="E51:F51"/>
    <mergeCell ref="C52:D52"/>
    <mergeCell ref="G58:H58"/>
    <mergeCell ref="G55:H55"/>
    <mergeCell ref="G57:H5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28" orientation="landscape" horizontalDpi="4294967293" verticalDpi="1200" r:id="rId1"/>
  <headerFooter alignWithMargins="0"/>
  <rowBreaks count="1" manualBreakCount="1">
    <brk id="23" max="3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45"/>
  <sheetViews>
    <sheetView topLeftCell="A34" workbookViewId="0">
      <selection activeCell="A45" sqref="A45"/>
    </sheetView>
  </sheetViews>
  <sheetFormatPr defaultRowHeight="12.75"/>
  <cols>
    <col min="1" max="1" width="129.85546875" customWidth="1"/>
  </cols>
  <sheetData>
    <row r="1" spans="1:1" ht="18.75">
      <c r="A1" s="216" t="s">
        <v>487</v>
      </c>
    </row>
    <row r="2" spans="1:1" ht="18.75">
      <c r="A2" s="216" t="s">
        <v>488</v>
      </c>
    </row>
    <row r="3" spans="1:1" ht="18.75">
      <c r="A3" s="216" t="s">
        <v>489</v>
      </c>
    </row>
    <row r="4" spans="1:1" ht="18.75">
      <c r="A4" s="216" t="s">
        <v>490</v>
      </c>
    </row>
    <row r="5" spans="1:1" ht="18.75">
      <c r="A5" s="216" t="s">
        <v>491</v>
      </c>
    </row>
    <row r="6" spans="1:1" ht="18.75">
      <c r="A6" s="216"/>
    </row>
    <row r="7" spans="1:1" ht="18.75">
      <c r="A7" s="213" t="s">
        <v>492</v>
      </c>
    </row>
    <row r="8" spans="1:1" ht="67.5" customHeight="1">
      <c r="A8" s="212" t="s">
        <v>493</v>
      </c>
    </row>
    <row r="9" spans="1:1" ht="27.75" customHeight="1">
      <c r="A9" s="212" t="s">
        <v>589</v>
      </c>
    </row>
    <row r="10" spans="1:1" ht="45" customHeight="1">
      <c r="A10" s="212" t="s">
        <v>508</v>
      </c>
    </row>
    <row r="11" spans="1:1" ht="39">
      <c r="A11" s="210" t="s">
        <v>498</v>
      </c>
    </row>
    <row r="12" spans="1:1" ht="18.75">
      <c r="A12" s="213" t="s">
        <v>494</v>
      </c>
    </row>
    <row r="13" spans="1:1" ht="15.75">
      <c r="A13" s="211"/>
    </row>
    <row r="14" spans="1:1" ht="40.5" customHeight="1">
      <c r="A14" s="525" t="s">
        <v>495</v>
      </c>
    </row>
    <row r="15" spans="1:1">
      <c r="A15" s="525"/>
    </row>
    <row r="16" spans="1:1" ht="40.5" customHeight="1">
      <c r="A16" s="526" t="s">
        <v>496</v>
      </c>
    </row>
    <row r="17" spans="1:1">
      <c r="A17" s="526"/>
    </row>
    <row r="18" spans="1:1" ht="69" customHeight="1">
      <c r="A18" s="210" t="s">
        <v>509</v>
      </c>
    </row>
    <row r="19" spans="1:1" ht="24" customHeight="1">
      <c r="A19" s="210" t="s">
        <v>497</v>
      </c>
    </row>
    <row r="20" spans="1:1" ht="24" customHeight="1">
      <c r="A20" s="210" t="s">
        <v>502</v>
      </c>
    </row>
    <row r="21" spans="1:1" ht="24" customHeight="1">
      <c r="A21" s="210" t="s">
        <v>585</v>
      </c>
    </row>
    <row r="22" spans="1:1" ht="24" customHeight="1">
      <c r="A22" s="210" t="s">
        <v>503</v>
      </c>
    </row>
    <row r="23" spans="1:1" ht="24" customHeight="1">
      <c r="A23" s="210" t="s">
        <v>499</v>
      </c>
    </row>
    <row r="24" spans="1:1" ht="24" customHeight="1">
      <c r="A24" s="214" t="s">
        <v>504</v>
      </c>
    </row>
    <row r="25" spans="1:1" ht="24" customHeight="1">
      <c r="A25" s="214" t="s">
        <v>505</v>
      </c>
    </row>
    <row r="26" spans="1:1" ht="24" customHeight="1">
      <c r="A26" s="221" t="s">
        <v>506</v>
      </c>
    </row>
    <row r="27" spans="1:1" ht="33.75" customHeight="1">
      <c r="A27" s="210" t="s">
        <v>507</v>
      </c>
    </row>
    <row r="28" spans="1:1" ht="33.75" customHeight="1">
      <c r="A28" s="212" t="s">
        <v>510</v>
      </c>
    </row>
    <row r="29" spans="1:1" ht="18.75">
      <c r="A29" s="215"/>
    </row>
    <row r="30" spans="1:1" ht="60.75" customHeight="1">
      <c r="A30" s="222" t="s">
        <v>584</v>
      </c>
    </row>
    <row r="31" spans="1:1" ht="41.25" customHeight="1">
      <c r="A31" s="212" t="s">
        <v>586</v>
      </c>
    </row>
    <row r="32" spans="1:1" ht="18.75">
      <c r="A32" s="210" t="s">
        <v>577</v>
      </c>
    </row>
    <row r="33" spans="1:1" ht="18.75">
      <c r="A33" s="210" t="s">
        <v>500</v>
      </c>
    </row>
    <row r="34" spans="1:1" ht="18.75">
      <c r="A34" s="210" t="s">
        <v>501</v>
      </c>
    </row>
    <row r="35" spans="1:1" ht="15.75">
      <c r="A35" s="211"/>
    </row>
    <row r="36" spans="1:1" ht="94.5" customHeight="1">
      <c r="A36" s="210" t="s">
        <v>588</v>
      </c>
    </row>
    <row r="37" spans="1:1" ht="58.5" customHeight="1">
      <c r="A37" s="217" t="s">
        <v>587</v>
      </c>
    </row>
    <row r="38" spans="1:1">
      <c r="A38" s="218"/>
    </row>
    <row r="39" spans="1:1">
      <c r="A39" s="218"/>
    </row>
    <row r="40" spans="1:1">
      <c r="A40" s="218"/>
    </row>
    <row r="41" spans="1:1">
      <c r="A41" s="218"/>
    </row>
    <row r="42" spans="1:1">
      <c r="A42" s="218"/>
    </row>
    <row r="43" spans="1:1">
      <c r="A43" s="218"/>
    </row>
    <row r="44" spans="1:1">
      <c r="A44" s="219"/>
    </row>
    <row r="45" spans="1:1" ht="18.75">
      <c r="A45" s="220" t="s">
        <v>511</v>
      </c>
    </row>
  </sheetData>
  <mergeCells count="2">
    <mergeCell ref="A14:A15"/>
    <mergeCell ref="A16:A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T67"/>
  <sheetViews>
    <sheetView topLeftCell="D37" workbookViewId="0">
      <selection activeCell="L44" sqref="L44"/>
    </sheetView>
  </sheetViews>
  <sheetFormatPr defaultRowHeight="12.75"/>
  <cols>
    <col min="2" max="2" width="46.5703125" customWidth="1"/>
    <col min="3" max="3" width="11.5703125" hidden="1" customWidth="1"/>
    <col min="4" max="4" width="10.85546875" customWidth="1"/>
    <col min="5" max="5" width="11.42578125" customWidth="1"/>
    <col min="12" max="12" width="10.85546875" customWidth="1"/>
    <col min="13" max="13" width="10.140625" bestFit="1" customWidth="1"/>
  </cols>
  <sheetData>
    <row r="1" spans="1:11" ht="18.75">
      <c r="A1" s="223"/>
      <c r="B1" s="224" t="s">
        <v>513</v>
      </c>
      <c r="C1" s="224"/>
      <c r="D1" s="225"/>
      <c r="E1" s="226"/>
      <c r="G1" s="224" t="s">
        <v>514</v>
      </c>
      <c r="H1" s="227"/>
      <c r="I1" s="227"/>
      <c r="J1" s="227"/>
      <c r="K1" s="227"/>
    </row>
    <row r="2" spans="1:11" ht="18.75">
      <c r="A2" s="228" t="s">
        <v>515</v>
      </c>
      <c r="D2" s="225"/>
      <c r="E2" s="226"/>
      <c r="G2" s="228" t="s">
        <v>515</v>
      </c>
      <c r="H2" s="227"/>
      <c r="I2" s="227"/>
      <c r="J2" s="227"/>
      <c r="K2" s="227"/>
    </row>
    <row r="3" spans="1:11" ht="18.75">
      <c r="A3" s="228" t="s">
        <v>516</v>
      </c>
      <c r="B3" s="225"/>
      <c r="C3" s="225"/>
      <c r="D3" s="225"/>
      <c r="E3" s="226"/>
      <c r="G3" s="228" t="s">
        <v>516</v>
      </c>
      <c r="H3" s="228"/>
      <c r="I3" s="228"/>
      <c r="J3" s="228"/>
      <c r="K3" s="228"/>
    </row>
    <row r="4" spans="1:11" ht="14.25">
      <c r="A4" s="566" t="s">
        <v>517</v>
      </c>
      <c r="B4" s="566"/>
      <c r="C4" s="566"/>
      <c r="D4" s="566"/>
      <c r="E4" s="226"/>
      <c r="G4" s="566" t="s">
        <v>517</v>
      </c>
      <c r="H4" s="566"/>
      <c r="I4" s="566"/>
      <c r="J4" s="566"/>
      <c r="K4" s="566"/>
    </row>
    <row r="5" spans="1:11" ht="14.25">
      <c r="A5" s="567" t="s">
        <v>518</v>
      </c>
      <c r="B5" s="567"/>
      <c r="C5" s="567"/>
      <c r="D5" s="567"/>
      <c r="E5" s="226"/>
      <c r="G5" s="567" t="s">
        <v>519</v>
      </c>
      <c r="H5" s="567"/>
      <c r="I5" s="567"/>
      <c r="J5" s="567"/>
      <c r="K5" s="567"/>
    </row>
    <row r="6" spans="1:11">
      <c r="A6" s="568" t="s">
        <v>82</v>
      </c>
      <c r="B6" s="568"/>
      <c r="C6" s="568"/>
      <c r="D6" s="568"/>
      <c r="E6" s="229"/>
      <c r="F6" s="230"/>
      <c r="G6" s="568" t="s">
        <v>82</v>
      </c>
      <c r="H6" s="568"/>
      <c r="I6" s="568"/>
      <c r="J6" s="568"/>
      <c r="K6" s="568"/>
    </row>
    <row r="7" spans="1:11" ht="14.25">
      <c r="A7" s="228" t="s">
        <v>520</v>
      </c>
      <c r="B7" s="231"/>
      <c r="C7" s="569" t="s">
        <v>521</v>
      </c>
      <c r="D7" s="569"/>
      <c r="E7" s="232"/>
      <c r="G7" s="228" t="s">
        <v>520</v>
      </c>
      <c r="H7" s="233"/>
      <c r="I7" s="234"/>
      <c r="J7" s="570" t="s">
        <v>468</v>
      </c>
      <c r="K7" s="570"/>
    </row>
    <row r="8" spans="1:11" ht="14.25">
      <c r="A8" s="235" t="s">
        <v>522</v>
      </c>
      <c r="B8" s="236"/>
      <c r="C8" s="236"/>
      <c r="D8" s="231"/>
      <c r="E8" s="226"/>
      <c r="G8" s="571" t="s">
        <v>522</v>
      </c>
      <c r="H8" s="571"/>
      <c r="I8" s="571"/>
      <c r="J8" s="571"/>
      <c r="K8" s="571"/>
    </row>
    <row r="9" spans="1:11" ht="14.25">
      <c r="A9" s="236"/>
      <c r="B9" s="236"/>
      <c r="C9" s="236"/>
      <c r="D9" s="231"/>
      <c r="E9" s="226"/>
      <c r="G9" s="228" t="s">
        <v>523</v>
      </c>
      <c r="H9" s="237"/>
      <c r="I9" s="227"/>
      <c r="J9" s="238"/>
      <c r="K9" s="239"/>
    </row>
    <row r="10" spans="1:11" ht="14.25">
      <c r="A10" s="228" t="s">
        <v>523</v>
      </c>
      <c r="B10" s="237"/>
      <c r="C10" s="237"/>
      <c r="D10" s="231"/>
      <c r="E10" s="226"/>
      <c r="G10" s="228" t="s">
        <v>557</v>
      </c>
      <c r="H10" s="227"/>
      <c r="I10" s="237"/>
      <c r="J10" s="227"/>
      <c r="K10" s="238"/>
    </row>
    <row r="11" spans="1:11" ht="14.25">
      <c r="A11" s="228" t="s">
        <v>558</v>
      </c>
      <c r="B11" s="227"/>
      <c r="C11" s="227"/>
      <c r="D11" s="231"/>
      <c r="E11" s="226"/>
      <c r="G11" s="226"/>
      <c r="H11" s="226"/>
      <c r="I11" s="240"/>
      <c r="J11" s="226"/>
      <c r="K11" s="241"/>
    </row>
    <row r="12" spans="1:11">
      <c r="A12" s="242"/>
      <c r="B12" s="231"/>
      <c r="C12" s="231"/>
      <c r="D12" s="231"/>
      <c r="E12" s="226"/>
      <c r="G12" s="226"/>
      <c r="H12" s="226"/>
      <c r="I12" s="240"/>
      <c r="J12" s="226"/>
      <c r="K12" s="243"/>
    </row>
    <row r="13" spans="1:11">
      <c r="A13" s="242"/>
      <c r="B13" s="231"/>
      <c r="C13" s="231"/>
      <c r="D13" s="231"/>
      <c r="E13" s="226"/>
      <c r="F13" s="226"/>
      <c r="G13" s="226"/>
      <c r="H13" s="226"/>
      <c r="I13" s="240"/>
      <c r="J13" s="226"/>
      <c r="K13" s="241"/>
    </row>
    <row r="14" spans="1:11">
      <c r="A14" s="242"/>
      <c r="B14" s="231"/>
      <c r="C14" s="231"/>
      <c r="D14" s="231"/>
      <c r="E14" s="226"/>
      <c r="F14" s="226"/>
      <c r="G14" s="226"/>
      <c r="H14" s="226"/>
      <c r="I14" s="240"/>
      <c r="J14" s="226"/>
      <c r="K14" s="241"/>
    </row>
    <row r="15" spans="1:11" ht="18.75">
      <c r="A15" s="572" t="s">
        <v>524</v>
      </c>
      <c r="B15" s="572"/>
      <c r="C15" s="572"/>
      <c r="D15" s="572"/>
      <c r="E15" s="572"/>
      <c r="F15" s="572"/>
      <c r="G15" s="572"/>
      <c r="H15" s="572"/>
      <c r="I15" s="572"/>
      <c r="J15" s="572"/>
      <c r="K15" s="572"/>
    </row>
    <row r="16" spans="1:11" ht="18.75">
      <c r="A16" s="573" t="s">
        <v>464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</row>
    <row r="17" spans="1:20" ht="19.5" thickBot="1">
      <c r="A17" s="565" t="s">
        <v>525</v>
      </c>
      <c r="B17" s="565"/>
      <c r="C17" s="565"/>
      <c r="D17" s="565"/>
      <c r="E17" s="565"/>
      <c r="F17" s="565"/>
      <c r="G17" s="565"/>
      <c r="H17" s="565"/>
      <c r="I17" s="565"/>
      <c r="J17" s="565"/>
      <c r="K17" s="565"/>
    </row>
    <row r="18" spans="1:20">
      <c r="A18" s="558" t="s">
        <v>526</v>
      </c>
      <c r="B18" s="546" t="s">
        <v>527</v>
      </c>
      <c r="C18" s="560" t="s">
        <v>528</v>
      </c>
      <c r="D18" s="546" t="s">
        <v>529</v>
      </c>
      <c r="E18" s="563" t="s">
        <v>530</v>
      </c>
      <c r="F18" s="552" t="s">
        <v>531</v>
      </c>
      <c r="G18" s="553"/>
      <c r="H18" s="554"/>
      <c r="I18" s="546" t="s">
        <v>532</v>
      </c>
      <c r="J18" s="546"/>
      <c r="K18" s="547"/>
    </row>
    <row r="19" spans="1:20">
      <c r="A19" s="559"/>
      <c r="B19" s="548"/>
      <c r="C19" s="561"/>
      <c r="D19" s="548"/>
      <c r="E19" s="564"/>
      <c r="F19" s="555"/>
      <c r="G19" s="556"/>
      <c r="H19" s="557"/>
      <c r="I19" s="548"/>
      <c r="J19" s="548"/>
      <c r="K19" s="549"/>
    </row>
    <row r="20" spans="1:20" ht="15">
      <c r="A20" s="559"/>
      <c r="B20" s="548"/>
      <c r="C20" s="562"/>
      <c r="D20" s="548"/>
      <c r="E20" s="564"/>
      <c r="F20" s="244" t="s">
        <v>533</v>
      </c>
      <c r="G20" s="550" t="s">
        <v>534</v>
      </c>
      <c r="H20" s="550"/>
      <c r="I20" s="548"/>
      <c r="J20" s="548"/>
      <c r="K20" s="549"/>
      <c r="M20" t="s">
        <v>563</v>
      </c>
      <c r="N20" t="s">
        <v>564</v>
      </c>
      <c r="O20" t="s">
        <v>565</v>
      </c>
      <c r="P20" t="s">
        <v>564</v>
      </c>
      <c r="Q20" t="s">
        <v>566</v>
      </c>
      <c r="R20" t="s">
        <v>564</v>
      </c>
      <c r="S20" t="s">
        <v>85</v>
      </c>
      <c r="T20" t="s">
        <v>564</v>
      </c>
    </row>
    <row r="21" spans="1:20" ht="18.75">
      <c r="A21" s="245">
        <v>1</v>
      </c>
      <c r="B21" s="246" t="s">
        <v>535</v>
      </c>
      <c r="C21" s="247" t="s">
        <v>536</v>
      </c>
      <c r="D21" s="248">
        <v>1</v>
      </c>
      <c r="E21" s="249">
        <f>'[36]Расчет на 01.01.19'!E14</f>
        <v>18270</v>
      </c>
      <c r="F21" s="250"/>
      <c r="G21" s="551"/>
      <c r="H21" s="551"/>
      <c r="I21" s="536">
        <f>E21</f>
        <v>18270</v>
      </c>
      <c r="J21" s="536"/>
      <c r="K21" s="536"/>
      <c r="M21">
        <f>E21*D21*3</f>
        <v>54810</v>
      </c>
      <c r="N21">
        <f>G21*D21*3</f>
        <v>0</v>
      </c>
      <c r="O21">
        <f>E21*D21*6</f>
        <v>109620</v>
      </c>
      <c r="P21">
        <f>G21*D21*6</f>
        <v>0</v>
      </c>
      <c r="Q21">
        <f>E21*D21*9</f>
        <v>164430</v>
      </c>
      <c r="R21">
        <f>G21*D21*9</f>
        <v>0</v>
      </c>
      <c r="S21">
        <f>E21*D21*12</f>
        <v>219240</v>
      </c>
      <c r="T21">
        <f>G21*D21*12</f>
        <v>0</v>
      </c>
    </row>
    <row r="22" spans="1:20" ht="18.75">
      <c r="A22" s="245">
        <v>2</v>
      </c>
      <c r="B22" s="246" t="s">
        <v>537</v>
      </c>
      <c r="C22" s="247" t="s">
        <v>536</v>
      </c>
      <c r="D22" s="248">
        <v>1</v>
      </c>
      <c r="E22" s="249">
        <f>'[36]Расчет на 01.01.19'!E15</f>
        <v>17357</v>
      </c>
      <c r="F22" s="251">
        <v>50</v>
      </c>
      <c r="G22" s="542">
        <f>E22/2</f>
        <v>8678.5</v>
      </c>
      <c r="H22" s="542"/>
      <c r="I22" s="536">
        <f>E22+G22</f>
        <v>26035.5</v>
      </c>
      <c r="J22" s="536"/>
      <c r="K22" s="536"/>
      <c r="M22">
        <f>E22*D22*3</f>
        <v>52071</v>
      </c>
      <c r="N22">
        <f>G22*D22*3</f>
        <v>26035.5</v>
      </c>
      <c r="O22">
        <f>E22*D22*6</f>
        <v>104142</v>
      </c>
      <c r="P22">
        <f>G22*D22*6</f>
        <v>52071</v>
      </c>
      <c r="Q22">
        <f>E22*D22*9</f>
        <v>156213</v>
      </c>
      <c r="R22">
        <f>G22*D22*9</f>
        <v>78106.5</v>
      </c>
      <c r="S22">
        <f t="shared" ref="S22:S36" si="0">E22*D22*12</f>
        <v>208284</v>
      </c>
      <c r="T22">
        <f t="shared" ref="T22:T36" si="1">G22*D22*12</f>
        <v>104142</v>
      </c>
    </row>
    <row r="23" spans="1:20" ht="18.75">
      <c r="A23" s="245">
        <v>3</v>
      </c>
      <c r="B23" s="246" t="s">
        <v>538</v>
      </c>
      <c r="C23" s="247" t="s">
        <v>536</v>
      </c>
      <c r="D23" s="248">
        <v>1</v>
      </c>
      <c r="E23" s="249">
        <f>'[36]Расчет на 01.01.19'!E16</f>
        <v>17357</v>
      </c>
      <c r="F23" s="251">
        <v>50</v>
      </c>
      <c r="G23" s="542">
        <f>E23/2</f>
        <v>8678.5</v>
      </c>
      <c r="H23" s="542"/>
      <c r="I23" s="536">
        <f>E23+G23</f>
        <v>26035.5</v>
      </c>
      <c r="J23" s="536"/>
      <c r="K23" s="536"/>
      <c r="M23">
        <f t="shared" ref="M23:M36" si="2">E23*D23*3</f>
        <v>52071</v>
      </c>
      <c r="N23">
        <f t="shared" ref="N23:N36" si="3">G23*D23*3</f>
        <v>26035.5</v>
      </c>
      <c r="O23">
        <f t="shared" ref="O23:O36" si="4">E23*D23*6</f>
        <v>104142</v>
      </c>
      <c r="P23">
        <f t="shared" ref="P23:P36" si="5">G23*D23*6</f>
        <v>52071</v>
      </c>
      <c r="Q23">
        <f t="shared" ref="Q23:Q36" si="6">E23*D23*9</f>
        <v>156213</v>
      </c>
      <c r="R23">
        <f t="shared" ref="R23:R36" si="7">G23*D23*9</f>
        <v>78106.5</v>
      </c>
      <c r="S23">
        <f>E23*D23*12</f>
        <v>208284</v>
      </c>
      <c r="T23">
        <f t="shared" si="1"/>
        <v>104142</v>
      </c>
    </row>
    <row r="24" spans="1:20" ht="18.75">
      <c r="A24" s="245">
        <v>4</v>
      </c>
      <c r="B24" s="252" t="s">
        <v>539</v>
      </c>
      <c r="C24" s="247">
        <v>3423</v>
      </c>
      <c r="D24" s="248">
        <v>1</v>
      </c>
      <c r="E24" s="249">
        <f>'[36]Расчет на 01.01.19'!E27</f>
        <v>7673</v>
      </c>
      <c r="F24" s="251">
        <v>50</v>
      </c>
      <c r="G24" s="542">
        <f>E24/2</f>
        <v>3836.5</v>
      </c>
      <c r="H24" s="542"/>
      <c r="I24" s="536">
        <f>E24+G24</f>
        <v>11509.5</v>
      </c>
      <c r="J24" s="536"/>
      <c r="K24" s="536"/>
      <c r="M24">
        <f t="shared" si="2"/>
        <v>23019</v>
      </c>
      <c r="N24">
        <f t="shared" si="3"/>
        <v>11509.5</v>
      </c>
      <c r="O24">
        <f t="shared" si="4"/>
        <v>46038</v>
      </c>
      <c r="P24">
        <f t="shared" si="5"/>
        <v>23019</v>
      </c>
      <c r="Q24">
        <f t="shared" si="6"/>
        <v>69057</v>
      </c>
      <c r="R24">
        <f t="shared" si="7"/>
        <v>34528.5</v>
      </c>
      <c r="S24">
        <f t="shared" si="0"/>
        <v>92076</v>
      </c>
      <c r="T24">
        <f>G24*D24*12</f>
        <v>46038</v>
      </c>
    </row>
    <row r="25" spans="1:20" ht="18.75">
      <c r="A25" s="245">
        <v>5</v>
      </c>
      <c r="B25" s="246" t="s">
        <v>540</v>
      </c>
      <c r="C25" s="247" t="s">
        <v>541</v>
      </c>
      <c r="D25" s="248">
        <v>1</v>
      </c>
      <c r="E25" s="249">
        <f>'[36]Расчет на 01.01.19'!E22</f>
        <v>8770</v>
      </c>
      <c r="F25" s="251">
        <v>50</v>
      </c>
      <c r="G25" s="542">
        <f>E25/2</f>
        <v>4385</v>
      </c>
      <c r="H25" s="542"/>
      <c r="I25" s="536">
        <f t="shared" ref="I25" si="8">E25+G25</f>
        <v>13155</v>
      </c>
      <c r="J25" s="536"/>
      <c r="K25" s="536"/>
      <c r="M25">
        <f t="shared" si="2"/>
        <v>26310</v>
      </c>
      <c r="N25">
        <f t="shared" si="3"/>
        <v>13155</v>
      </c>
      <c r="O25">
        <f t="shared" si="4"/>
        <v>52620</v>
      </c>
      <c r="P25">
        <f t="shared" si="5"/>
        <v>26310</v>
      </c>
      <c r="Q25">
        <f t="shared" si="6"/>
        <v>78930</v>
      </c>
      <c r="R25">
        <f t="shared" si="7"/>
        <v>39465</v>
      </c>
      <c r="S25">
        <f t="shared" si="0"/>
        <v>105240</v>
      </c>
      <c r="T25">
        <f t="shared" si="1"/>
        <v>52620</v>
      </c>
    </row>
    <row r="26" spans="1:20" ht="19.5">
      <c r="A26" s="245"/>
      <c r="B26" s="253" t="s">
        <v>542</v>
      </c>
      <c r="C26" s="253"/>
      <c r="D26" s="254">
        <f>SUM(D21:D25)</f>
        <v>5</v>
      </c>
      <c r="E26" s="255">
        <f>E21+E22+E25+E23</f>
        <v>61754</v>
      </c>
      <c r="F26" s="256"/>
      <c r="G26" s="543">
        <f>SUM(G21:H25)</f>
        <v>25578.5</v>
      </c>
      <c r="H26" s="543"/>
      <c r="I26" s="544">
        <f>SUM(I21:K25)</f>
        <v>95005.5</v>
      </c>
      <c r="J26" s="544"/>
      <c r="K26" s="544"/>
    </row>
    <row r="27" spans="1:20" ht="18.75">
      <c r="A27" s="245"/>
      <c r="B27" s="545" t="s">
        <v>543</v>
      </c>
      <c r="C27" s="545"/>
      <c r="D27" s="545"/>
      <c r="E27" s="545"/>
      <c r="F27" s="545"/>
      <c r="G27" s="545"/>
      <c r="H27" s="545"/>
      <c r="I27" s="545"/>
      <c r="J27" s="545"/>
      <c r="K27" s="545"/>
      <c r="M27">
        <f t="shared" si="2"/>
        <v>0</v>
      </c>
      <c r="N27">
        <f t="shared" si="3"/>
        <v>0</v>
      </c>
      <c r="O27">
        <f t="shared" si="4"/>
        <v>0</v>
      </c>
      <c r="P27">
        <f t="shared" si="5"/>
        <v>0</v>
      </c>
      <c r="Q27">
        <f t="shared" si="6"/>
        <v>0</v>
      </c>
      <c r="R27">
        <f t="shared" si="7"/>
        <v>0</v>
      </c>
      <c r="S27">
        <f t="shared" si="0"/>
        <v>0</v>
      </c>
      <c r="T27">
        <f t="shared" si="1"/>
        <v>0</v>
      </c>
    </row>
    <row r="28" spans="1:20" ht="18.75">
      <c r="A28" s="245">
        <v>6</v>
      </c>
      <c r="B28" s="246" t="s">
        <v>419</v>
      </c>
      <c r="C28" s="247">
        <v>1231</v>
      </c>
      <c r="D28" s="248">
        <v>1</v>
      </c>
      <c r="E28" s="249">
        <f>'[36]Расчет на 01.01.19'!E18</f>
        <v>16443</v>
      </c>
      <c r="F28" s="251">
        <v>50</v>
      </c>
      <c r="G28" s="535">
        <f>E28/2</f>
        <v>8221.5</v>
      </c>
      <c r="H28" s="535"/>
      <c r="I28" s="536">
        <f>(E28+G28)*D28</f>
        <v>24664.5</v>
      </c>
      <c r="J28" s="536"/>
      <c r="K28" s="536"/>
      <c r="M28">
        <f t="shared" si="2"/>
        <v>49329</v>
      </c>
      <c r="N28">
        <f t="shared" si="3"/>
        <v>24664.5</v>
      </c>
      <c r="O28">
        <f t="shared" si="4"/>
        <v>98658</v>
      </c>
      <c r="P28">
        <f t="shared" si="5"/>
        <v>49329</v>
      </c>
      <c r="Q28">
        <f t="shared" si="6"/>
        <v>147987</v>
      </c>
      <c r="R28">
        <f t="shared" si="7"/>
        <v>73993.5</v>
      </c>
      <c r="S28">
        <f t="shared" si="0"/>
        <v>197316</v>
      </c>
      <c r="T28">
        <f t="shared" si="1"/>
        <v>98658</v>
      </c>
    </row>
    <row r="29" spans="1:20" ht="18.75">
      <c r="A29" s="245">
        <v>7</v>
      </c>
      <c r="B29" s="246" t="s">
        <v>544</v>
      </c>
      <c r="C29" s="247">
        <v>1231</v>
      </c>
      <c r="D29" s="248">
        <v>1</v>
      </c>
      <c r="E29" s="249">
        <f>'[36]Расчет на 01.01.19'!E23</f>
        <v>12789</v>
      </c>
      <c r="F29" s="251">
        <v>50</v>
      </c>
      <c r="G29" s="535">
        <f t="shared" ref="G29:G30" si="9">E29/2</f>
        <v>6394.5</v>
      </c>
      <c r="H29" s="535"/>
      <c r="I29" s="536">
        <f t="shared" ref="I29:I30" si="10">(E29+G29)*D29</f>
        <v>19183.5</v>
      </c>
      <c r="J29" s="536"/>
      <c r="K29" s="536"/>
      <c r="M29">
        <f t="shared" si="2"/>
        <v>38367</v>
      </c>
      <c r="N29">
        <f t="shared" si="3"/>
        <v>19183.5</v>
      </c>
      <c r="O29">
        <f t="shared" si="4"/>
        <v>76734</v>
      </c>
      <c r="P29">
        <f t="shared" si="5"/>
        <v>38367</v>
      </c>
      <c r="Q29">
        <f t="shared" si="6"/>
        <v>115101</v>
      </c>
      <c r="R29">
        <f t="shared" si="7"/>
        <v>57550.5</v>
      </c>
      <c r="S29">
        <f t="shared" si="0"/>
        <v>153468</v>
      </c>
      <c r="T29">
        <f t="shared" si="1"/>
        <v>76734</v>
      </c>
    </row>
    <row r="30" spans="1:20" ht="18.75">
      <c r="A30" s="245">
        <v>8</v>
      </c>
      <c r="B30" s="286" t="s">
        <v>545</v>
      </c>
      <c r="C30" s="247" t="s">
        <v>546</v>
      </c>
      <c r="D30" s="248">
        <v>1</v>
      </c>
      <c r="E30" s="249">
        <f>'[36]Расчет на 01.01.19'!E24</f>
        <v>9500</v>
      </c>
      <c r="F30" s="251">
        <v>50</v>
      </c>
      <c r="G30" s="535">
        <f t="shared" si="9"/>
        <v>4750</v>
      </c>
      <c r="H30" s="535"/>
      <c r="I30" s="536">
        <f t="shared" si="10"/>
        <v>14250</v>
      </c>
      <c r="J30" s="536"/>
      <c r="K30" s="536"/>
      <c r="L30" s="288">
        <f>0.8+3+3</f>
        <v>6.8</v>
      </c>
      <c r="O30">
        <f>E30*D30*0.8</f>
        <v>7600</v>
      </c>
      <c r="P30">
        <f>G30*D30*0.8</f>
        <v>3800</v>
      </c>
      <c r="Q30">
        <f>E30*D30*3.8</f>
        <v>36100</v>
      </c>
      <c r="R30">
        <f>G30*D30*3.8</f>
        <v>18050</v>
      </c>
      <c r="S30">
        <f>E30*D30*6.8</f>
        <v>64600</v>
      </c>
      <c r="T30">
        <f>G30*D30*6.8</f>
        <v>32300</v>
      </c>
    </row>
    <row r="31" spans="1:20" ht="18.75">
      <c r="A31" s="245">
        <v>9</v>
      </c>
      <c r="B31" s="246" t="s">
        <v>547</v>
      </c>
      <c r="C31" s="247" t="s">
        <v>548</v>
      </c>
      <c r="D31" s="248">
        <v>1</v>
      </c>
      <c r="E31" s="249">
        <f>'[36]Расчет на 01.01.19'!E25</f>
        <v>8770</v>
      </c>
      <c r="F31" s="251">
        <v>50</v>
      </c>
      <c r="G31" s="535">
        <f>E31/2</f>
        <v>4385</v>
      </c>
      <c r="H31" s="535"/>
      <c r="I31" s="536">
        <f>(E31+G31)*D31</f>
        <v>13155</v>
      </c>
      <c r="J31" s="536"/>
      <c r="K31" s="536"/>
      <c r="M31">
        <f t="shared" si="2"/>
        <v>26310</v>
      </c>
      <c r="N31">
        <f t="shared" si="3"/>
        <v>13155</v>
      </c>
      <c r="O31">
        <f t="shared" si="4"/>
        <v>52620</v>
      </c>
      <c r="P31">
        <f t="shared" si="5"/>
        <v>26310</v>
      </c>
      <c r="Q31">
        <f t="shared" si="6"/>
        <v>78930</v>
      </c>
      <c r="R31">
        <f t="shared" si="7"/>
        <v>39465</v>
      </c>
      <c r="S31">
        <f t="shared" si="0"/>
        <v>105240</v>
      </c>
      <c r="T31">
        <f t="shared" si="1"/>
        <v>52620</v>
      </c>
    </row>
    <row r="32" spans="1:20" ht="19.5">
      <c r="A32" s="245"/>
      <c r="B32" s="253" t="s">
        <v>542</v>
      </c>
      <c r="C32" s="253"/>
      <c r="D32" s="254">
        <f>SUM(D28:D31)</f>
        <v>4</v>
      </c>
      <c r="E32" s="255">
        <f>SUM(E28:E31)</f>
        <v>47502</v>
      </c>
      <c r="F32" s="256"/>
      <c r="G32" s="537">
        <f>SUM(G28:H31)</f>
        <v>23751</v>
      </c>
      <c r="H32" s="537"/>
      <c r="I32" s="538">
        <f>SUM(I28:K31)</f>
        <v>71253</v>
      </c>
      <c r="J32" s="538"/>
      <c r="K32" s="538"/>
    </row>
    <row r="33" spans="1:20" ht="18.75">
      <c r="A33" s="257"/>
      <c r="B33" s="539" t="s">
        <v>549</v>
      </c>
      <c r="C33" s="540"/>
      <c r="D33" s="540"/>
      <c r="E33" s="540"/>
      <c r="F33" s="540"/>
      <c r="G33" s="540"/>
      <c r="H33" s="540"/>
      <c r="I33" s="540"/>
      <c r="J33" s="540"/>
      <c r="K33" s="541"/>
      <c r="M33">
        <f t="shared" si="2"/>
        <v>0</v>
      </c>
      <c r="N33">
        <f t="shared" si="3"/>
        <v>0</v>
      </c>
      <c r="O33">
        <f t="shared" si="4"/>
        <v>0</v>
      </c>
      <c r="P33">
        <f t="shared" si="5"/>
        <v>0</v>
      </c>
      <c r="Q33">
        <f t="shared" si="6"/>
        <v>0</v>
      </c>
      <c r="R33">
        <f t="shared" si="7"/>
        <v>0</v>
      </c>
      <c r="S33">
        <f t="shared" si="0"/>
        <v>0</v>
      </c>
      <c r="T33">
        <f t="shared" si="1"/>
        <v>0</v>
      </c>
    </row>
    <row r="34" spans="1:20" ht="18.75">
      <c r="A34" s="257">
        <v>10</v>
      </c>
      <c r="B34" s="252" t="s">
        <v>550</v>
      </c>
      <c r="C34" s="247">
        <v>1229.0999999999999</v>
      </c>
      <c r="D34" s="258">
        <v>1</v>
      </c>
      <c r="E34" s="259">
        <f>'[36]Расчет на 01.01.19'!E19</f>
        <v>16078</v>
      </c>
      <c r="F34" s="260">
        <v>50</v>
      </c>
      <c r="G34" s="533">
        <f>E34/2</f>
        <v>8039</v>
      </c>
      <c r="H34" s="533"/>
      <c r="I34" s="534">
        <f>E34+G34</f>
        <v>24117</v>
      </c>
      <c r="J34" s="534"/>
      <c r="K34" s="534"/>
      <c r="M34">
        <f t="shared" si="2"/>
        <v>48234</v>
      </c>
      <c r="N34">
        <f t="shared" si="3"/>
        <v>24117</v>
      </c>
      <c r="O34">
        <f t="shared" si="4"/>
        <v>96468</v>
      </c>
      <c r="P34">
        <f t="shared" si="5"/>
        <v>48234</v>
      </c>
      <c r="Q34">
        <f t="shared" si="6"/>
        <v>144702</v>
      </c>
      <c r="R34">
        <f t="shared" si="7"/>
        <v>72351</v>
      </c>
      <c r="S34">
        <f t="shared" si="0"/>
        <v>192936</v>
      </c>
      <c r="T34">
        <f t="shared" si="1"/>
        <v>96468</v>
      </c>
    </row>
    <row r="35" spans="1:20" ht="18.75">
      <c r="A35" s="257">
        <v>11</v>
      </c>
      <c r="B35" s="261" t="s">
        <v>551</v>
      </c>
      <c r="C35" s="247" t="s">
        <v>552</v>
      </c>
      <c r="D35" s="258">
        <v>1</v>
      </c>
      <c r="E35" s="259">
        <f>'[36]Расчет на 01.01.19'!E20</f>
        <v>14470</v>
      </c>
      <c r="F35" s="260">
        <v>50</v>
      </c>
      <c r="G35" s="533">
        <f>E35/2</f>
        <v>7235</v>
      </c>
      <c r="H35" s="533"/>
      <c r="I35" s="534">
        <f>E35+G35</f>
        <v>21705</v>
      </c>
      <c r="J35" s="534"/>
      <c r="K35" s="534"/>
      <c r="M35">
        <f t="shared" si="2"/>
        <v>43410</v>
      </c>
      <c r="N35">
        <f t="shared" si="3"/>
        <v>21705</v>
      </c>
      <c r="O35">
        <f t="shared" si="4"/>
        <v>86820</v>
      </c>
      <c r="P35">
        <f t="shared" si="5"/>
        <v>43410</v>
      </c>
      <c r="Q35">
        <f t="shared" si="6"/>
        <v>130230</v>
      </c>
      <c r="R35">
        <f t="shared" si="7"/>
        <v>65115</v>
      </c>
      <c r="S35">
        <f t="shared" si="0"/>
        <v>173640</v>
      </c>
      <c r="T35">
        <f t="shared" si="1"/>
        <v>86820</v>
      </c>
    </row>
    <row r="36" spans="1:20" ht="18.75">
      <c r="A36" s="257">
        <v>12</v>
      </c>
      <c r="B36" s="285" t="s">
        <v>553</v>
      </c>
      <c r="C36" s="247" t="s">
        <v>554</v>
      </c>
      <c r="D36" s="287">
        <v>4</v>
      </c>
      <c r="E36" s="259">
        <f>'[36]Расчет на 01.01.19'!E26</f>
        <v>8404</v>
      </c>
      <c r="F36" s="260">
        <v>50</v>
      </c>
      <c r="G36" s="533">
        <f>E36/2</f>
        <v>4202</v>
      </c>
      <c r="H36" s="533"/>
      <c r="I36" s="534">
        <f>E36*D36+G36*D36</f>
        <v>50424</v>
      </c>
      <c r="J36" s="534"/>
      <c r="K36" s="534"/>
      <c r="M36">
        <f t="shared" si="2"/>
        <v>100848</v>
      </c>
      <c r="N36">
        <f t="shared" si="3"/>
        <v>50424</v>
      </c>
      <c r="O36">
        <f t="shared" si="4"/>
        <v>201696</v>
      </c>
      <c r="P36">
        <f t="shared" si="5"/>
        <v>100848</v>
      </c>
      <c r="Q36">
        <f t="shared" si="6"/>
        <v>302544</v>
      </c>
      <c r="R36">
        <f t="shared" si="7"/>
        <v>151272</v>
      </c>
      <c r="S36">
        <f t="shared" si="0"/>
        <v>403392</v>
      </c>
      <c r="T36">
        <f t="shared" si="1"/>
        <v>201696</v>
      </c>
    </row>
    <row r="37" spans="1:20" ht="19.5">
      <c r="A37" s="257"/>
      <c r="B37" s="262" t="s">
        <v>542</v>
      </c>
      <c r="C37" s="262"/>
      <c r="D37" s="263">
        <f>D34+D35+D36</f>
        <v>6</v>
      </c>
      <c r="E37" s="264">
        <f>SUM(E34:E36)</f>
        <v>38952</v>
      </c>
      <c r="F37" s="265"/>
      <c r="G37" s="527">
        <f>SUM(G34:H36)</f>
        <v>19476</v>
      </c>
      <c r="H37" s="527"/>
      <c r="I37" s="528">
        <f>SUM(I34:K36)</f>
        <v>96246</v>
      </c>
      <c r="J37" s="528"/>
      <c r="K37" s="528"/>
    </row>
    <row r="38" spans="1:20" ht="18.75">
      <c r="A38" s="266"/>
      <c r="B38" s="267" t="s">
        <v>555</v>
      </c>
      <c r="C38" s="267"/>
      <c r="D38" s="268">
        <f>D26+D32+D37</f>
        <v>15</v>
      </c>
      <c r="E38" s="269">
        <f>E26+E32+E37</f>
        <v>148208</v>
      </c>
      <c r="F38" s="266"/>
      <c r="G38" s="529">
        <f>G26+G32+G37</f>
        <v>68805.5</v>
      </c>
      <c r="H38" s="529"/>
      <c r="I38" s="530">
        <f>I26+I32+I37</f>
        <v>262504.5</v>
      </c>
      <c r="J38" s="530"/>
      <c r="K38" s="530"/>
    </row>
    <row r="39" spans="1:20" ht="18.75">
      <c r="A39" s="270"/>
      <c r="B39" s="271"/>
      <c r="C39" s="271"/>
      <c r="D39" s="270"/>
      <c r="E39" s="270"/>
      <c r="F39" s="270"/>
      <c r="G39" s="272"/>
      <c r="H39" s="270"/>
      <c r="I39" s="270"/>
      <c r="J39" s="270"/>
      <c r="K39" s="270"/>
    </row>
    <row r="40" spans="1:20" ht="18.75">
      <c r="A40" s="272"/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M40" t="s">
        <v>563</v>
      </c>
      <c r="N40" t="s">
        <v>565</v>
      </c>
      <c r="O40" t="s">
        <v>566</v>
      </c>
      <c r="P40" t="s">
        <v>85</v>
      </c>
    </row>
    <row r="41" spans="1:20" ht="18.75">
      <c r="A41" s="270"/>
      <c r="B41" s="271" t="s">
        <v>419</v>
      </c>
      <c r="C41" s="271"/>
      <c r="D41" s="270"/>
      <c r="E41" s="270"/>
      <c r="F41" s="270"/>
      <c r="G41" s="272" t="s">
        <v>556</v>
      </c>
      <c r="H41" s="270"/>
      <c r="I41" s="270"/>
      <c r="J41" s="270"/>
      <c r="K41" s="270"/>
      <c r="L41" t="s">
        <v>567</v>
      </c>
      <c r="M41">
        <f>SUM(M21:N36)</f>
        <v>744763.5</v>
      </c>
      <c r="N41">
        <f>SUM(O21:P36)</f>
        <v>1500927</v>
      </c>
      <c r="O41">
        <f>SUM(Q21:R36)</f>
        <v>2288440.5</v>
      </c>
      <c r="P41">
        <f>SUM(S21:T36)</f>
        <v>3075954</v>
      </c>
    </row>
    <row r="42" spans="1:20" ht="18.75">
      <c r="A42" s="273"/>
      <c r="B42" s="274"/>
      <c r="C42" s="274"/>
      <c r="D42" s="275"/>
      <c r="E42" s="276"/>
      <c r="F42" s="277"/>
      <c r="G42" s="531"/>
      <c r="H42" s="531"/>
      <c r="I42" s="532"/>
      <c r="J42" s="532"/>
      <c r="K42" s="532"/>
      <c r="L42" t="s">
        <v>568</v>
      </c>
      <c r="M42">
        <f>(M41-M44)*22%+M44*8.41%</f>
        <v>159736.39704000001</v>
      </c>
      <c r="N42">
        <f t="shared" ref="N42:P42" si="11">(N41-N44)*22%+N44*8.41%</f>
        <v>321980.79408000002</v>
      </c>
      <c r="O42">
        <f t="shared" si="11"/>
        <v>491122.19111999992</v>
      </c>
      <c r="P42">
        <f t="shared" si="11"/>
        <v>660263.58816000004</v>
      </c>
    </row>
    <row r="44" spans="1:20">
      <c r="L44" t="s">
        <v>569</v>
      </c>
      <c r="M44" s="289">
        <f>(M36+N36)/5</f>
        <v>30254.400000000001</v>
      </c>
      <c r="N44" s="289">
        <f>(O36+P36)/5</f>
        <v>60508.800000000003</v>
      </c>
      <c r="O44" s="289">
        <f>(Q36+R36)/5</f>
        <v>90763.199999999997</v>
      </c>
      <c r="P44" s="289">
        <f>(S36+T36)/5</f>
        <v>121017.60000000001</v>
      </c>
    </row>
    <row r="47" spans="1:20">
      <c r="L47" t="s">
        <v>570</v>
      </c>
    </row>
    <row r="49" spans="12:13">
      <c r="L49" t="s">
        <v>571</v>
      </c>
    </row>
    <row r="50" spans="12:13">
      <c r="L50" t="s">
        <v>269</v>
      </c>
      <c r="M50">
        <f>S21</f>
        <v>219240</v>
      </c>
    </row>
    <row r="51" spans="12:13">
      <c r="L51" t="s">
        <v>572</v>
      </c>
      <c r="M51">
        <f>P41-M50</f>
        <v>2856714</v>
      </c>
    </row>
    <row r="52" spans="12:13">
      <c r="L52" t="s">
        <v>270</v>
      </c>
    </row>
    <row r="54" spans="12:13">
      <c r="L54" t="s">
        <v>42</v>
      </c>
    </row>
    <row r="55" spans="12:13">
      <c r="L55" t="s">
        <v>269</v>
      </c>
      <c r="M55">
        <f>M50*1.22</f>
        <v>267472.8</v>
      </c>
    </row>
    <row r="56" spans="12:13">
      <c r="L56" t="s">
        <v>572</v>
      </c>
      <c r="M56">
        <f>P41+P42-M55</f>
        <v>3468744.78816</v>
      </c>
    </row>
    <row r="57" spans="12:13">
      <c r="L57" t="s">
        <v>270</v>
      </c>
    </row>
    <row r="59" spans="12:13">
      <c r="L59" t="s">
        <v>573</v>
      </c>
    </row>
    <row r="60" spans="12:13">
      <c r="L60" t="s">
        <v>269</v>
      </c>
      <c r="M60" s="282">
        <f>E21</f>
        <v>18270</v>
      </c>
    </row>
    <row r="61" spans="12:13">
      <c r="L61" t="s">
        <v>572</v>
      </c>
      <c r="M61">
        <f>SUM(E22:E25,E28:E31,E34:E35,E36*D36)/15</f>
        <v>10854.866666666667</v>
      </c>
    </row>
    <row r="62" spans="12:13">
      <c r="L62" t="s">
        <v>270</v>
      </c>
    </row>
    <row r="64" spans="12:13">
      <c r="L64" t="s">
        <v>574</v>
      </c>
    </row>
    <row r="65" spans="12:13">
      <c r="L65" t="s">
        <v>269</v>
      </c>
      <c r="M65" s="282">
        <f>M60</f>
        <v>18270</v>
      </c>
    </row>
    <row r="66" spans="12:13">
      <c r="L66" t="s">
        <v>572</v>
      </c>
      <c r="M66" s="283">
        <f>SUM(I22:K25,I28:K31,I34:K36)/15</f>
        <v>16282.3</v>
      </c>
    </row>
    <row r="67" spans="12:13">
      <c r="L67" t="s">
        <v>270</v>
      </c>
    </row>
  </sheetData>
  <mergeCells count="56">
    <mergeCell ref="A17:K17"/>
    <mergeCell ref="A4:D4"/>
    <mergeCell ref="G4:K4"/>
    <mergeCell ref="A5:D5"/>
    <mergeCell ref="G5:K5"/>
    <mergeCell ref="A6:D6"/>
    <mergeCell ref="G6:K6"/>
    <mergeCell ref="C7:D7"/>
    <mergeCell ref="J7:K7"/>
    <mergeCell ref="G8:K8"/>
    <mergeCell ref="A15:K15"/>
    <mergeCell ref="A16:K16"/>
    <mergeCell ref="A18:A20"/>
    <mergeCell ref="B18:B20"/>
    <mergeCell ref="C18:C20"/>
    <mergeCell ref="D18:D20"/>
    <mergeCell ref="E18:E20"/>
    <mergeCell ref="I18:K20"/>
    <mergeCell ref="G20:H20"/>
    <mergeCell ref="G21:H21"/>
    <mergeCell ref="I21:K21"/>
    <mergeCell ref="G22:H22"/>
    <mergeCell ref="I22:K22"/>
    <mergeCell ref="F18:H19"/>
    <mergeCell ref="G29:H29"/>
    <mergeCell ref="I29:K29"/>
    <mergeCell ref="G23:H23"/>
    <mergeCell ref="I23:K23"/>
    <mergeCell ref="G24:H24"/>
    <mergeCell ref="I24:K24"/>
    <mergeCell ref="G25:H25"/>
    <mergeCell ref="I25:K25"/>
    <mergeCell ref="G26:H26"/>
    <mergeCell ref="I26:K26"/>
    <mergeCell ref="B27:K27"/>
    <mergeCell ref="G28:H28"/>
    <mergeCell ref="I28:K28"/>
    <mergeCell ref="G36:H36"/>
    <mergeCell ref="I36:K36"/>
    <mergeCell ref="G30:H30"/>
    <mergeCell ref="I30:K30"/>
    <mergeCell ref="G31:H31"/>
    <mergeCell ref="I31:K31"/>
    <mergeCell ref="G32:H32"/>
    <mergeCell ref="I32:K32"/>
    <mergeCell ref="B33:K33"/>
    <mergeCell ref="G34:H34"/>
    <mergeCell ref="I34:K34"/>
    <mergeCell ref="G35:H35"/>
    <mergeCell ref="I35:K35"/>
    <mergeCell ref="G37:H37"/>
    <mergeCell ref="I37:K37"/>
    <mergeCell ref="G38:H38"/>
    <mergeCell ref="I38:K38"/>
    <mergeCell ref="G42:H42"/>
    <mergeCell ref="I42:K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J188"/>
  <sheetViews>
    <sheetView view="pageBreakPreview" topLeftCell="B10" zoomScale="80" zoomScaleNormal="75" zoomScaleSheetLayoutView="80" workbookViewId="0">
      <selection activeCell="L12" sqref="L12"/>
    </sheetView>
  </sheetViews>
  <sheetFormatPr defaultRowHeight="18.75"/>
  <cols>
    <col min="1" max="1" width="53.140625" style="207" customWidth="1"/>
    <col min="2" max="2" width="16.85546875" style="22" customWidth="1"/>
    <col min="3" max="3" width="14.5703125" style="22" customWidth="1"/>
    <col min="4" max="5" width="15.5703125" style="22" customWidth="1"/>
    <col min="6" max="6" width="17.28515625" style="22" customWidth="1"/>
    <col min="7" max="10" width="17.28515625" style="207" customWidth="1"/>
    <col min="11" max="11" width="10" style="207" customWidth="1"/>
    <col min="12" max="12" width="9.5703125" style="207" customWidth="1"/>
    <col min="13" max="14" width="9.140625" style="207"/>
    <col min="15" max="15" width="10.5703125" style="207" customWidth="1"/>
    <col min="16" max="16384" width="9.140625" style="207"/>
  </cols>
  <sheetData>
    <row r="1" spans="1:10">
      <c r="A1" s="200"/>
      <c r="B1" s="201"/>
      <c r="C1" s="201"/>
      <c r="D1" s="201"/>
      <c r="E1" s="201"/>
      <c r="F1" s="201" t="s">
        <v>19</v>
      </c>
      <c r="G1" s="200"/>
      <c r="H1" s="200"/>
      <c r="I1" s="200"/>
      <c r="J1" s="200"/>
    </row>
    <row r="2" spans="1:10" ht="18.75" customHeight="1">
      <c r="A2" s="360"/>
      <c r="B2" s="360"/>
      <c r="C2" s="101"/>
      <c r="D2" s="102"/>
      <c r="E2" s="102"/>
      <c r="F2" s="361" t="s">
        <v>601</v>
      </c>
      <c r="G2" s="361"/>
      <c r="H2" s="361"/>
      <c r="I2" s="361"/>
      <c r="J2" s="361"/>
    </row>
    <row r="3" spans="1:10" ht="18.75" customHeight="1">
      <c r="A3" s="362"/>
      <c r="B3" s="362"/>
      <c r="C3" s="101"/>
      <c r="D3" s="104"/>
      <c r="E3" s="104"/>
      <c r="F3" s="361"/>
      <c r="G3" s="361"/>
      <c r="H3" s="361"/>
      <c r="I3" s="361"/>
      <c r="J3" s="361"/>
    </row>
    <row r="4" spans="1:10" ht="18.75" customHeight="1">
      <c r="A4" s="362"/>
      <c r="B4" s="362"/>
      <c r="C4" s="101"/>
      <c r="D4" s="104"/>
      <c r="E4" s="104"/>
      <c r="F4" s="361"/>
      <c r="G4" s="361"/>
      <c r="H4" s="361"/>
      <c r="I4" s="361"/>
      <c r="J4" s="361"/>
    </row>
    <row r="5" spans="1:10" ht="18.75" customHeight="1">
      <c r="A5" s="362"/>
      <c r="B5" s="362"/>
      <c r="C5" s="101"/>
      <c r="D5" s="104"/>
      <c r="E5" s="104"/>
      <c r="F5" s="104"/>
      <c r="G5" s="363"/>
      <c r="H5" s="363"/>
      <c r="I5" s="205"/>
      <c r="J5" s="205"/>
    </row>
    <row r="6" spans="1:10" ht="18.75" customHeight="1">
      <c r="A6" s="102" t="s">
        <v>596</v>
      </c>
      <c r="B6" s="102"/>
      <c r="C6" s="102"/>
      <c r="D6" s="102"/>
      <c r="E6" s="102"/>
      <c r="F6" s="357" t="s">
        <v>380</v>
      </c>
      <c r="G6" s="357"/>
      <c r="H6" s="357"/>
      <c r="I6" s="357"/>
      <c r="J6" s="357"/>
    </row>
    <row r="7" spans="1:10" ht="58.5" customHeight="1">
      <c r="A7" s="358" t="s">
        <v>598</v>
      </c>
      <c r="B7" s="357"/>
      <c r="C7" s="208"/>
      <c r="D7" s="208"/>
      <c r="E7" s="208"/>
      <c r="F7" s="357" t="s">
        <v>261</v>
      </c>
      <c r="G7" s="357"/>
      <c r="H7" s="357"/>
      <c r="I7" s="357"/>
      <c r="J7" s="357"/>
    </row>
    <row r="8" spans="1:10" ht="26.25" customHeight="1">
      <c r="A8" s="359" t="s">
        <v>597</v>
      </c>
      <c r="B8" s="359"/>
      <c r="C8" s="102"/>
      <c r="D8" s="102"/>
      <c r="E8" s="102"/>
      <c r="F8" s="357" t="s">
        <v>381</v>
      </c>
      <c r="G8" s="357"/>
      <c r="H8" s="357"/>
      <c r="I8" s="357"/>
      <c r="J8" s="357"/>
    </row>
    <row r="9" spans="1:10" ht="18.75" customHeight="1">
      <c r="A9" s="365" t="s">
        <v>599</v>
      </c>
      <c r="B9" s="365"/>
      <c r="C9" s="101"/>
      <c r="D9" s="105"/>
      <c r="E9" s="105"/>
      <c r="F9" s="357" t="s">
        <v>382</v>
      </c>
      <c r="G9" s="357"/>
      <c r="H9" s="357"/>
      <c r="I9" s="357"/>
      <c r="J9" s="357"/>
    </row>
    <row r="10" spans="1:10" ht="20.25">
      <c r="A10" s="203" t="s">
        <v>350</v>
      </c>
      <c r="B10" s="204"/>
      <c r="C10" s="101"/>
      <c r="D10" s="105"/>
      <c r="E10" s="105"/>
    </row>
    <row r="11" spans="1:10" s="296" customFormat="1" ht="20.25" customHeight="1">
      <c r="A11" s="294"/>
      <c r="B11" s="295"/>
      <c r="C11" s="101"/>
      <c r="D11" s="105"/>
      <c r="E11" s="105"/>
      <c r="F11" s="102" t="s">
        <v>422</v>
      </c>
      <c r="G11" s="102"/>
    </row>
    <row r="12" spans="1:10" ht="57.75" customHeight="1">
      <c r="A12" s="204"/>
      <c r="B12" s="204"/>
      <c r="C12" s="101"/>
      <c r="D12" s="105"/>
      <c r="E12" s="105"/>
      <c r="F12" s="358" t="s">
        <v>590</v>
      </c>
      <c r="G12" s="358"/>
      <c r="H12" s="358"/>
      <c r="I12" s="358"/>
      <c r="J12" s="358"/>
    </row>
    <row r="13" spans="1:10" s="296" customFormat="1" ht="27" customHeight="1">
      <c r="A13" s="295"/>
      <c r="B13" s="295"/>
      <c r="C13" s="101"/>
      <c r="D13" s="105"/>
      <c r="E13" s="105"/>
      <c r="F13" s="364" t="s">
        <v>595</v>
      </c>
      <c r="G13" s="364"/>
      <c r="H13" s="364"/>
      <c r="I13" s="364"/>
      <c r="J13" s="364"/>
    </row>
    <row r="14" spans="1:10" s="296" customFormat="1" ht="50.25" customHeight="1">
      <c r="A14" s="295"/>
      <c r="B14" s="295"/>
      <c r="C14" s="101"/>
      <c r="D14" s="105"/>
      <c r="E14" s="105"/>
      <c r="F14" s="365" t="s">
        <v>467</v>
      </c>
      <c r="G14" s="365"/>
      <c r="H14" s="365"/>
      <c r="I14" s="365"/>
      <c r="J14" s="365"/>
    </row>
    <row r="15" spans="1:10" ht="20.25" customHeight="1">
      <c r="A15" s="204"/>
      <c r="B15" s="204"/>
      <c r="C15" s="101"/>
      <c r="D15" s="105"/>
      <c r="E15" s="105"/>
      <c r="F15" s="316" t="s">
        <v>350</v>
      </c>
      <c r="G15" s="295"/>
    </row>
    <row r="16" spans="1:10" ht="19.5" customHeight="1">
      <c r="A16" s="204"/>
      <c r="B16" s="204"/>
      <c r="C16" s="101"/>
      <c r="D16" s="105"/>
      <c r="E16" s="105"/>
      <c r="F16" s="102"/>
      <c r="G16" s="205"/>
      <c r="H16" s="203"/>
      <c r="I16" s="203"/>
      <c r="J16" s="203"/>
    </row>
    <row r="17" spans="1:10" ht="19.5" customHeight="1">
      <c r="A17" s="102"/>
      <c r="B17" s="106"/>
      <c r="C17" s="106"/>
      <c r="D17" s="106"/>
      <c r="E17" s="106"/>
      <c r="F17" s="106"/>
      <c r="G17" s="107"/>
      <c r="H17" s="107"/>
      <c r="I17" s="107"/>
      <c r="J17" s="107"/>
    </row>
    <row r="18" spans="1:10" ht="19.5" customHeight="1">
      <c r="A18" s="108"/>
      <c r="B18" s="352"/>
      <c r="C18" s="352"/>
      <c r="D18" s="352"/>
      <c r="E18" s="352"/>
      <c r="F18" s="352"/>
      <c r="G18" s="109"/>
      <c r="H18" s="347" t="s">
        <v>602</v>
      </c>
      <c r="I18" s="347"/>
      <c r="J18" s="198" t="s">
        <v>262</v>
      </c>
    </row>
    <row r="19" spans="1:10" ht="16.5" customHeight="1">
      <c r="A19" s="202" t="s">
        <v>14</v>
      </c>
      <c r="B19" s="355" t="s">
        <v>425</v>
      </c>
      <c r="C19" s="355"/>
      <c r="D19" s="355"/>
      <c r="E19" s="355"/>
      <c r="F19" s="355"/>
      <c r="G19" s="356"/>
      <c r="H19" s="347" t="s">
        <v>145</v>
      </c>
      <c r="I19" s="347"/>
      <c r="J19" s="197">
        <v>41803086</v>
      </c>
    </row>
    <row r="20" spans="1:10" ht="16.5" customHeight="1">
      <c r="A20" s="202" t="s">
        <v>15</v>
      </c>
      <c r="B20" s="346"/>
      <c r="C20" s="346"/>
      <c r="D20" s="346"/>
      <c r="E20" s="346"/>
      <c r="F20" s="346"/>
      <c r="G20" s="109"/>
      <c r="H20" s="347" t="s">
        <v>144</v>
      </c>
      <c r="I20" s="347"/>
      <c r="J20" s="197">
        <v>150</v>
      </c>
    </row>
    <row r="21" spans="1:10" ht="18.75" customHeight="1">
      <c r="A21" s="202" t="s">
        <v>20</v>
      </c>
      <c r="B21" s="346"/>
      <c r="C21" s="346"/>
      <c r="D21" s="346"/>
      <c r="E21" s="346"/>
      <c r="F21" s="346"/>
      <c r="G21" s="109"/>
      <c r="H21" s="347" t="s">
        <v>143</v>
      </c>
      <c r="I21" s="347"/>
      <c r="J21" s="197">
        <v>1210136600</v>
      </c>
    </row>
    <row r="22" spans="1:10" ht="15.75" customHeight="1">
      <c r="A22" s="202" t="s">
        <v>383</v>
      </c>
      <c r="B22" s="348" t="s">
        <v>426</v>
      </c>
      <c r="C22" s="348"/>
      <c r="D22" s="348"/>
      <c r="E22" s="348"/>
      <c r="F22" s="348"/>
      <c r="G22" s="196"/>
      <c r="H22" s="347" t="s">
        <v>9</v>
      </c>
      <c r="I22" s="347"/>
      <c r="J22" s="197">
        <v>1009</v>
      </c>
    </row>
    <row r="23" spans="1:10" ht="18.75" customHeight="1">
      <c r="A23" s="202" t="s">
        <v>17</v>
      </c>
      <c r="B23" s="196"/>
      <c r="C23" s="196"/>
      <c r="D23" s="196"/>
      <c r="E23" s="196"/>
      <c r="F23" s="196"/>
      <c r="G23" s="196"/>
      <c r="H23" s="347" t="s">
        <v>8</v>
      </c>
      <c r="I23" s="347"/>
      <c r="J23" s="197"/>
    </row>
    <row r="24" spans="1:10" ht="44.25" customHeight="1">
      <c r="A24" s="202" t="s">
        <v>16</v>
      </c>
      <c r="B24" s="349" t="s">
        <v>427</v>
      </c>
      <c r="C24" s="349"/>
      <c r="D24" s="349"/>
      <c r="E24" s="349"/>
      <c r="F24" s="349"/>
      <c r="G24" s="350"/>
      <c r="H24" s="347" t="s">
        <v>10</v>
      </c>
      <c r="I24" s="347"/>
      <c r="J24" s="197" t="s">
        <v>428</v>
      </c>
    </row>
    <row r="25" spans="1:10" ht="20.25" customHeight="1">
      <c r="A25" s="351" t="s">
        <v>384</v>
      </c>
      <c r="B25" s="352"/>
      <c r="C25" s="352"/>
      <c r="D25" s="352"/>
      <c r="E25" s="352"/>
      <c r="F25" s="352"/>
      <c r="G25" s="352" t="s">
        <v>207</v>
      </c>
      <c r="H25" s="353"/>
      <c r="I25" s="354"/>
      <c r="J25" s="113"/>
    </row>
    <row r="26" spans="1:10" ht="15.75" customHeight="1">
      <c r="A26" s="202" t="s">
        <v>429</v>
      </c>
      <c r="B26" s="345" t="s">
        <v>430</v>
      </c>
      <c r="C26" s="345"/>
      <c r="D26" s="345"/>
      <c r="E26" s="345"/>
      <c r="F26" s="345"/>
      <c r="G26" s="352" t="s">
        <v>208</v>
      </c>
      <c r="H26" s="353"/>
      <c r="I26" s="354"/>
      <c r="J26" s="113"/>
    </row>
    <row r="27" spans="1:10" ht="15.75" customHeight="1">
      <c r="A27" s="351" t="s">
        <v>431</v>
      </c>
      <c r="B27" s="352"/>
      <c r="C27" s="352"/>
      <c r="D27" s="352"/>
      <c r="E27" s="352"/>
      <c r="F27" s="352"/>
      <c r="G27" s="196"/>
      <c r="H27" s="196"/>
      <c r="I27" s="196"/>
      <c r="J27" s="111"/>
    </row>
    <row r="28" spans="1:10" ht="18.75" customHeight="1">
      <c r="A28" s="202" t="s">
        <v>11</v>
      </c>
      <c r="B28" s="345" t="s">
        <v>432</v>
      </c>
      <c r="C28" s="345"/>
      <c r="D28" s="345"/>
      <c r="E28" s="345"/>
      <c r="F28" s="345"/>
      <c r="G28" s="109"/>
      <c r="H28" s="109"/>
      <c r="I28" s="109"/>
      <c r="J28" s="110"/>
    </row>
    <row r="29" spans="1:10" ht="18" customHeight="1">
      <c r="A29" s="202" t="s">
        <v>12</v>
      </c>
      <c r="B29" s="345"/>
      <c r="C29" s="345"/>
      <c r="D29" s="345"/>
      <c r="E29" s="345"/>
      <c r="F29" s="345"/>
      <c r="G29" s="196"/>
      <c r="H29" s="196"/>
      <c r="I29" s="196"/>
      <c r="J29" s="111"/>
    </row>
    <row r="30" spans="1:10" ht="21" customHeight="1">
      <c r="A30" s="202" t="s">
        <v>13</v>
      </c>
      <c r="B30" s="345" t="s">
        <v>433</v>
      </c>
      <c r="C30" s="345"/>
      <c r="D30" s="345"/>
      <c r="E30" s="345"/>
      <c r="F30" s="345"/>
      <c r="G30" s="109"/>
      <c r="H30" s="109"/>
      <c r="I30" s="109"/>
      <c r="J30" s="110"/>
    </row>
    <row r="31" spans="1:10" ht="20.100000000000001" customHeight="1">
      <c r="A31" s="200"/>
      <c r="B31" s="200"/>
      <c r="C31" s="200"/>
      <c r="D31" s="200"/>
      <c r="E31" s="200"/>
      <c r="F31" s="200"/>
      <c r="G31" s="200"/>
      <c r="H31" s="200"/>
      <c r="I31" s="200"/>
      <c r="J31" s="200"/>
    </row>
    <row r="32" spans="1:10" ht="19.5" customHeight="1">
      <c r="A32" s="206"/>
      <c r="B32" s="200"/>
      <c r="C32" s="201"/>
      <c r="D32" s="200"/>
      <c r="E32" s="200"/>
      <c r="F32" s="200"/>
      <c r="G32" s="200"/>
      <c r="H32" s="200"/>
      <c r="I32" s="200"/>
      <c r="J32" s="200"/>
    </row>
    <row r="33" spans="1:10" s="22" customFormat="1">
      <c r="A33" s="46"/>
      <c r="G33" s="207"/>
      <c r="H33" s="207"/>
      <c r="I33" s="207"/>
      <c r="J33" s="207"/>
    </row>
    <row r="34" spans="1:10" s="22" customFormat="1">
      <c r="A34" s="46"/>
      <c r="G34" s="207"/>
      <c r="H34" s="207"/>
      <c r="I34" s="207"/>
      <c r="J34" s="207"/>
    </row>
    <row r="35" spans="1:10" s="22" customFormat="1">
      <c r="A35" s="46"/>
      <c r="G35" s="207"/>
      <c r="H35" s="207"/>
      <c r="I35" s="207"/>
      <c r="J35" s="207"/>
    </row>
    <row r="36" spans="1:10" s="22" customFormat="1">
      <c r="A36" s="46"/>
      <c r="G36" s="207"/>
      <c r="H36" s="207"/>
      <c r="I36" s="207"/>
      <c r="J36" s="207"/>
    </row>
    <row r="37" spans="1:10" s="22" customFormat="1">
      <c r="A37" s="46"/>
      <c r="G37" s="207"/>
      <c r="H37" s="207"/>
      <c r="I37" s="207"/>
      <c r="J37" s="207"/>
    </row>
    <row r="38" spans="1:10" s="22" customFormat="1">
      <c r="A38" s="46"/>
      <c r="G38" s="207"/>
      <c r="H38" s="207"/>
      <c r="I38" s="207"/>
      <c r="J38" s="207"/>
    </row>
    <row r="39" spans="1:10" s="22" customFormat="1">
      <c r="A39" s="46"/>
      <c r="G39" s="207"/>
      <c r="H39" s="207"/>
      <c r="I39" s="207"/>
      <c r="J39" s="207"/>
    </row>
    <row r="40" spans="1:10" s="22" customFormat="1">
      <c r="A40" s="46"/>
      <c r="G40" s="207"/>
      <c r="H40" s="207"/>
      <c r="I40" s="207"/>
      <c r="J40" s="207"/>
    </row>
    <row r="41" spans="1:10" s="22" customFormat="1">
      <c r="A41" s="46"/>
      <c r="G41" s="207"/>
      <c r="H41" s="207"/>
      <c r="I41" s="207"/>
      <c r="J41" s="207"/>
    </row>
    <row r="42" spans="1:10" s="22" customFormat="1">
      <c r="A42" s="46"/>
      <c r="G42" s="207"/>
      <c r="H42" s="207"/>
      <c r="I42" s="207"/>
      <c r="J42" s="207"/>
    </row>
    <row r="43" spans="1:10" s="22" customFormat="1">
      <c r="A43" s="46"/>
      <c r="G43" s="207"/>
      <c r="H43" s="207"/>
      <c r="I43" s="207"/>
      <c r="J43" s="207"/>
    </row>
    <row r="44" spans="1:10" s="22" customFormat="1">
      <c r="A44" s="46"/>
      <c r="G44" s="207"/>
      <c r="H44" s="207"/>
      <c r="I44" s="207"/>
      <c r="J44" s="207"/>
    </row>
    <row r="45" spans="1:10" s="22" customFormat="1">
      <c r="A45" s="46"/>
      <c r="G45" s="207"/>
      <c r="H45" s="207"/>
      <c r="I45" s="207"/>
      <c r="J45" s="207"/>
    </row>
    <row r="46" spans="1:10" s="22" customFormat="1">
      <c r="A46" s="46"/>
      <c r="G46" s="207"/>
      <c r="H46" s="207"/>
      <c r="I46" s="207"/>
      <c r="J46" s="207"/>
    </row>
    <row r="47" spans="1:10" s="22" customFormat="1">
      <c r="A47" s="46"/>
      <c r="G47" s="207"/>
      <c r="H47" s="207"/>
      <c r="I47" s="207"/>
      <c r="J47" s="207"/>
    </row>
    <row r="48" spans="1:10" s="22" customFormat="1">
      <c r="A48" s="46"/>
      <c r="G48" s="207"/>
      <c r="H48" s="207"/>
      <c r="I48" s="207"/>
      <c r="J48" s="207"/>
    </row>
    <row r="49" spans="1:10" s="22" customFormat="1">
      <c r="A49" s="46"/>
      <c r="G49" s="207"/>
      <c r="H49" s="207"/>
      <c r="I49" s="207"/>
      <c r="J49" s="207"/>
    </row>
    <row r="50" spans="1:10" s="22" customFormat="1">
      <c r="A50" s="46"/>
      <c r="G50" s="207"/>
      <c r="H50" s="207"/>
      <c r="I50" s="207"/>
      <c r="J50" s="207"/>
    </row>
    <row r="51" spans="1:10" s="22" customFormat="1">
      <c r="A51" s="46"/>
      <c r="G51" s="207"/>
      <c r="H51" s="207"/>
      <c r="I51" s="207"/>
      <c r="J51" s="207"/>
    </row>
    <row r="52" spans="1:10" s="22" customFormat="1">
      <c r="A52" s="46"/>
      <c r="G52" s="207"/>
      <c r="H52" s="207"/>
      <c r="I52" s="207"/>
      <c r="J52" s="207"/>
    </row>
    <row r="53" spans="1:10" s="22" customFormat="1">
      <c r="A53" s="46"/>
      <c r="G53" s="207"/>
      <c r="H53" s="207"/>
      <c r="I53" s="207"/>
      <c r="J53" s="207"/>
    </row>
    <row r="54" spans="1:10" s="22" customFormat="1">
      <c r="A54" s="46"/>
      <c r="G54" s="207"/>
      <c r="H54" s="207"/>
      <c r="I54" s="207"/>
      <c r="J54" s="207"/>
    </row>
    <row r="55" spans="1:10" s="22" customFormat="1">
      <c r="A55" s="46"/>
      <c r="G55" s="207"/>
      <c r="H55" s="207"/>
      <c r="I55" s="207"/>
      <c r="J55" s="207"/>
    </row>
    <row r="56" spans="1:10" s="22" customFormat="1">
      <c r="A56" s="46"/>
      <c r="G56" s="207"/>
      <c r="H56" s="207"/>
      <c r="I56" s="207"/>
      <c r="J56" s="207"/>
    </row>
    <row r="57" spans="1:10" s="22" customFormat="1">
      <c r="A57" s="46"/>
      <c r="G57" s="207"/>
      <c r="H57" s="207"/>
      <c r="I57" s="207"/>
      <c r="J57" s="207"/>
    </row>
    <row r="58" spans="1:10" s="22" customFormat="1">
      <c r="A58" s="46"/>
      <c r="G58" s="207"/>
      <c r="H58" s="207"/>
      <c r="I58" s="207"/>
      <c r="J58" s="207"/>
    </row>
    <row r="59" spans="1:10" s="22" customFormat="1">
      <c r="A59" s="46"/>
      <c r="G59" s="207"/>
      <c r="H59" s="207"/>
      <c r="I59" s="207"/>
      <c r="J59" s="207"/>
    </row>
    <row r="60" spans="1:10" s="22" customFormat="1">
      <c r="A60" s="46"/>
      <c r="G60" s="207"/>
      <c r="H60" s="207"/>
      <c r="I60" s="207"/>
      <c r="J60" s="207"/>
    </row>
    <row r="61" spans="1:10" s="22" customFormat="1">
      <c r="A61" s="46"/>
      <c r="G61" s="207"/>
      <c r="H61" s="207"/>
      <c r="I61" s="207"/>
      <c r="J61" s="207"/>
    </row>
    <row r="62" spans="1:10" s="22" customFormat="1">
      <c r="A62" s="46"/>
      <c r="G62" s="207"/>
      <c r="H62" s="207"/>
      <c r="I62" s="207"/>
      <c r="J62" s="207"/>
    </row>
    <row r="63" spans="1:10" s="22" customFormat="1">
      <c r="A63" s="46"/>
      <c r="G63" s="207"/>
      <c r="H63" s="207"/>
      <c r="I63" s="207"/>
      <c r="J63" s="207"/>
    </row>
    <row r="64" spans="1:10" s="22" customFormat="1">
      <c r="A64" s="46"/>
      <c r="G64" s="207"/>
      <c r="H64" s="207"/>
      <c r="I64" s="207"/>
      <c r="J64" s="207"/>
    </row>
    <row r="65" spans="1:10" s="22" customFormat="1">
      <c r="A65" s="46"/>
      <c r="G65" s="207"/>
      <c r="H65" s="207"/>
      <c r="I65" s="207"/>
      <c r="J65" s="207"/>
    </row>
    <row r="66" spans="1:10" s="22" customFormat="1">
      <c r="A66" s="46"/>
      <c r="G66" s="207"/>
      <c r="H66" s="207"/>
      <c r="I66" s="207"/>
      <c r="J66" s="207"/>
    </row>
    <row r="67" spans="1:10" s="22" customFormat="1">
      <c r="A67" s="46"/>
      <c r="G67" s="207"/>
      <c r="H67" s="207"/>
      <c r="I67" s="207"/>
      <c r="J67" s="207"/>
    </row>
    <row r="68" spans="1:10" s="22" customFormat="1">
      <c r="A68" s="46"/>
      <c r="G68" s="207"/>
      <c r="H68" s="207"/>
      <c r="I68" s="207"/>
      <c r="J68" s="207"/>
    </row>
    <row r="69" spans="1:10" s="22" customFormat="1">
      <c r="A69" s="46"/>
      <c r="G69" s="207"/>
      <c r="H69" s="207"/>
      <c r="I69" s="207"/>
      <c r="J69" s="207"/>
    </row>
    <row r="70" spans="1:10" s="22" customFormat="1">
      <c r="A70" s="46"/>
      <c r="G70" s="207"/>
      <c r="H70" s="207"/>
      <c r="I70" s="207"/>
      <c r="J70" s="207"/>
    </row>
    <row r="71" spans="1:10" s="22" customFormat="1">
      <c r="A71" s="46"/>
      <c r="G71" s="207"/>
      <c r="H71" s="207"/>
      <c r="I71" s="207"/>
      <c r="J71" s="207"/>
    </row>
    <row r="72" spans="1:10" s="22" customFormat="1">
      <c r="A72" s="46"/>
      <c r="G72" s="207"/>
      <c r="H72" s="207"/>
      <c r="I72" s="207"/>
      <c r="J72" s="207"/>
    </row>
    <row r="73" spans="1:10" s="22" customFormat="1">
      <c r="A73" s="46"/>
      <c r="G73" s="207"/>
      <c r="H73" s="207"/>
      <c r="I73" s="207"/>
      <c r="J73" s="207"/>
    </row>
    <row r="74" spans="1:10" s="22" customFormat="1">
      <c r="A74" s="46"/>
      <c r="G74" s="207"/>
      <c r="H74" s="207"/>
      <c r="I74" s="207"/>
      <c r="J74" s="207"/>
    </row>
    <row r="75" spans="1:10" s="22" customFormat="1">
      <c r="A75" s="46"/>
      <c r="G75" s="207"/>
      <c r="H75" s="207"/>
      <c r="I75" s="207"/>
      <c r="J75" s="207"/>
    </row>
    <row r="76" spans="1:10" s="22" customFormat="1">
      <c r="A76" s="46"/>
      <c r="G76" s="207"/>
      <c r="H76" s="207"/>
      <c r="I76" s="207"/>
      <c r="J76" s="207"/>
    </row>
    <row r="77" spans="1:10" s="22" customFormat="1">
      <c r="A77" s="46"/>
      <c r="G77" s="207"/>
      <c r="H77" s="207"/>
      <c r="I77" s="207"/>
      <c r="J77" s="207"/>
    </row>
    <row r="78" spans="1:10" s="22" customFormat="1">
      <c r="A78" s="46"/>
      <c r="G78" s="207"/>
      <c r="H78" s="207"/>
      <c r="I78" s="207"/>
      <c r="J78" s="207"/>
    </row>
    <row r="79" spans="1:10" s="22" customFormat="1">
      <c r="A79" s="46"/>
      <c r="G79" s="207"/>
      <c r="H79" s="207"/>
      <c r="I79" s="207"/>
      <c r="J79" s="207"/>
    </row>
    <row r="80" spans="1:10" s="22" customFormat="1">
      <c r="A80" s="46"/>
      <c r="G80" s="207"/>
      <c r="H80" s="207"/>
      <c r="I80" s="207"/>
      <c r="J80" s="207"/>
    </row>
    <row r="81" spans="1:10" s="22" customFormat="1">
      <c r="A81" s="46"/>
      <c r="G81" s="207"/>
      <c r="H81" s="207"/>
      <c r="I81" s="207"/>
      <c r="J81" s="207"/>
    </row>
    <row r="82" spans="1:10" s="22" customFormat="1">
      <c r="A82" s="46"/>
      <c r="G82" s="207"/>
      <c r="H82" s="207"/>
      <c r="I82" s="207"/>
      <c r="J82" s="207"/>
    </row>
    <row r="83" spans="1:10" s="22" customFormat="1">
      <c r="A83" s="46"/>
      <c r="G83" s="207"/>
      <c r="H83" s="207"/>
      <c r="I83" s="207"/>
      <c r="J83" s="207"/>
    </row>
    <row r="84" spans="1:10" s="22" customFormat="1">
      <c r="A84" s="46"/>
      <c r="G84" s="207"/>
      <c r="H84" s="207"/>
      <c r="I84" s="207"/>
      <c r="J84" s="207"/>
    </row>
    <row r="85" spans="1:10" s="22" customFormat="1">
      <c r="A85" s="46"/>
      <c r="G85" s="207"/>
      <c r="H85" s="207"/>
      <c r="I85" s="207"/>
      <c r="J85" s="207"/>
    </row>
    <row r="86" spans="1:10" s="22" customFormat="1">
      <c r="A86" s="46"/>
      <c r="G86" s="207"/>
      <c r="H86" s="207"/>
      <c r="I86" s="207"/>
      <c r="J86" s="207"/>
    </row>
    <row r="87" spans="1:10" s="22" customFormat="1">
      <c r="A87" s="46"/>
      <c r="G87" s="207"/>
      <c r="H87" s="207"/>
      <c r="I87" s="207"/>
      <c r="J87" s="207"/>
    </row>
    <row r="88" spans="1:10" s="22" customFormat="1">
      <c r="A88" s="46"/>
      <c r="G88" s="207"/>
      <c r="H88" s="207"/>
      <c r="I88" s="207"/>
      <c r="J88" s="207"/>
    </row>
    <row r="89" spans="1:10" s="22" customFormat="1">
      <c r="A89" s="46"/>
      <c r="G89" s="207"/>
      <c r="H89" s="207"/>
      <c r="I89" s="207"/>
      <c r="J89" s="207"/>
    </row>
    <row r="90" spans="1:10" s="22" customFormat="1">
      <c r="A90" s="46"/>
      <c r="G90" s="207"/>
      <c r="H90" s="207"/>
      <c r="I90" s="207"/>
      <c r="J90" s="207"/>
    </row>
    <row r="91" spans="1:10" s="22" customFormat="1">
      <c r="A91" s="46"/>
      <c r="G91" s="207"/>
      <c r="H91" s="207"/>
      <c r="I91" s="207"/>
      <c r="J91" s="207"/>
    </row>
    <row r="92" spans="1:10" s="22" customFormat="1">
      <c r="A92" s="46"/>
      <c r="G92" s="207"/>
      <c r="H92" s="207"/>
      <c r="I92" s="207"/>
      <c r="J92" s="207"/>
    </row>
    <row r="93" spans="1:10" s="22" customFormat="1">
      <c r="A93" s="46"/>
      <c r="G93" s="207"/>
      <c r="H93" s="207"/>
      <c r="I93" s="207"/>
      <c r="J93" s="207"/>
    </row>
    <row r="94" spans="1:10" s="22" customFormat="1">
      <c r="A94" s="46"/>
      <c r="G94" s="207"/>
      <c r="H94" s="207"/>
      <c r="I94" s="207"/>
      <c r="J94" s="207"/>
    </row>
    <row r="95" spans="1:10" s="22" customFormat="1">
      <c r="A95" s="46"/>
      <c r="G95" s="207"/>
      <c r="H95" s="207"/>
      <c r="I95" s="207"/>
      <c r="J95" s="207"/>
    </row>
    <row r="96" spans="1:10" s="22" customFormat="1">
      <c r="A96" s="46"/>
      <c r="G96" s="207"/>
      <c r="H96" s="207"/>
      <c r="I96" s="207"/>
      <c r="J96" s="207"/>
    </row>
    <row r="97" spans="1:10" s="22" customFormat="1">
      <c r="A97" s="46"/>
      <c r="G97" s="207"/>
      <c r="H97" s="207"/>
      <c r="I97" s="207"/>
      <c r="J97" s="207"/>
    </row>
    <row r="98" spans="1:10" s="22" customFormat="1">
      <c r="A98" s="46"/>
      <c r="G98" s="207"/>
      <c r="H98" s="207"/>
      <c r="I98" s="207"/>
      <c r="J98" s="207"/>
    </row>
    <row r="99" spans="1:10" s="22" customFormat="1">
      <c r="A99" s="46"/>
      <c r="G99" s="207"/>
      <c r="H99" s="207"/>
      <c r="I99" s="207"/>
      <c r="J99" s="207"/>
    </row>
    <row r="100" spans="1:10" s="22" customFormat="1">
      <c r="A100" s="46"/>
      <c r="G100" s="207"/>
      <c r="H100" s="207"/>
      <c r="I100" s="207"/>
      <c r="J100" s="207"/>
    </row>
    <row r="101" spans="1:10" s="22" customFormat="1">
      <c r="A101" s="46"/>
      <c r="G101" s="207"/>
      <c r="H101" s="207"/>
      <c r="I101" s="207"/>
      <c r="J101" s="207"/>
    </row>
    <row r="102" spans="1:10" s="22" customFormat="1">
      <c r="A102" s="46"/>
      <c r="G102" s="207"/>
      <c r="H102" s="207"/>
      <c r="I102" s="207"/>
      <c r="J102" s="207"/>
    </row>
    <row r="103" spans="1:10" s="22" customFormat="1">
      <c r="A103" s="46"/>
      <c r="G103" s="207"/>
      <c r="H103" s="207"/>
      <c r="I103" s="207"/>
      <c r="J103" s="207"/>
    </row>
    <row r="104" spans="1:10" s="22" customFormat="1">
      <c r="A104" s="46"/>
      <c r="G104" s="207"/>
      <c r="H104" s="207"/>
      <c r="I104" s="207"/>
      <c r="J104" s="207"/>
    </row>
    <row r="105" spans="1:10" s="22" customFormat="1">
      <c r="A105" s="46"/>
      <c r="G105" s="207"/>
      <c r="H105" s="207"/>
      <c r="I105" s="207"/>
      <c r="J105" s="207"/>
    </row>
    <row r="106" spans="1:10" s="22" customFormat="1">
      <c r="A106" s="46"/>
      <c r="G106" s="207"/>
      <c r="H106" s="207"/>
      <c r="I106" s="207"/>
      <c r="J106" s="207"/>
    </row>
    <row r="107" spans="1:10" s="22" customFormat="1">
      <c r="A107" s="46"/>
      <c r="G107" s="207"/>
      <c r="H107" s="207"/>
      <c r="I107" s="207"/>
      <c r="J107" s="207"/>
    </row>
    <row r="108" spans="1:10" s="22" customFormat="1">
      <c r="A108" s="46"/>
      <c r="G108" s="207"/>
      <c r="H108" s="207"/>
      <c r="I108" s="207"/>
      <c r="J108" s="207"/>
    </row>
    <row r="109" spans="1:10" s="22" customFormat="1">
      <c r="A109" s="46"/>
      <c r="G109" s="207"/>
      <c r="H109" s="207"/>
      <c r="I109" s="207"/>
      <c r="J109" s="207"/>
    </row>
    <row r="110" spans="1:10" s="22" customFormat="1">
      <c r="A110" s="46"/>
      <c r="G110" s="207"/>
      <c r="H110" s="207"/>
      <c r="I110" s="207"/>
      <c r="J110" s="207"/>
    </row>
    <row r="111" spans="1:10" s="22" customFormat="1">
      <c r="A111" s="46"/>
      <c r="G111" s="207"/>
      <c r="H111" s="207"/>
      <c r="I111" s="207"/>
      <c r="J111" s="207"/>
    </row>
    <row r="112" spans="1:10" s="22" customFormat="1">
      <c r="A112" s="46"/>
      <c r="G112" s="207"/>
      <c r="H112" s="207"/>
      <c r="I112" s="207"/>
      <c r="J112" s="207"/>
    </row>
    <row r="113" spans="1:10" s="22" customFormat="1">
      <c r="A113" s="46"/>
      <c r="G113" s="207"/>
      <c r="H113" s="207"/>
      <c r="I113" s="207"/>
      <c r="J113" s="207"/>
    </row>
    <row r="114" spans="1:10" s="22" customFormat="1">
      <c r="A114" s="46"/>
      <c r="G114" s="207"/>
      <c r="H114" s="207"/>
      <c r="I114" s="207"/>
      <c r="J114" s="207"/>
    </row>
    <row r="115" spans="1:10" s="22" customFormat="1">
      <c r="A115" s="46"/>
      <c r="G115" s="207"/>
      <c r="H115" s="207"/>
      <c r="I115" s="207"/>
      <c r="J115" s="207"/>
    </row>
    <row r="116" spans="1:10" s="22" customFormat="1">
      <c r="A116" s="46"/>
      <c r="G116" s="207"/>
      <c r="H116" s="207"/>
      <c r="I116" s="207"/>
      <c r="J116" s="207"/>
    </row>
    <row r="117" spans="1:10" s="22" customFormat="1">
      <c r="A117" s="46"/>
      <c r="G117" s="207"/>
      <c r="H117" s="207"/>
      <c r="I117" s="207"/>
      <c r="J117" s="207"/>
    </row>
    <row r="118" spans="1:10" s="22" customFormat="1">
      <c r="A118" s="46"/>
      <c r="G118" s="207"/>
      <c r="H118" s="207"/>
      <c r="I118" s="207"/>
      <c r="J118" s="207"/>
    </row>
    <row r="119" spans="1:10" s="22" customFormat="1">
      <c r="A119" s="46"/>
      <c r="G119" s="207"/>
      <c r="H119" s="207"/>
      <c r="I119" s="207"/>
      <c r="J119" s="207"/>
    </row>
    <row r="120" spans="1:10" s="22" customFormat="1">
      <c r="A120" s="46"/>
      <c r="G120" s="207"/>
      <c r="H120" s="207"/>
      <c r="I120" s="207"/>
      <c r="J120" s="207"/>
    </row>
    <row r="121" spans="1:10" s="22" customFormat="1">
      <c r="A121" s="46"/>
      <c r="G121" s="207"/>
      <c r="H121" s="207"/>
      <c r="I121" s="207"/>
      <c r="J121" s="207"/>
    </row>
    <row r="122" spans="1:10" s="22" customFormat="1">
      <c r="A122" s="46"/>
      <c r="G122" s="207"/>
      <c r="H122" s="207"/>
      <c r="I122" s="207"/>
      <c r="J122" s="207"/>
    </row>
    <row r="123" spans="1:10" s="22" customFormat="1">
      <c r="A123" s="46"/>
      <c r="G123" s="207"/>
      <c r="H123" s="207"/>
      <c r="I123" s="207"/>
      <c r="J123" s="207"/>
    </row>
    <row r="124" spans="1:10" s="22" customFormat="1">
      <c r="A124" s="46"/>
      <c r="G124" s="207"/>
      <c r="H124" s="207"/>
      <c r="I124" s="207"/>
      <c r="J124" s="207"/>
    </row>
    <row r="125" spans="1:10" s="22" customFormat="1">
      <c r="A125" s="46"/>
      <c r="G125" s="207"/>
      <c r="H125" s="207"/>
      <c r="I125" s="207"/>
      <c r="J125" s="207"/>
    </row>
    <row r="126" spans="1:10" s="22" customFormat="1">
      <c r="A126" s="46"/>
      <c r="G126" s="207"/>
      <c r="H126" s="207"/>
      <c r="I126" s="207"/>
      <c r="J126" s="207"/>
    </row>
    <row r="127" spans="1:10" s="22" customFormat="1">
      <c r="A127" s="46"/>
      <c r="G127" s="207"/>
      <c r="H127" s="207"/>
      <c r="I127" s="207"/>
      <c r="J127" s="207"/>
    </row>
    <row r="128" spans="1:10" s="22" customFormat="1">
      <c r="A128" s="46"/>
      <c r="G128" s="207"/>
      <c r="H128" s="207"/>
      <c r="I128" s="207"/>
      <c r="J128" s="207"/>
    </row>
    <row r="129" spans="1:10" s="22" customFormat="1">
      <c r="A129" s="46"/>
      <c r="G129" s="207"/>
      <c r="H129" s="207"/>
      <c r="I129" s="207"/>
      <c r="J129" s="207"/>
    </row>
    <row r="130" spans="1:10" s="22" customFormat="1">
      <c r="A130" s="46"/>
      <c r="G130" s="207"/>
      <c r="H130" s="207"/>
      <c r="I130" s="207"/>
      <c r="J130" s="207"/>
    </row>
    <row r="131" spans="1:10" s="22" customFormat="1">
      <c r="A131" s="46"/>
      <c r="G131" s="207"/>
      <c r="H131" s="207"/>
      <c r="I131" s="207"/>
      <c r="J131" s="207"/>
    </row>
    <row r="132" spans="1:10" s="22" customFormat="1">
      <c r="A132" s="46"/>
      <c r="G132" s="207"/>
      <c r="H132" s="207"/>
      <c r="I132" s="207"/>
      <c r="J132" s="207"/>
    </row>
    <row r="133" spans="1:10" s="22" customFormat="1">
      <c r="A133" s="46"/>
      <c r="G133" s="207"/>
      <c r="H133" s="207"/>
      <c r="I133" s="207"/>
      <c r="J133" s="207"/>
    </row>
    <row r="134" spans="1:10" s="22" customFormat="1">
      <c r="A134" s="46"/>
      <c r="G134" s="207"/>
      <c r="H134" s="207"/>
      <c r="I134" s="207"/>
      <c r="J134" s="207"/>
    </row>
    <row r="135" spans="1:10" s="22" customFormat="1">
      <c r="A135" s="46"/>
      <c r="G135" s="207"/>
      <c r="H135" s="207"/>
      <c r="I135" s="207"/>
      <c r="J135" s="207"/>
    </row>
    <row r="136" spans="1:10" s="22" customFormat="1">
      <c r="A136" s="46"/>
      <c r="G136" s="207"/>
      <c r="H136" s="207"/>
      <c r="I136" s="207"/>
      <c r="J136" s="207"/>
    </row>
    <row r="137" spans="1:10" s="22" customFormat="1">
      <c r="A137" s="46"/>
      <c r="G137" s="207"/>
      <c r="H137" s="207"/>
      <c r="I137" s="207"/>
      <c r="J137" s="207"/>
    </row>
    <row r="138" spans="1:10" s="22" customFormat="1">
      <c r="A138" s="46"/>
      <c r="G138" s="207"/>
      <c r="H138" s="207"/>
      <c r="I138" s="207"/>
      <c r="J138" s="207"/>
    </row>
    <row r="139" spans="1:10" s="22" customFormat="1">
      <c r="A139" s="46"/>
      <c r="G139" s="207"/>
      <c r="H139" s="207"/>
      <c r="I139" s="207"/>
      <c r="J139" s="207"/>
    </row>
    <row r="140" spans="1:10" s="22" customFormat="1">
      <c r="A140" s="46"/>
      <c r="G140" s="207"/>
      <c r="H140" s="207"/>
      <c r="I140" s="207"/>
      <c r="J140" s="207"/>
    </row>
    <row r="141" spans="1:10" s="22" customFormat="1">
      <c r="A141" s="46"/>
      <c r="G141" s="207"/>
      <c r="H141" s="207"/>
      <c r="I141" s="207"/>
      <c r="J141" s="207"/>
    </row>
    <row r="142" spans="1:10" s="22" customFormat="1">
      <c r="A142" s="46"/>
      <c r="G142" s="207"/>
      <c r="H142" s="207"/>
      <c r="I142" s="207"/>
      <c r="J142" s="207"/>
    </row>
    <row r="143" spans="1:10" s="22" customFormat="1">
      <c r="A143" s="46"/>
      <c r="G143" s="207"/>
      <c r="H143" s="207"/>
      <c r="I143" s="207"/>
      <c r="J143" s="207"/>
    </row>
    <row r="144" spans="1:10" s="22" customFormat="1">
      <c r="A144" s="46"/>
      <c r="G144" s="207"/>
      <c r="H144" s="207"/>
      <c r="I144" s="207"/>
      <c r="J144" s="207"/>
    </row>
    <row r="145" spans="1:10" s="22" customFormat="1">
      <c r="A145" s="46"/>
      <c r="G145" s="207"/>
      <c r="H145" s="207"/>
      <c r="I145" s="207"/>
      <c r="J145" s="207"/>
    </row>
    <row r="146" spans="1:10" s="22" customFormat="1">
      <c r="A146" s="46"/>
      <c r="G146" s="207"/>
      <c r="H146" s="207"/>
      <c r="I146" s="207"/>
      <c r="J146" s="207"/>
    </row>
    <row r="147" spans="1:10" s="22" customFormat="1">
      <c r="A147" s="46"/>
      <c r="G147" s="207"/>
      <c r="H147" s="207"/>
      <c r="I147" s="207"/>
      <c r="J147" s="207"/>
    </row>
    <row r="148" spans="1:10" s="22" customFormat="1">
      <c r="A148" s="46"/>
      <c r="G148" s="207"/>
      <c r="H148" s="207"/>
      <c r="I148" s="207"/>
      <c r="J148" s="207"/>
    </row>
    <row r="149" spans="1:10" s="22" customFormat="1">
      <c r="A149" s="46"/>
      <c r="G149" s="207"/>
      <c r="H149" s="207"/>
      <c r="I149" s="207"/>
      <c r="J149" s="207"/>
    </row>
    <row r="150" spans="1:10" s="22" customFormat="1">
      <c r="A150" s="46"/>
      <c r="G150" s="207"/>
      <c r="H150" s="207"/>
      <c r="I150" s="207"/>
      <c r="J150" s="207"/>
    </row>
    <row r="151" spans="1:10" s="22" customFormat="1">
      <c r="A151" s="46"/>
      <c r="G151" s="207"/>
      <c r="H151" s="207"/>
      <c r="I151" s="207"/>
      <c r="J151" s="207"/>
    </row>
    <row r="152" spans="1:10" s="22" customFormat="1">
      <c r="A152" s="46"/>
      <c r="G152" s="207"/>
      <c r="H152" s="207"/>
      <c r="I152" s="207"/>
      <c r="J152" s="207"/>
    </row>
    <row r="153" spans="1:10" s="22" customFormat="1">
      <c r="A153" s="46"/>
      <c r="G153" s="207"/>
      <c r="H153" s="207"/>
      <c r="I153" s="207"/>
      <c r="J153" s="207"/>
    </row>
    <row r="154" spans="1:10" s="22" customFormat="1">
      <c r="A154" s="46"/>
      <c r="G154" s="207"/>
      <c r="H154" s="207"/>
      <c r="I154" s="207"/>
      <c r="J154" s="207"/>
    </row>
    <row r="155" spans="1:10" s="22" customFormat="1">
      <c r="A155" s="46"/>
      <c r="G155" s="207"/>
      <c r="H155" s="207"/>
      <c r="I155" s="207"/>
      <c r="J155" s="207"/>
    </row>
    <row r="156" spans="1:10" s="22" customFormat="1">
      <c r="A156" s="46"/>
      <c r="G156" s="207"/>
      <c r="H156" s="207"/>
      <c r="I156" s="207"/>
      <c r="J156" s="207"/>
    </row>
    <row r="157" spans="1:10" s="22" customFormat="1">
      <c r="A157" s="46"/>
      <c r="G157" s="207"/>
      <c r="H157" s="207"/>
      <c r="I157" s="207"/>
      <c r="J157" s="207"/>
    </row>
    <row r="158" spans="1:10" s="22" customFormat="1">
      <c r="A158" s="46"/>
      <c r="G158" s="207"/>
      <c r="H158" s="207"/>
      <c r="I158" s="207"/>
      <c r="J158" s="207"/>
    </row>
    <row r="159" spans="1:10" s="22" customFormat="1">
      <c r="A159" s="46"/>
      <c r="G159" s="207"/>
      <c r="H159" s="207"/>
      <c r="I159" s="207"/>
      <c r="J159" s="207"/>
    </row>
    <row r="160" spans="1:10" s="22" customFormat="1">
      <c r="A160" s="46"/>
      <c r="G160" s="207"/>
      <c r="H160" s="207"/>
      <c r="I160" s="207"/>
      <c r="J160" s="207"/>
    </row>
    <row r="161" spans="1:10" s="22" customFormat="1">
      <c r="A161" s="46"/>
      <c r="G161" s="207"/>
      <c r="H161" s="207"/>
      <c r="I161" s="207"/>
      <c r="J161" s="207"/>
    </row>
    <row r="162" spans="1:10" s="22" customFormat="1">
      <c r="A162" s="46"/>
      <c r="G162" s="207"/>
      <c r="H162" s="207"/>
      <c r="I162" s="207"/>
      <c r="J162" s="207"/>
    </row>
    <row r="163" spans="1:10" s="22" customFormat="1">
      <c r="A163" s="46"/>
      <c r="G163" s="207"/>
      <c r="H163" s="207"/>
      <c r="I163" s="207"/>
      <c r="J163" s="207"/>
    </row>
    <row r="164" spans="1:10" s="22" customFormat="1">
      <c r="A164" s="46"/>
      <c r="G164" s="207"/>
      <c r="H164" s="207"/>
      <c r="I164" s="207"/>
      <c r="J164" s="207"/>
    </row>
    <row r="165" spans="1:10" s="22" customFormat="1">
      <c r="A165" s="46"/>
      <c r="G165" s="207"/>
      <c r="H165" s="207"/>
      <c r="I165" s="207"/>
      <c r="J165" s="207"/>
    </row>
    <row r="166" spans="1:10" s="22" customFormat="1">
      <c r="A166" s="46"/>
      <c r="G166" s="207"/>
      <c r="H166" s="207"/>
      <c r="I166" s="207"/>
      <c r="J166" s="207"/>
    </row>
    <row r="167" spans="1:10" s="22" customFormat="1">
      <c r="A167" s="46"/>
      <c r="G167" s="207"/>
      <c r="H167" s="207"/>
      <c r="I167" s="207"/>
      <c r="J167" s="207"/>
    </row>
    <row r="168" spans="1:10" s="22" customFormat="1">
      <c r="A168" s="46"/>
      <c r="G168" s="207"/>
      <c r="H168" s="207"/>
      <c r="I168" s="207"/>
      <c r="J168" s="207"/>
    </row>
    <row r="169" spans="1:10" s="22" customFormat="1">
      <c r="A169" s="46"/>
      <c r="G169" s="207"/>
      <c r="H169" s="207"/>
      <c r="I169" s="207"/>
      <c r="J169" s="207"/>
    </row>
    <row r="170" spans="1:10" s="22" customFormat="1">
      <c r="A170" s="46"/>
      <c r="G170" s="207"/>
      <c r="H170" s="207"/>
      <c r="I170" s="207"/>
      <c r="J170" s="207"/>
    </row>
    <row r="171" spans="1:10" s="22" customFormat="1">
      <c r="A171" s="46"/>
      <c r="G171" s="207"/>
      <c r="H171" s="207"/>
      <c r="I171" s="207"/>
      <c r="J171" s="207"/>
    </row>
    <row r="172" spans="1:10" s="22" customFormat="1">
      <c r="A172" s="46"/>
      <c r="G172" s="207"/>
      <c r="H172" s="207"/>
      <c r="I172" s="207"/>
      <c r="J172" s="207"/>
    </row>
    <row r="173" spans="1:10" s="22" customFormat="1">
      <c r="A173" s="46"/>
      <c r="G173" s="207"/>
      <c r="H173" s="207"/>
      <c r="I173" s="207"/>
      <c r="J173" s="207"/>
    </row>
    <row r="174" spans="1:10" s="22" customFormat="1">
      <c r="A174" s="46"/>
      <c r="G174" s="207"/>
      <c r="H174" s="207"/>
      <c r="I174" s="207"/>
      <c r="J174" s="207"/>
    </row>
    <row r="175" spans="1:10" s="22" customFormat="1">
      <c r="A175" s="46"/>
      <c r="G175" s="207"/>
      <c r="H175" s="207"/>
      <c r="I175" s="207"/>
      <c r="J175" s="207"/>
    </row>
    <row r="176" spans="1:10" s="22" customFormat="1">
      <c r="A176" s="46"/>
      <c r="G176" s="207"/>
      <c r="H176" s="207"/>
      <c r="I176" s="207"/>
      <c r="J176" s="207"/>
    </row>
    <row r="177" spans="1:10" s="22" customFormat="1">
      <c r="A177" s="46"/>
      <c r="G177" s="207"/>
      <c r="H177" s="207"/>
      <c r="I177" s="207"/>
      <c r="J177" s="207"/>
    </row>
    <row r="178" spans="1:10" s="22" customFormat="1">
      <c r="A178" s="46"/>
      <c r="G178" s="207"/>
      <c r="H178" s="207"/>
      <c r="I178" s="207"/>
      <c r="J178" s="207"/>
    </row>
    <row r="179" spans="1:10" s="22" customFormat="1">
      <c r="A179" s="46"/>
      <c r="G179" s="207"/>
      <c r="H179" s="207"/>
      <c r="I179" s="207"/>
      <c r="J179" s="207"/>
    </row>
    <row r="180" spans="1:10" s="22" customFormat="1">
      <c r="A180" s="46"/>
      <c r="G180" s="207"/>
      <c r="H180" s="207"/>
      <c r="I180" s="207"/>
      <c r="J180" s="207"/>
    </row>
    <row r="181" spans="1:10" s="22" customFormat="1">
      <c r="A181" s="46"/>
      <c r="G181" s="207"/>
      <c r="H181" s="207"/>
      <c r="I181" s="207"/>
      <c r="J181" s="207"/>
    </row>
    <row r="182" spans="1:10" s="22" customFormat="1">
      <c r="A182" s="46"/>
      <c r="G182" s="207"/>
      <c r="H182" s="207"/>
      <c r="I182" s="207"/>
      <c r="J182" s="207"/>
    </row>
    <row r="183" spans="1:10" s="22" customFormat="1">
      <c r="A183" s="46"/>
      <c r="G183" s="207"/>
      <c r="H183" s="207"/>
      <c r="I183" s="207"/>
      <c r="J183" s="207"/>
    </row>
    <row r="184" spans="1:10" s="22" customFormat="1">
      <c r="A184" s="46"/>
      <c r="G184" s="207"/>
      <c r="H184" s="207"/>
      <c r="I184" s="207"/>
      <c r="J184" s="207"/>
    </row>
    <row r="185" spans="1:10" s="22" customFormat="1">
      <c r="A185" s="46"/>
      <c r="G185" s="207"/>
      <c r="H185" s="207"/>
      <c r="I185" s="207"/>
      <c r="J185" s="207"/>
    </row>
    <row r="186" spans="1:10" s="22" customFormat="1">
      <c r="A186" s="46"/>
      <c r="G186" s="207"/>
      <c r="H186" s="207"/>
      <c r="I186" s="207"/>
      <c r="J186" s="207"/>
    </row>
    <row r="187" spans="1:10" s="22" customFormat="1">
      <c r="A187" s="46"/>
      <c r="G187" s="207"/>
      <c r="H187" s="207"/>
      <c r="I187" s="207"/>
      <c r="J187" s="207"/>
    </row>
    <row r="188" spans="1:10" s="22" customFormat="1">
      <c r="A188" s="46"/>
      <c r="G188" s="207"/>
      <c r="H188" s="207"/>
      <c r="I188" s="207"/>
      <c r="J188" s="207"/>
    </row>
  </sheetData>
  <sheetProtection formatCells="0" formatColumns="0" formatRows="0"/>
  <mergeCells count="37">
    <mergeCell ref="F12:J12"/>
    <mergeCell ref="F13:J13"/>
    <mergeCell ref="F14:J14"/>
    <mergeCell ref="A9:B9"/>
    <mergeCell ref="F9:J9"/>
    <mergeCell ref="A2:B2"/>
    <mergeCell ref="F2:J4"/>
    <mergeCell ref="A3:B3"/>
    <mergeCell ref="A4:B4"/>
    <mergeCell ref="A5:B5"/>
    <mergeCell ref="G5:H5"/>
    <mergeCell ref="F6:J6"/>
    <mergeCell ref="A7:B7"/>
    <mergeCell ref="F7:J7"/>
    <mergeCell ref="A8:B8"/>
    <mergeCell ref="F8:J8"/>
    <mergeCell ref="B18:F18"/>
    <mergeCell ref="H18:I18"/>
    <mergeCell ref="B19:G19"/>
    <mergeCell ref="H19:I19"/>
    <mergeCell ref="B20:F20"/>
    <mergeCell ref="H20:I20"/>
    <mergeCell ref="B29:F29"/>
    <mergeCell ref="B30:F30"/>
    <mergeCell ref="B28:F28"/>
    <mergeCell ref="B21:F21"/>
    <mergeCell ref="H21:I21"/>
    <mergeCell ref="B22:F22"/>
    <mergeCell ref="H22:I22"/>
    <mergeCell ref="H23:I23"/>
    <mergeCell ref="B24:G24"/>
    <mergeCell ref="H24:I24"/>
    <mergeCell ref="A25:F25"/>
    <mergeCell ref="G25:I25"/>
    <mergeCell ref="B26:F26"/>
    <mergeCell ref="G26:I26"/>
    <mergeCell ref="A27:F27"/>
  </mergeCells>
  <pageMargins left="0.25" right="0.25" top="0.75" bottom="0.75" header="0.3" footer="0.3"/>
  <pageSetup paperSize="9" scale="49" orientation="portrait" horizontalDpi="4294967293" r:id="rId1"/>
  <headerFooter alignWithMargins="0">
    <oddHeader xml:space="preserve">&amp;C&amp;"Times New Roman,обычный"&amp;14
&amp;R&amp;"Times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J229"/>
  <sheetViews>
    <sheetView tabSelected="1" view="pageBreakPreview" zoomScale="80" zoomScaleNormal="75" zoomScaleSheetLayoutView="80" workbookViewId="0">
      <selection activeCell="G30" sqref="G30"/>
    </sheetView>
  </sheetViews>
  <sheetFormatPr defaultRowHeight="18.75"/>
  <cols>
    <col min="1" max="1" width="53.140625" style="2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3.7109375" style="2" customWidth="1"/>
    <col min="8" max="9" width="14.5703125" style="2" customWidth="1"/>
    <col min="10" max="10" width="19.57031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0" ht="20.100000000000001" customHeight="1">
      <c r="A1" s="99"/>
      <c r="B1" s="99"/>
      <c r="C1" s="99"/>
      <c r="D1" s="99"/>
      <c r="E1" s="99"/>
      <c r="F1" s="99"/>
      <c r="G1" s="99"/>
      <c r="H1" s="99"/>
      <c r="I1" s="99"/>
      <c r="J1" s="99"/>
    </row>
    <row r="2" spans="1:10" ht="19.5" customHeight="1">
      <c r="A2" s="88"/>
      <c r="B2" s="99"/>
      <c r="C2" s="100"/>
      <c r="D2" s="99"/>
      <c r="E2" s="99"/>
      <c r="F2" s="99"/>
      <c r="G2" s="99"/>
      <c r="H2" s="99"/>
      <c r="I2" s="99"/>
      <c r="J2" s="99"/>
    </row>
    <row r="3" spans="1:10">
      <c r="A3" s="374" t="s">
        <v>434</v>
      </c>
      <c r="B3" s="374"/>
      <c r="C3" s="374"/>
      <c r="D3" s="374"/>
      <c r="E3" s="374"/>
      <c r="F3" s="374"/>
      <c r="G3" s="374"/>
      <c r="H3" s="374"/>
      <c r="I3" s="374"/>
      <c r="J3" s="374"/>
    </row>
    <row r="4" spans="1:10" ht="9" customHeight="1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>
      <c r="A5" s="373" t="s">
        <v>221</v>
      </c>
      <c r="B5" s="373"/>
      <c r="C5" s="373"/>
      <c r="D5" s="373"/>
      <c r="E5" s="373"/>
      <c r="F5" s="373"/>
      <c r="G5" s="373"/>
      <c r="H5" s="373"/>
      <c r="I5" s="373"/>
      <c r="J5" s="373"/>
    </row>
    <row r="6" spans="1:10" ht="12" customHeight="1">
      <c r="B6" s="24"/>
      <c r="C6" s="4"/>
      <c r="D6" s="24"/>
      <c r="E6" s="24"/>
      <c r="F6" s="24"/>
      <c r="G6" s="24"/>
      <c r="H6" s="24"/>
      <c r="I6" s="24"/>
      <c r="J6" s="24"/>
    </row>
    <row r="7" spans="1:10" ht="31.5" customHeight="1">
      <c r="A7" s="389" t="s">
        <v>271</v>
      </c>
      <c r="B7" s="390" t="s">
        <v>18</v>
      </c>
      <c r="C7" s="378" t="s">
        <v>435</v>
      </c>
      <c r="D7" s="378" t="s">
        <v>436</v>
      </c>
      <c r="E7" s="390" t="s">
        <v>437</v>
      </c>
      <c r="F7" s="380" t="s">
        <v>438</v>
      </c>
      <c r="G7" s="391" t="s">
        <v>272</v>
      </c>
      <c r="H7" s="392"/>
      <c r="I7" s="392"/>
      <c r="J7" s="393"/>
    </row>
    <row r="8" spans="1:10" ht="54.75" customHeight="1">
      <c r="A8" s="389"/>
      <c r="B8" s="390"/>
      <c r="C8" s="379"/>
      <c r="D8" s="379"/>
      <c r="E8" s="390"/>
      <c r="F8" s="381"/>
      <c r="G8" s="90" t="s">
        <v>265</v>
      </c>
      <c r="H8" s="90" t="s">
        <v>266</v>
      </c>
      <c r="I8" s="90" t="s">
        <v>267</v>
      </c>
      <c r="J8" s="90" t="s">
        <v>358</v>
      </c>
    </row>
    <row r="9" spans="1:10" ht="20.100000000000001" customHeight="1">
      <c r="A9" s="89">
        <v>1</v>
      </c>
      <c r="B9" s="90">
        <v>2</v>
      </c>
      <c r="C9" s="90">
        <v>3</v>
      </c>
      <c r="D9" s="90">
        <v>4</v>
      </c>
      <c r="E9" s="90">
        <v>5</v>
      </c>
      <c r="F9" s="90">
        <v>6</v>
      </c>
      <c r="G9" s="90">
        <v>7</v>
      </c>
      <c r="H9" s="90">
        <v>8</v>
      </c>
      <c r="I9" s="90">
        <v>9</v>
      </c>
      <c r="J9" s="90">
        <v>10</v>
      </c>
    </row>
    <row r="10" spans="1:10" ht="24.95" customHeight="1">
      <c r="A10" s="366" t="s">
        <v>107</v>
      </c>
      <c r="B10" s="367"/>
      <c r="C10" s="367"/>
      <c r="D10" s="367"/>
      <c r="E10" s="367"/>
      <c r="F10" s="367"/>
      <c r="G10" s="367"/>
      <c r="H10" s="367"/>
      <c r="I10" s="367"/>
      <c r="J10" s="368"/>
    </row>
    <row r="11" spans="1:10" ht="37.5">
      <c r="A11" s="91" t="s">
        <v>222</v>
      </c>
      <c r="B11" s="304">
        <f>'I. Фін результат'!B7</f>
        <v>1000</v>
      </c>
      <c r="C11" s="181">
        <f>'I. Фін результат'!C7</f>
        <v>0</v>
      </c>
      <c r="D11" s="181">
        <f>'I. Фін результат'!D7</f>
        <v>0</v>
      </c>
      <c r="E11" s="181">
        <f>'I. Фін результат'!I7</f>
        <v>0</v>
      </c>
      <c r="F11" s="181">
        <f>'I. Фін результат'!E7</f>
        <v>0</v>
      </c>
      <c r="G11" s="161">
        <f>ROUND(E11*1.056,0)</f>
        <v>0</v>
      </c>
      <c r="H11" s="161">
        <f>ROUND(G11*1.05,0)</f>
        <v>0</v>
      </c>
      <c r="I11" s="161">
        <f t="shared" ref="I11:I12" si="0">ROUND(H11*1.05,0)</f>
        <v>0</v>
      </c>
      <c r="J11" s="161">
        <f>ROUND(I11*1.05,0)</f>
        <v>0</v>
      </c>
    </row>
    <row r="12" spans="1:10" ht="37.5">
      <c r="A12" s="91" t="s">
        <v>190</v>
      </c>
      <c r="B12" s="304">
        <f>'I. Фін результат'!B9</f>
        <v>1010</v>
      </c>
      <c r="C12" s="181">
        <f>'I. Фін результат'!C9</f>
        <v>0</v>
      </c>
      <c r="D12" s="181">
        <f>'I. Фін результат'!D9</f>
        <v>200</v>
      </c>
      <c r="E12" s="181">
        <f>'I. Фін результат'!I9</f>
        <v>500</v>
      </c>
      <c r="F12" s="181">
        <f>'I. Фін результат'!E9</f>
        <v>1200</v>
      </c>
      <c r="G12" s="161">
        <f>ROUND(E12*1.056,0)</f>
        <v>528</v>
      </c>
      <c r="H12" s="161">
        <f>ROUND(G12*1.05,0)</f>
        <v>554</v>
      </c>
      <c r="I12" s="161">
        <f t="shared" si="0"/>
        <v>582</v>
      </c>
      <c r="J12" s="161">
        <f>ROUND(I12*1.05,0)</f>
        <v>611</v>
      </c>
    </row>
    <row r="13" spans="1:10" ht="20.100000000000001" customHeight="1">
      <c r="A13" s="93" t="s">
        <v>306</v>
      </c>
      <c r="B13" s="304">
        <f>'I. Фін результат'!B23</f>
        <v>1020</v>
      </c>
      <c r="C13" s="181">
        <f>'I. Фін результат'!C23</f>
        <v>0</v>
      </c>
      <c r="D13" s="181">
        <f>'I. Фін результат'!D23</f>
        <v>-200</v>
      </c>
      <c r="E13" s="181">
        <f>'I. Фін результат'!I23</f>
        <v>-500</v>
      </c>
      <c r="F13" s="181">
        <f>'I. Фін результат'!E23</f>
        <v>-1200</v>
      </c>
      <c r="G13" s="181">
        <f>G11-G12</f>
        <v>-528</v>
      </c>
      <c r="H13" s="181">
        <f>H11-H12</f>
        <v>-554</v>
      </c>
      <c r="I13" s="181">
        <f>I11-I12</f>
        <v>-582</v>
      </c>
      <c r="J13" s="181">
        <f>J11-J12</f>
        <v>-611</v>
      </c>
    </row>
    <row r="14" spans="1:10" ht="20.100000000000001" customHeight="1">
      <c r="A14" s="91" t="s">
        <v>155</v>
      </c>
      <c r="B14" s="304">
        <f>'I. Фін результат'!B27</f>
        <v>1040</v>
      </c>
      <c r="C14" s="181">
        <f>'I. Фін результат'!C27</f>
        <v>0</v>
      </c>
      <c r="D14" s="181">
        <f>'I. Фін результат'!D27</f>
        <v>2620</v>
      </c>
      <c r="E14" s="181">
        <f>'I. Фін результат'!I27</f>
        <v>4010</v>
      </c>
      <c r="F14" s="181">
        <f>'I. Фін результат'!E27</f>
        <v>2803</v>
      </c>
      <c r="G14" s="161">
        <f>ROUND(E14*1.056,0)</f>
        <v>4235</v>
      </c>
      <c r="H14" s="161">
        <f>ROUND(G14*1.05,0)</f>
        <v>4447</v>
      </c>
      <c r="I14" s="161">
        <f t="shared" ref="I14:I16" si="1">ROUND(H14*1.05,0)</f>
        <v>4669</v>
      </c>
      <c r="J14" s="161">
        <f>ROUND(I14*1.05,0)</f>
        <v>4902</v>
      </c>
    </row>
    <row r="15" spans="1:10" ht="20.100000000000001" customHeight="1">
      <c r="A15" s="91" t="s">
        <v>152</v>
      </c>
      <c r="B15" s="304">
        <f>'I. Фін результат'!B54</f>
        <v>1070</v>
      </c>
      <c r="C15" s="181">
        <f>'I. Фін результат'!C54</f>
        <v>0</v>
      </c>
      <c r="D15" s="181">
        <f>'I. Фін результат'!D54</f>
        <v>0</v>
      </c>
      <c r="E15" s="181">
        <f>'I. Фін результат'!I54</f>
        <v>0</v>
      </c>
      <c r="F15" s="181">
        <f>'I. Фін результат'!E54</f>
        <v>0</v>
      </c>
      <c r="G15" s="161">
        <f>ROUND(E15*1.056,0)</f>
        <v>0</v>
      </c>
      <c r="H15" s="161">
        <f>ROUND(G15*1.05,0)</f>
        <v>0</v>
      </c>
      <c r="I15" s="161">
        <f t="shared" ref="I15" si="2">ROUND(H15*1.05,0)</f>
        <v>0</v>
      </c>
      <c r="J15" s="161">
        <f>ROUND(I15*1.05,0)</f>
        <v>0</v>
      </c>
    </row>
    <row r="16" spans="1:10" ht="20.100000000000001" customHeight="1">
      <c r="A16" s="91" t="s">
        <v>156</v>
      </c>
      <c r="B16" s="304">
        <f>'I. Фін результат'!B87</f>
        <v>1300</v>
      </c>
      <c r="C16" s="181">
        <f>'I. Фін результат'!C87</f>
        <v>0</v>
      </c>
      <c r="D16" s="181">
        <f>'I. Фін результат'!D87</f>
        <v>-128</v>
      </c>
      <c r="E16" s="181">
        <f>'I. Фін результат'!I87</f>
        <v>0</v>
      </c>
      <c r="F16" s="181">
        <f>'I. Фін результат'!E87</f>
        <v>0</v>
      </c>
      <c r="G16" s="161">
        <f>ROUND(E16*1.056,0)</f>
        <v>0</v>
      </c>
      <c r="H16" s="161">
        <f>ROUND(G16*1.05,0)</f>
        <v>0</v>
      </c>
      <c r="I16" s="161">
        <f t="shared" si="1"/>
        <v>0</v>
      </c>
      <c r="J16" s="161">
        <f>ROUND(I16*1.05,0)</f>
        <v>0</v>
      </c>
    </row>
    <row r="17" spans="1:10" ht="37.5">
      <c r="A17" s="94" t="s">
        <v>4</v>
      </c>
      <c r="B17" s="304">
        <f>'I. Фін результат'!B69</f>
        <v>1100</v>
      </c>
      <c r="C17" s="181">
        <f>'I. Фін результат'!C69</f>
        <v>0</v>
      </c>
      <c r="D17" s="181">
        <f>'I. Фін результат'!D69</f>
        <v>-2948</v>
      </c>
      <c r="E17" s="181">
        <f>'I. Фін результат'!I69</f>
        <v>-4510</v>
      </c>
      <c r="F17" s="181">
        <f>'I. Фін результат'!E69</f>
        <v>-4003</v>
      </c>
      <c r="G17" s="181">
        <f>G13-G14-G15+G16</f>
        <v>-4763</v>
      </c>
      <c r="H17" s="181">
        <f>H13-H14-H15+H16</f>
        <v>-5001</v>
      </c>
      <c r="I17" s="181">
        <f>I13-I14-I15+I16</f>
        <v>-5251</v>
      </c>
      <c r="J17" s="181">
        <f>J13-J14-J15+J16</f>
        <v>-5513</v>
      </c>
    </row>
    <row r="18" spans="1:10" ht="20.100000000000001" customHeight="1">
      <c r="A18" s="94" t="s">
        <v>157</v>
      </c>
      <c r="B18" s="304">
        <f>'I. Фін результат'!B98</f>
        <v>1410</v>
      </c>
      <c r="C18" s="181">
        <f>'I. Фін результат'!C98</f>
        <v>0</v>
      </c>
      <c r="D18" s="181">
        <f>'I. Фін результат'!D98</f>
        <v>-2942</v>
      </c>
      <c r="E18" s="181">
        <f>'I. Фін результат'!I98</f>
        <v>-4000</v>
      </c>
      <c r="F18" s="181">
        <f>'I. Фін результат'!E98</f>
        <v>-4000</v>
      </c>
      <c r="G18" s="161">
        <f>ROUND(E18*1.056,0)</f>
        <v>-4224</v>
      </c>
      <c r="H18" s="161">
        <f>ROUND(G18*1.05,0)</f>
        <v>-4435</v>
      </c>
      <c r="I18" s="161">
        <f t="shared" ref="I18:I21" si="3">ROUND(H18*1.05,0)</f>
        <v>-4657</v>
      </c>
      <c r="J18" s="161">
        <f>ROUND(I18*1.05,0)</f>
        <v>-4890</v>
      </c>
    </row>
    <row r="19" spans="1:10" ht="20.100000000000001" customHeight="1">
      <c r="A19" s="95" t="s">
        <v>243</v>
      </c>
      <c r="B19" s="304">
        <f>' V. Коефіцієнти'!B8</f>
        <v>5010</v>
      </c>
      <c r="C19" s="333">
        <f>' V. Коефіцієнти'!D8</f>
        <v>0</v>
      </c>
      <c r="D19" s="333"/>
      <c r="E19" s="333"/>
      <c r="F19" s="333"/>
      <c r="G19" s="333">
        <f>' V. Коефіцієнти'!H8</f>
        <v>0</v>
      </c>
      <c r="H19" s="333">
        <f>' V. Коефіцієнти'!I8</f>
        <v>0</v>
      </c>
      <c r="I19" s="333">
        <f>' V. Коефіцієнти'!J8</f>
        <v>0</v>
      </c>
      <c r="J19" s="333">
        <f>' V. Коефіцієнти'!K8</f>
        <v>0</v>
      </c>
    </row>
    <row r="20" spans="1:10" ht="37.5">
      <c r="A20" s="95" t="s">
        <v>158</v>
      </c>
      <c r="B20" s="304">
        <f>'I. Фін результат'!B88</f>
        <v>1310</v>
      </c>
      <c r="C20" s="181">
        <f>'I. Фін результат'!C88</f>
        <v>0</v>
      </c>
      <c r="D20" s="181">
        <f>'I. Фін результат'!D88</f>
        <v>0</v>
      </c>
      <c r="E20" s="181">
        <f>'I. Фін результат'!I88</f>
        <v>0</v>
      </c>
      <c r="F20" s="181">
        <f>'I. Фін результат'!E88</f>
        <v>0</v>
      </c>
      <c r="G20" s="161">
        <f>ROUND(E20*1.056,0)</f>
        <v>0</v>
      </c>
      <c r="H20" s="161">
        <f>ROUND(G20*1.05,0)</f>
        <v>0</v>
      </c>
      <c r="I20" s="161">
        <f t="shared" si="3"/>
        <v>0</v>
      </c>
      <c r="J20" s="161">
        <f>ROUND(I20*1.05,0)</f>
        <v>0</v>
      </c>
    </row>
    <row r="21" spans="1:10" ht="20.100000000000001" customHeight="1">
      <c r="A21" s="91" t="s">
        <v>248</v>
      </c>
      <c r="B21" s="304">
        <f>'I. Фін результат'!B89</f>
        <v>1320</v>
      </c>
      <c r="C21" s="181">
        <f>'I. Фін результат'!C89</f>
        <v>0</v>
      </c>
      <c r="D21" s="181">
        <f>'I. Фін результат'!D89</f>
        <v>0</v>
      </c>
      <c r="E21" s="181">
        <f>'I. Фін результат'!I89</f>
        <v>0</v>
      </c>
      <c r="F21" s="181">
        <f>'I. Фін результат'!E89</f>
        <v>333</v>
      </c>
      <c r="G21" s="161">
        <f>ROUND(E21*1.056,0)</f>
        <v>0</v>
      </c>
      <c r="H21" s="161">
        <f>ROUND(G21*1.05,0)</f>
        <v>0</v>
      </c>
      <c r="I21" s="161">
        <f t="shared" si="3"/>
        <v>0</v>
      </c>
      <c r="J21" s="161">
        <f>ROUND(I21*1.05,0)</f>
        <v>0</v>
      </c>
    </row>
    <row r="22" spans="1:10" ht="37.5">
      <c r="A22" s="94" t="s">
        <v>105</v>
      </c>
      <c r="B22" s="304">
        <f>'I. Фін результат'!B79</f>
        <v>1170</v>
      </c>
      <c r="C22" s="181">
        <f>'I. Фін результат'!C79</f>
        <v>0</v>
      </c>
      <c r="D22" s="181">
        <f>'I. Фін результат'!D79</f>
        <v>-2948</v>
      </c>
      <c r="E22" s="181">
        <f>'I. Фін результат'!I79</f>
        <v>-4510</v>
      </c>
      <c r="F22" s="181">
        <f>'I. Фін результат'!E79</f>
        <v>-3670</v>
      </c>
      <c r="G22" s="181">
        <f>G17+G20+G21</f>
        <v>-4763</v>
      </c>
      <c r="H22" s="181">
        <f>H17+H20+H21</f>
        <v>-5001</v>
      </c>
      <c r="I22" s="181">
        <f>I17+I20+I21</f>
        <v>-5251</v>
      </c>
      <c r="J22" s="181">
        <f>J17+J20+J21</f>
        <v>-5513</v>
      </c>
    </row>
    <row r="23" spans="1:10" ht="20.100000000000001" customHeight="1">
      <c r="A23" s="95" t="s">
        <v>153</v>
      </c>
      <c r="B23" s="304">
        <f>'I. Фін результат'!B80</f>
        <v>1180</v>
      </c>
      <c r="C23" s="181">
        <f>'I. Фін результат'!C80</f>
        <v>0</v>
      </c>
      <c r="D23" s="181">
        <f>'I. Фін результат'!D80</f>
        <v>0</v>
      </c>
      <c r="E23" s="181">
        <f>'I. Фін результат'!I80</f>
        <v>0</v>
      </c>
      <c r="F23" s="181">
        <f>'I. Фін результат'!E80</f>
        <v>0</v>
      </c>
      <c r="G23" s="181">
        <f>IF(G22&gt;0,G22*18%,0)</f>
        <v>0</v>
      </c>
      <c r="H23" s="181">
        <f>IF(H22&gt;0,H22*18%,0)</f>
        <v>0</v>
      </c>
      <c r="I23" s="181">
        <f>IF(I22&gt;0,I22*18%,0)</f>
        <v>0</v>
      </c>
      <c r="J23" s="181">
        <f>IF(J22&gt;0,J22*18%,0)</f>
        <v>0</v>
      </c>
    </row>
    <row r="24" spans="1:10" ht="20.100000000000001" customHeight="1">
      <c r="A24" s="94" t="s">
        <v>244</v>
      </c>
      <c r="B24" s="304">
        <f>'I. Фін результат'!B82</f>
        <v>1200</v>
      </c>
      <c r="C24" s="181">
        <f>'I. Фін результат'!C82</f>
        <v>0</v>
      </c>
      <c r="D24" s="181">
        <f>'I. Фін результат'!D82</f>
        <v>-2948</v>
      </c>
      <c r="E24" s="181">
        <f>'I. Фін результат'!I82</f>
        <v>-4510</v>
      </c>
      <c r="F24" s="181">
        <f>'I. Фін результат'!E82</f>
        <v>-3670</v>
      </c>
      <c r="G24" s="181">
        <f>G22-G23</f>
        <v>-4763</v>
      </c>
      <c r="H24" s="181">
        <f>H22-H23</f>
        <v>-5001</v>
      </c>
      <c r="I24" s="181">
        <f>I22-I23</f>
        <v>-5251</v>
      </c>
      <c r="J24" s="181">
        <f>J22-J23</f>
        <v>-5513</v>
      </c>
    </row>
    <row r="25" spans="1:10" ht="20.100000000000001" customHeight="1">
      <c r="A25" s="95" t="s">
        <v>245</v>
      </c>
      <c r="B25" s="304">
        <f>' V. Коефіцієнти'!B11</f>
        <v>5040</v>
      </c>
      <c r="C25" s="333">
        <f>' V. Коефіцієнти'!D11</f>
        <v>0</v>
      </c>
      <c r="D25" s="333"/>
      <c r="E25" s="333"/>
      <c r="F25" s="333"/>
      <c r="G25" s="334" t="e">
        <f>G24/G11</f>
        <v>#DIV/0!</v>
      </c>
      <c r="H25" s="334" t="e">
        <f>H24/H11</f>
        <v>#DIV/0!</v>
      </c>
      <c r="I25" s="334" t="e">
        <f>I24/I11</f>
        <v>#DIV/0!</v>
      </c>
      <c r="J25" s="334" t="e">
        <f>J24/J11</f>
        <v>#DIV/0!</v>
      </c>
    </row>
    <row r="26" spans="1:10" ht="24.95" customHeight="1">
      <c r="A26" s="386" t="s">
        <v>170</v>
      </c>
      <c r="B26" s="387"/>
      <c r="C26" s="387"/>
      <c r="D26" s="387"/>
      <c r="E26" s="387"/>
      <c r="F26" s="387"/>
      <c r="G26" s="387"/>
      <c r="H26" s="387"/>
      <c r="I26" s="387"/>
      <c r="J26" s="388"/>
    </row>
    <row r="27" spans="1:10" ht="20.100000000000001" customHeight="1">
      <c r="A27" s="311" t="s">
        <v>363</v>
      </c>
      <c r="B27" s="304">
        <f>'ІІ. Розр. з бюджетом'!B19</f>
        <v>2100</v>
      </c>
      <c r="C27" s="181">
        <f>'ІІ. Розр. з бюджетом'!C19</f>
        <v>0</v>
      </c>
      <c r="D27" s="181">
        <f>'ІІ. Розр. з бюджетом'!D19</f>
        <v>0</v>
      </c>
      <c r="E27" s="181">
        <f>'ІІ. Розр. з бюджетом'!I19</f>
        <v>0</v>
      </c>
      <c r="F27" s="181">
        <f>'ІІ. Розр. з бюджетом'!E19</f>
        <v>0</v>
      </c>
      <c r="G27" s="161">
        <f>IF(G24&gt;0,ROUND(G24*0.66,0),0)</f>
        <v>0</v>
      </c>
      <c r="H27" s="161">
        <f t="shared" ref="H27:J27" si="4">IF(H24&gt;0,ROUND(H24*0.66,0),0)</f>
        <v>0</v>
      </c>
      <c r="I27" s="161">
        <f t="shared" si="4"/>
        <v>0</v>
      </c>
      <c r="J27" s="161">
        <f t="shared" si="4"/>
        <v>0</v>
      </c>
    </row>
    <row r="28" spans="1:10" ht="20.100000000000001" customHeight="1">
      <c r="A28" s="96" t="s">
        <v>169</v>
      </c>
      <c r="B28" s="304">
        <f>'ІІ. Розр. з бюджетом'!B22</f>
        <v>2110</v>
      </c>
      <c r="C28" s="181">
        <f>'ІІ. Розр. з бюджетом'!C22</f>
        <v>0</v>
      </c>
      <c r="D28" s="181">
        <f>'ІІ. Розр. з бюджетом'!D22</f>
        <v>0</v>
      </c>
      <c r="E28" s="181">
        <f>'ІІ. Розр. з бюджетом'!I22</f>
        <v>0</v>
      </c>
      <c r="F28" s="181">
        <f>'ІІ. Розр. з бюджетом'!E22</f>
        <v>0</v>
      </c>
      <c r="G28" s="181">
        <f>G23</f>
        <v>0</v>
      </c>
      <c r="H28" s="181">
        <f>H23</f>
        <v>0</v>
      </c>
      <c r="I28" s="181">
        <f>I23</f>
        <v>0</v>
      </c>
      <c r="J28" s="181">
        <f>J23</f>
        <v>0</v>
      </c>
    </row>
    <row r="29" spans="1:10" ht="56.25">
      <c r="A29" s="96" t="s">
        <v>359</v>
      </c>
      <c r="B29" s="304" t="s">
        <v>246</v>
      </c>
      <c r="C29" s="181">
        <f>SUM('ІІ. Розр. з бюджетом'!C23,'ІІ. Розр. з бюджетом'!C24)</f>
        <v>0</v>
      </c>
      <c r="D29" s="181">
        <f>SUM('ІІ. Розр. з бюджетом'!D23,'ІІ. Розр. з бюджетом'!D24)</f>
        <v>0</v>
      </c>
      <c r="E29" s="181">
        <f>'ІІ. Розр. з бюджетом'!I23+'ІІ. Розр. з бюджетом'!I24</f>
        <v>0</v>
      </c>
      <c r="F29" s="181">
        <f>SUM('ІІ. Розр. з бюджетом'!E23,'ІІ. Розр. з бюджетом'!E24)</f>
        <v>0</v>
      </c>
      <c r="G29" s="161">
        <f>ROUND(E29*1.056,0)</f>
        <v>0</v>
      </c>
      <c r="H29" s="161">
        <f>ROUND(G29*1.05,0)</f>
        <v>0</v>
      </c>
      <c r="I29" s="161">
        <f t="shared" ref="I29:I31" si="5">ROUND(H29*1.05,0)</f>
        <v>0</v>
      </c>
      <c r="J29" s="161">
        <f>ROUND(I29*1.05,0)</f>
        <v>0</v>
      </c>
    </row>
    <row r="30" spans="1:10" ht="56.25">
      <c r="A30" s="311" t="s">
        <v>364</v>
      </c>
      <c r="B30" s="304">
        <f>'ІІ. Розр. з бюджетом'!B25</f>
        <v>2140</v>
      </c>
      <c r="C30" s="181">
        <f>'ІІ. Розр. з бюджетом'!C25</f>
        <v>0</v>
      </c>
      <c r="D30" s="181">
        <f>'ІІ. Розр. з бюджетом'!D25</f>
        <v>419.32499999999999</v>
      </c>
      <c r="E30" s="181">
        <f>'ІІ. Розр. з бюджетом'!I25</f>
        <v>600</v>
      </c>
      <c r="F30" s="181">
        <f>'ІІ. Розр. з бюджетом'!E25</f>
        <v>430.95</v>
      </c>
      <c r="G30" s="161">
        <f>ROUND(E30*1.056,0)</f>
        <v>634</v>
      </c>
      <c r="H30" s="161">
        <f>ROUND(G30*1.05,0)</f>
        <v>666</v>
      </c>
      <c r="I30" s="161">
        <f t="shared" ref="I30" si="6">ROUND(H30*1.05,0)</f>
        <v>699</v>
      </c>
      <c r="J30" s="161">
        <f>ROUND(I30*1.05,0)</f>
        <v>734</v>
      </c>
    </row>
    <row r="31" spans="1:10" ht="39" customHeight="1">
      <c r="A31" s="311" t="s">
        <v>89</v>
      </c>
      <c r="B31" s="304">
        <f>'ІІ. Розр. з бюджетом'!B37</f>
        <v>2150</v>
      </c>
      <c r="C31" s="181">
        <f>'ІІ. Розр. з бюджетом'!C37</f>
        <v>0</v>
      </c>
      <c r="D31" s="181">
        <f>'ІІ. Розр. з бюджетом'!D37</f>
        <v>465</v>
      </c>
      <c r="E31" s="181">
        <f>'ІІ. Розр. з бюджетом'!I37</f>
        <v>660</v>
      </c>
      <c r="F31" s="181">
        <f>'ІІ. Розр. з бюджетом'!E37</f>
        <v>484</v>
      </c>
      <c r="G31" s="161">
        <f>ROUND(E31*1.056,0)</f>
        <v>697</v>
      </c>
      <c r="H31" s="161">
        <f>ROUND(G31*1.05,0)</f>
        <v>732</v>
      </c>
      <c r="I31" s="161">
        <f t="shared" si="5"/>
        <v>769</v>
      </c>
      <c r="J31" s="161">
        <f>ROUND(I31*1.05,0)</f>
        <v>807</v>
      </c>
    </row>
    <row r="32" spans="1:10" ht="20.100000000000001" customHeight="1">
      <c r="A32" s="97" t="s">
        <v>365</v>
      </c>
      <c r="B32" s="304">
        <f>'ІІ. Розр. з бюджетом'!B38</f>
        <v>2200</v>
      </c>
      <c r="C32" s="181">
        <f>'ІІ. Розр. з бюджетом'!C38</f>
        <v>0</v>
      </c>
      <c r="D32" s="181">
        <f>'ІІ. Розр. з бюджетом'!D38</f>
        <v>884.32500000000005</v>
      </c>
      <c r="E32" s="181">
        <f>'ІІ. Розр. з бюджетом'!I38</f>
        <v>1260</v>
      </c>
      <c r="F32" s="181">
        <f>'ІІ. Розр. з бюджетом'!E38</f>
        <v>914.95</v>
      </c>
      <c r="G32" s="181">
        <f>SUM(G27:G31)</f>
        <v>1331</v>
      </c>
      <c r="H32" s="181">
        <f>SUM(H27:H31)</f>
        <v>1398</v>
      </c>
      <c r="I32" s="181">
        <f>SUM(I27:I31)</f>
        <v>1468</v>
      </c>
      <c r="J32" s="181">
        <f>SUM(J27:J31)</f>
        <v>1541</v>
      </c>
    </row>
    <row r="33" spans="1:10" ht="24.95" customHeight="1">
      <c r="A33" s="386" t="s">
        <v>168</v>
      </c>
      <c r="B33" s="387"/>
      <c r="C33" s="387"/>
      <c r="D33" s="387"/>
      <c r="E33" s="387"/>
      <c r="F33" s="387"/>
      <c r="G33" s="387"/>
      <c r="H33" s="387"/>
      <c r="I33" s="387"/>
      <c r="J33" s="388"/>
    </row>
    <row r="34" spans="1:10" ht="20.100000000000001" customHeight="1">
      <c r="A34" s="97" t="s">
        <v>159</v>
      </c>
      <c r="B34" s="304">
        <f>'ІІІ. Рух грош. коштів'!B76</f>
        <v>3600</v>
      </c>
      <c r="C34" s="181">
        <f>'ІІІ. Рух грош. коштів'!C76</f>
        <v>0</v>
      </c>
      <c r="D34" s="181">
        <f>'ІІІ. Рух грош. коштів'!D76</f>
        <v>32000</v>
      </c>
      <c r="E34" s="181">
        <f>'ІІІ. Рух грош. коштів'!I76</f>
        <v>2918</v>
      </c>
      <c r="F34" s="181">
        <f>'ІІІ. Рух грош. коштів'!E76</f>
        <v>32000</v>
      </c>
      <c r="G34" s="181">
        <f>E39</f>
        <v>18</v>
      </c>
      <c r="H34" s="181">
        <f>G39</f>
        <v>955</v>
      </c>
      <c r="I34" s="181">
        <f>H39</f>
        <v>1939</v>
      </c>
      <c r="J34" s="181">
        <f>I39</f>
        <v>2972</v>
      </c>
    </row>
    <row r="35" spans="1:10" ht="37.5">
      <c r="A35" s="311" t="s">
        <v>160</v>
      </c>
      <c r="B35" s="304">
        <f>'ІІІ. Рух грош. коштів'!B19</f>
        <v>3090</v>
      </c>
      <c r="C35" s="181">
        <f>'ІІІ. Рух грош. коштів'!C19</f>
        <v>0</v>
      </c>
      <c r="D35" s="181">
        <f>'ІІІ. Рух грош. коштів'!D19</f>
        <v>-2942</v>
      </c>
      <c r="E35" s="181">
        <f>'ІІІ. Рух грош. коштів'!I19</f>
        <v>-4000</v>
      </c>
      <c r="F35" s="181">
        <f>'ІІІ. Рух грош. коштів'!E19</f>
        <v>-3667</v>
      </c>
      <c r="G35" s="161">
        <f>ROUND(E35*1.056,0)</f>
        <v>-4224</v>
      </c>
      <c r="H35" s="161">
        <f>ROUND(G35*1.05,0)</f>
        <v>-4435</v>
      </c>
      <c r="I35" s="161">
        <f t="shared" ref="I35" si="7">ROUND(H35*1.05,0)</f>
        <v>-4657</v>
      </c>
      <c r="J35" s="161">
        <f>ROUND(I35*1.05,0)</f>
        <v>-4890</v>
      </c>
    </row>
    <row r="36" spans="1:10" ht="37.5">
      <c r="A36" s="311" t="s">
        <v>249</v>
      </c>
      <c r="B36" s="304">
        <f>'ІІІ. Рух грош. коштів'!B46</f>
        <v>3320</v>
      </c>
      <c r="C36" s="181">
        <f>'ІІІ. Рух грош. коштів'!C46</f>
        <v>0</v>
      </c>
      <c r="D36" s="181">
        <f>'ІІІ. Рух грош. коштів'!D46</f>
        <v>-34052</v>
      </c>
      <c r="E36" s="181">
        <f>'ІІІ. Рух грош. коштів'!I46</f>
        <v>-45384</v>
      </c>
      <c r="F36" s="181">
        <f>'ІІІ. Рух грош. коштів'!E46</f>
        <v>-32915</v>
      </c>
      <c r="G36" s="161">
        <f>ROUND(E36*1.056,0)+4000</f>
        <v>-43926</v>
      </c>
      <c r="H36" s="161">
        <f t="shared" ref="H36:H37" si="8">ROUND(G36*1.05,0)</f>
        <v>-46122</v>
      </c>
      <c r="I36" s="161">
        <f t="shared" ref="I36:I37" si="9">ROUND(H36*1.05,0)</f>
        <v>-48428</v>
      </c>
      <c r="J36" s="161">
        <f t="shared" ref="J36:J37" si="10">ROUND(I36*1.05,0)</f>
        <v>-50849</v>
      </c>
    </row>
    <row r="37" spans="1:10" ht="37.5">
      <c r="A37" s="311" t="s">
        <v>161</v>
      </c>
      <c r="B37" s="304">
        <f>'ІІІ. Рух грош. коштів'!B74</f>
        <v>3580</v>
      </c>
      <c r="C37" s="181">
        <f>'ІІІ. Рух грош. коштів'!C74</f>
        <v>32000</v>
      </c>
      <c r="D37" s="181">
        <f>'ІІІ. Рух грош. коштів'!D74</f>
        <v>5000</v>
      </c>
      <c r="E37" s="181">
        <f>'ІІІ. Рух грош. коштів'!I74</f>
        <v>46484</v>
      </c>
      <c r="F37" s="181">
        <f>'ІІІ. Рух грош. коштів'!E74</f>
        <v>7500</v>
      </c>
      <c r="G37" s="161">
        <f t="shared" ref="G36:G37" si="11">ROUND(E37*1.056,0)</f>
        <v>49087</v>
      </c>
      <c r="H37" s="161">
        <f t="shared" si="8"/>
        <v>51541</v>
      </c>
      <c r="I37" s="161">
        <f t="shared" si="9"/>
        <v>54118</v>
      </c>
      <c r="J37" s="161">
        <f t="shared" si="10"/>
        <v>56824</v>
      </c>
    </row>
    <row r="38" spans="1:10" ht="37.5">
      <c r="A38" s="311" t="s">
        <v>185</v>
      </c>
      <c r="B38" s="304">
        <f>'ІІІ. Рух грош. коштів'!B77</f>
        <v>3610</v>
      </c>
      <c r="C38" s="181">
        <f>'ІІІ. Рух грош. коштів'!C77</f>
        <v>0</v>
      </c>
      <c r="D38" s="181">
        <f>'ІІІ. Рух грош. коштів'!D77</f>
        <v>0</v>
      </c>
      <c r="E38" s="181">
        <f>'ІІІ. Рух грош. коштів'!I77</f>
        <v>0</v>
      </c>
      <c r="F38" s="181">
        <f>'ІІІ. Рух грош. коштів'!E77</f>
        <v>0</v>
      </c>
      <c r="G38" s="161">
        <f>ROUND(E38*105.9%,0)</f>
        <v>0</v>
      </c>
      <c r="H38" s="161">
        <f>ROUND(G38*105%,0)</f>
        <v>0</v>
      </c>
      <c r="I38" s="161">
        <f t="shared" ref="H36:J38" si="12">ROUND(H38*105%,0)</f>
        <v>0</v>
      </c>
      <c r="J38" s="161">
        <f t="shared" si="12"/>
        <v>0</v>
      </c>
    </row>
    <row r="39" spans="1:10" ht="20.100000000000001" customHeight="1">
      <c r="A39" s="97" t="s">
        <v>162</v>
      </c>
      <c r="B39" s="304">
        <f>'ІІІ. Рух грош. коштів'!B78</f>
        <v>3620</v>
      </c>
      <c r="C39" s="181">
        <f>'ІІІ. Рух грош. коштів'!C78</f>
        <v>32000</v>
      </c>
      <c r="D39" s="181">
        <f>'ІІІ. Рух грош. коштів'!D78</f>
        <v>6</v>
      </c>
      <c r="E39" s="181">
        <f>'ІІІ. Рух грош. коштів'!I78</f>
        <v>18</v>
      </c>
      <c r="F39" s="181">
        <f>'ІІІ. Рух грош. коштів'!E78</f>
        <v>2918</v>
      </c>
      <c r="G39" s="181">
        <f>G37+G34+G35+G36</f>
        <v>955</v>
      </c>
      <c r="H39" s="181">
        <f>SUM(H34:H38)</f>
        <v>1939</v>
      </c>
      <c r="I39" s="181">
        <f>SUM(I34:I38)</f>
        <v>2972</v>
      </c>
      <c r="J39" s="181">
        <f>SUM(J34:J38)</f>
        <v>4057</v>
      </c>
    </row>
    <row r="40" spans="1:10" ht="24.95" customHeight="1">
      <c r="A40" s="383" t="s">
        <v>229</v>
      </c>
      <c r="B40" s="384"/>
      <c r="C40" s="384"/>
      <c r="D40" s="384"/>
      <c r="E40" s="384"/>
      <c r="F40" s="384"/>
      <c r="G40" s="384"/>
      <c r="H40" s="384"/>
      <c r="I40" s="384"/>
      <c r="J40" s="385"/>
    </row>
    <row r="41" spans="1:10" ht="20.100000000000001" customHeight="1">
      <c r="A41" s="311" t="s">
        <v>228</v>
      </c>
      <c r="B41" s="304">
        <f>'IV. Кап. інвестиції'!B6</f>
        <v>4000</v>
      </c>
      <c r="C41" s="181">
        <f>'IV. Кап. інвестиції'!C6</f>
        <v>0</v>
      </c>
      <c r="D41" s="181">
        <f>'IV. Кап. інвестиції'!D6</f>
        <v>28376</v>
      </c>
      <c r="E41" s="181">
        <f>'IV. Кап. інвестиції'!I6</f>
        <v>45384</v>
      </c>
      <c r="F41" s="181">
        <f>'IV. Кап. інвестиції'!E6</f>
        <v>32915</v>
      </c>
      <c r="G41" s="161">
        <f t="shared" ref="G41" si="13">ROUND(E41*1.055,0)</f>
        <v>47880</v>
      </c>
      <c r="H41" s="161">
        <f t="shared" ref="H41:J41" si="14">ROUND(G41*1.052,0)</f>
        <v>50370</v>
      </c>
      <c r="I41" s="161">
        <f t="shared" si="14"/>
        <v>52989</v>
      </c>
      <c r="J41" s="161">
        <f t="shared" si="14"/>
        <v>55744</v>
      </c>
    </row>
    <row r="42" spans="1:10" ht="24.95" customHeight="1">
      <c r="A42" s="375" t="s">
        <v>232</v>
      </c>
      <c r="B42" s="376"/>
      <c r="C42" s="376"/>
      <c r="D42" s="376"/>
      <c r="E42" s="376"/>
      <c r="F42" s="376"/>
      <c r="G42" s="376"/>
      <c r="H42" s="376"/>
      <c r="I42" s="376"/>
      <c r="J42" s="377"/>
    </row>
    <row r="43" spans="1:10" ht="20.100000000000001" customHeight="1">
      <c r="A43" s="311" t="s">
        <v>188</v>
      </c>
      <c r="B43" s="304">
        <f>' V. Коефіцієнти'!B9</f>
        <v>5020</v>
      </c>
      <c r="C43" s="333">
        <f>' V. Коефіцієнти'!D9</f>
        <v>0</v>
      </c>
      <c r="D43" s="333">
        <f>' V. Коефіцієнти'!F9</f>
        <v>-0.10243385061962711</v>
      </c>
      <c r="E43" s="333">
        <f>' V. Коефіцієнти'!G9</f>
        <v>-5.7967661499704379E-2</v>
      </c>
      <c r="F43" s="333">
        <f>' V. Коефіцієнти'!F9</f>
        <v>-0.10243385061962711</v>
      </c>
      <c r="G43" s="92" t="s">
        <v>240</v>
      </c>
      <c r="H43" s="92" t="s">
        <v>240</v>
      </c>
      <c r="I43" s="92" t="s">
        <v>240</v>
      </c>
      <c r="J43" s="92" t="s">
        <v>240</v>
      </c>
    </row>
    <row r="44" spans="1:10" ht="37.5">
      <c r="A44" s="311" t="s">
        <v>184</v>
      </c>
      <c r="B44" s="304">
        <f>' V. Коефіцієнти'!B10</f>
        <v>5030</v>
      </c>
      <c r="C44" s="333">
        <f>' V. Коефіцієнти'!D10</f>
        <v>0</v>
      </c>
      <c r="D44" s="333">
        <f>' V. Коефіцієнти'!F10</f>
        <v>-0.10243385061962711</v>
      </c>
      <c r="E44" s="333">
        <f>' V. Коефіцієнти'!G10</f>
        <v>-5.7967661499704379E-2</v>
      </c>
      <c r="F44" s="333">
        <f>' V. Коефіцієнти'!F10</f>
        <v>-0.10243385061962711</v>
      </c>
      <c r="G44" s="92" t="s">
        <v>240</v>
      </c>
      <c r="H44" s="92" t="s">
        <v>240</v>
      </c>
      <c r="I44" s="92" t="s">
        <v>240</v>
      </c>
      <c r="J44" s="92" t="s">
        <v>240</v>
      </c>
    </row>
    <row r="45" spans="1:10" ht="20.100000000000001" customHeight="1">
      <c r="A45" s="311" t="s">
        <v>247</v>
      </c>
      <c r="B45" s="304">
        <f>' V. Коефіцієнти'!B14</f>
        <v>5110</v>
      </c>
      <c r="C45" s="333">
        <f>' V. Коефіцієнти'!D14</f>
        <v>0.2</v>
      </c>
      <c r="D45" s="333">
        <f>' V. Коефіцієнти'!F14</f>
        <v>0</v>
      </c>
      <c r="E45" s="333">
        <f>' V. Коефіцієнти'!G14</f>
        <v>0</v>
      </c>
      <c r="F45" s="333">
        <f>' V. Коефіцієнти'!F14</f>
        <v>0</v>
      </c>
      <c r="G45" s="92" t="s">
        <v>240</v>
      </c>
      <c r="H45" s="92" t="s">
        <v>240</v>
      </c>
      <c r="I45" s="92" t="s">
        <v>240</v>
      </c>
      <c r="J45" s="92" t="s">
        <v>240</v>
      </c>
    </row>
    <row r="46" spans="1:10" ht="24.95" customHeight="1">
      <c r="A46" s="386" t="s">
        <v>231</v>
      </c>
      <c r="B46" s="387"/>
      <c r="C46" s="387"/>
      <c r="D46" s="387"/>
      <c r="E46" s="387"/>
      <c r="F46" s="387"/>
      <c r="G46" s="387"/>
      <c r="H46" s="387"/>
      <c r="I46" s="387"/>
      <c r="J46" s="388"/>
    </row>
    <row r="47" spans="1:10" ht="20.100000000000001" customHeight="1">
      <c r="A47" s="311" t="s">
        <v>163</v>
      </c>
      <c r="B47" s="304">
        <v>6000</v>
      </c>
      <c r="C47" s="161">
        <v>0</v>
      </c>
      <c r="D47" s="161">
        <v>25412</v>
      </c>
      <c r="E47" s="574">
        <f>F41+E41-'I. Фін результат'!I105-5</f>
        <v>77784</v>
      </c>
      <c r="F47" s="161">
        <v>32908</v>
      </c>
      <c r="G47" s="98" t="s">
        <v>240</v>
      </c>
      <c r="H47" s="98" t="s">
        <v>240</v>
      </c>
      <c r="I47" s="98" t="s">
        <v>240</v>
      </c>
      <c r="J47" s="98" t="s">
        <v>240</v>
      </c>
    </row>
    <row r="48" spans="1:10" ht="20.100000000000001" customHeight="1">
      <c r="A48" s="311" t="s">
        <v>164</v>
      </c>
      <c r="B48" s="304">
        <v>6010</v>
      </c>
      <c r="C48" s="161">
        <v>32000</v>
      </c>
      <c r="D48" s="161">
        <v>3988</v>
      </c>
      <c r="E48" s="575">
        <f>E49</f>
        <v>18</v>
      </c>
      <c r="F48" s="161">
        <v>2920</v>
      </c>
      <c r="G48" s="98" t="s">
        <v>240</v>
      </c>
      <c r="H48" s="98" t="s">
        <v>240</v>
      </c>
      <c r="I48" s="98" t="s">
        <v>240</v>
      </c>
      <c r="J48" s="98" t="s">
        <v>240</v>
      </c>
    </row>
    <row r="49" spans="1:10" ht="37.5">
      <c r="A49" s="311" t="s">
        <v>273</v>
      </c>
      <c r="B49" s="304">
        <v>6020</v>
      </c>
      <c r="C49" s="161">
        <f>'ІІІ. Рух грош. коштів'!C78</f>
        <v>32000</v>
      </c>
      <c r="D49" s="161">
        <f>'ІІІ. Рух грош. коштів'!D78</f>
        <v>6</v>
      </c>
      <c r="E49" s="575">
        <f>'ІІІ. Рух грош. коштів'!I78</f>
        <v>18</v>
      </c>
      <c r="F49" s="161">
        <f>'ІІІ. Рух грош. коштів'!E78</f>
        <v>2918</v>
      </c>
      <c r="G49" s="98" t="s">
        <v>240</v>
      </c>
      <c r="H49" s="98" t="s">
        <v>240</v>
      </c>
      <c r="I49" s="98" t="s">
        <v>240</v>
      </c>
      <c r="J49" s="98" t="s">
        <v>240</v>
      </c>
    </row>
    <row r="50" spans="1:10" s="5" customFormat="1" ht="20.100000000000001" customHeight="1">
      <c r="A50" s="97" t="s">
        <v>277</v>
      </c>
      <c r="B50" s="304">
        <v>6030</v>
      </c>
      <c r="C50" s="161">
        <f>C47+C48</f>
        <v>32000</v>
      </c>
      <c r="D50" s="161">
        <f>D47+D48</f>
        <v>29400</v>
      </c>
      <c r="E50" s="575">
        <f>E47+E48</f>
        <v>77802</v>
      </c>
      <c r="F50" s="161">
        <f>F47+F48</f>
        <v>35828</v>
      </c>
      <c r="G50" s="98" t="s">
        <v>240</v>
      </c>
      <c r="H50" s="98" t="s">
        <v>240</v>
      </c>
      <c r="I50" s="98" t="s">
        <v>240</v>
      </c>
      <c r="J50" s="98" t="s">
        <v>240</v>
      </c>
    </row>
    <row r="51" spans="1:10" ht="20.100000000000001" customHeight="1">
      <c r="A51" s="311" t="s">
        <v>186</v>
      </c>
      <c r="B51" s="304">
        <v>6040</v>
      </c>
      <c r="C51" s="161"/>
      <c r="D51" s="161"/>
      <c r="E51" s="575"/>
      <c r="F51" s="161"/>
      <c r="G51" s="98" t="s">
        <v>240</v>
      </c>
      <c r="H51" s="98" t="s">
        <v>240</v>
      </c>
      <c r="I51" s="98" t="s">
        <v>240</v>
      </c>
      <c r="J51" s="98" t="s">
        <v>240</v>
      </c>
    </row>
    <row r="52" spans="1:10" ht="20.100000000000001" customHeight="1">
      <c r="A52" s="311" t="s">
        <v>187</v>
      </c>
      <c r="B52" s="304">
        <v>6050</v>
      </c>
      <c r="C52" s="161">
        <v>0</v>
      </c>
      <c r="D52" s="161">
        <v>400</v>
      </c>
      <c r="E52" s="575"/>
      <c r="F52" s="161"/>
      <c r="G52" s="98" t="s">
        <v>240</v>
      </c>
      <c r="H52" s="98" t="s">
        <v>240</v>
      </c>
      <c r="I52" s="98" t="s">
        <v>240</v>
      </c>
      <c r="J52" s="98" t="s">
        <v>240</v>
      </c>
    </row>
    <row r="53" spans="1:10" s="5" customFormat="1" ht="20.100000000000001" customHeight="1">
      <c r="A53" s="97" t="s">
        <v>276</v>
      </c>
      <c r="B53" s="304">
        <v>6060</v>
      </c>
      <c r="C53" s="181">
        <f>SUM(C51:C52)</f>
        <v>0</v>
      </c>
      <c r="D53" s="181">
        <f>SUM(D51:D52)</f>
        <v>400</v>
      </c>
      <c r="E53" s="574">
        <f>SUM(E51:E52)</f>
        <v>0</v>
      </c>
      <c r="F53" s="181">
        <f>SUM(F51:F52)</f>
        <v>0</v>
      </c>
      <c r="G53" s="98" t="s">
        <v>240</v>
      </c>
      <c r="H53" s="98" t="s">
        <v>240</v>
      </c>
      <c r="I53" s="98" t="s">
        <v>240</v>
      </c>
      <c r="J53" s="98" t="s">
        <v>240</v>
      </c>
    </row>
    <row r="54" spans="1:10" ht="20.100000000000001" customHeight="1">
      <c r="A54" s="311" t="s">
        <v>274</v>
      </c>
      <c r="B54" s="304">
        <v>6070</v>
      </c>
      <c r="C54" s="161"/>
      <c r="D54" s="161"/>
      <c r="E54" s="575"/>
      <c r="F54" s="161"/>
      <c r="G54" s="98" t="s">
        <v>240</v>
      </c>
      <c r="H54" s="98" t="s">
        <v>240</v>
      </c>
      <c r="I54" s="98" t="s">
        <v>240</v>
      </c>
      <c r="J54" s="98" t="s">
        <v>240</v>
      </c>
    </row>
    <row r="55" spans="1:10" ht="20.100000000000001" customHeight="1">
      <c r="A55" s="311" t="s">
        <v>275</v>
      </c>
      <c r="B55" s="304">
        <v>6080</v>
      </c>
      <c r="C55" s="161"/>
      <c r="D55" s="161"/>
      <c r="E55" s="575"/>
      <c r="F55" s="161"/>
      <c r="G55" s="98" t="s">
        <v>240</v>
      </c>
      <c r="H55" s="98" t="s">
        <v>240</v>
      </c>
      <c r="I55" s="98" t="s">
        <v>240</v>
      </c>
      <c r="J55" s="98" t="s">
        <v>240</v>
      </c>
    </row>
    <row r="56" spans="1:10" s="5" customFormat="1" ht="20.100000000000001" customHeight="1">
      <c r="A56" s="97" t="s">
        <v>165</v>
      </c>
      <c r="B56" s="304">
        <v>6090</v>
      </c>
      <c r="C56" s="161">
        <v>32000</v>
      </c>
      <c r="D56" s="161">
        <v>29000</v>
      </c>
      <c r="E56" s="575">
        <f>F56+'ІІІ. Рух грош. коштів'!I61+'Осн. фін. пок.'!E24</f>
        <v>77802</v>
      </c>
      <c r="F56" s="161">
        <f>F50</f>
        <v>35828</v>
      </c>
      <c r="G56" s="98" t="s">
        <v>240</v>
      </c>
      <c r="H56" s="98" t="s">
        <v>240</v>
      </c>
      <c r="I56" s="98" t="s">
        <v>240</v>
      </c>
      <c r="J56" s="98" t="s">
        <v>240</v>
      </c>
    </row>
    <row r="57" spans="1:10" s="5" customFormat="1" ht="24.95" customHeight="1">
      <c r="A57" s="61"/>
      <c r="B57" s="100"/>
      <c r="C57" s="114"/>
      <c r="D57" s="115"/>
      <c r="E57" s="115"/>
      <c r="F57" s="115"/>
      <c r="G57" s="116"/>
      <c r="H57" s="116"/>
      <c r="I57" s="116"/>
      <c r="J57" s="116"/>
    </row>
    <row r="58" spans="1:10" ht="24.95" customHeight="1">
      <c r="A58" s="103"/>
      <c r="B58" s="100"/>
      <c r="C58" s="116"/>
      <c r="D58" s="117"/>
      <c r="E58" s="117"/>
      <c r="F58" s="117"/>
      <c r="G58" s="117"/>
      <c r="H58" s="117"/>
      <c r="I58" s="117"/>
      <c r="J58" s="117"/>
    </row>
    <row r="59" spans="1:10">
      <c r="A59" s="118" t="s">
        <v>591</v>
      </c>
      <c r="B59" s="119"/>
      <c r="C59" s="369" t="s">
        <v>118</v>
      </c>
      <c r="D59" s="370"/>
      <c r="E59" s="370"/>
      <c r="F59" s="370"/>
      <c r="G59" s="120"/>
      <c r="H59" s="382" t="s">
        <v>468</v>
      </c>
      <c r="I59" s="382"/>
      <c r="J59" s="382"/>
    </row>
    <row r="60" spans="1:10" s="1" customFormat="1" ht="21" customHeight="1">
      <c r="A60" s="100" t="s">
        <v>82</v>
      </c>
      <c r="B60" s="99"/>
      <c r="C60" s="371" t="s">
        <v>83</v>
      </c>
      <c r="D60" s="371"/>
      <c r="E60" s="371"/>
      <c r="F60" s="371"/>
      <c r="G60" s="121"/>
      <c r="H60" s="372" t="s">
        <v>114</v>
      </c>
      <c r="I60" s="372"/>
      <c r="J60" s="372"/>
    </row>
    <row r="61" spans="1:10" s="293" customFormat="1">
      <c r="B61" s="22"/>
      <c r="C61" s="22"/>
      <c r="D61" s="22"/>
      <c r="E61" s="22"/>
      <c r="F61" s="22"/>
    </row>
    <row r="62" spans="1:10" s="293" customFormat="1" ht="18.75" customHeight="1">
      <c r="A62" s="118"/>
      <c r="B62" s="119"/>
      <c r="C62" s="369"/>
      <c r="D62" s="370"/>
      <c r="E62" s="370"/>
      <c r="F62" s="370"/>
      <c r="G62" s="120"/>
      <c r="H62" s="371"/>
      <c r="I62" s="371"/>
      <c r="J62" s="371"/>
    </row>
    <row r="63" spans="1:10" s="293" customFormat="1">
      <c r="A63" s="290"/>
      <c r="B63" s="291"/>
      <c r="C63" s="371"/>
      <c r="D63" s="371"/>
      <c r="E63" s="371"/>
      <c r="F63" s="371"/>
      <c r="G63" s="292"/>
      <c r="H63" s="371"/>
      <c r="I63" s="371"/>
      <c r="J63" s="371"/>
    </row>
    <row r="64" spans="1:10">
      <c r="A64" s="46"/>
    </row>
    <row r="65" spans="1:10" s="22" customFormat="1">
      <c r="A65" s="46"/>
      <c r="G65" s="2"/>
      <c r="H65" s="2"/>
      <c r="I65" s="2"/>
      <c r="J65" s="2"/>
    </row>
    <row r="66" spans="1:10" s="22" customFormat="1">
      <c r="A66" s="46"/>
      <c r="G66" s="2"/>
      <c r="H66" s="2"/>
      <c r="I66" s="2"/>
      <c r="J66" s="2"/>
    </row>
    <row r="67" spans="1:10" s="22" customFormat="1">
      <c r="A67" s="46"/>
      <c r="G67" s="2"/>
      <c r="H67" s="2"/>
      <c r="I67" s="2"/>
      <c r="J67" s="2"/>
    </row>
    <row r="68" spans="1:10" s="22" customFormat="1">
      <c r="A68" s="46"/>
      <c r="G68" s="2"/>
      <c r="H68" s="2"/>
      <c r="I68" s="2"/>
      <c r="J68" s="2"/>
    </row>
    <row r="69" spans="1:10" s="22" customFormat="1">
      <c r="A69" s="46"/>
      <c r="G69" s="2"/>
      <c r="H69" s="2"/>
      <c r="I69" s="2"/>
      <c r="J69" s="2"/>
    </row>
    <row r="70" spans="1:10" s="22" customFormat="1">
      <c r="A70" s="46"/>
      <c r="G70" s="2"/>
      <c r="H70" s="2"/>
      <c r="I70" s="2"/>
      <c r="J70" s="2"/>
    </row>
    <row r="71" spans="1:10" s="22" customFormat="1">
      <c r="A71" s="46"/>
      <c r="G71" s="2"/>
      <c r="H71" s="2"/>
      <c r="I71" s="2"/>
      <c r="J71" s="2"/>
    </row>
    <row r="72" spans="1:10" s="22" customFormat="1">
      <c r="A72" s="46"/>
      <c r="G72" s="2"/>
      <c r="H72" s="2"/>
      <c r="I72" s="2"/>
      <c r="J72" s="2"/>
    </row>
    <row r="73" spans="1:10" s="22" customFormat="1">
      <c r="A73" s="46"/>
      <c r="G73" s="2"/>
      <c r="H73" s="2"/>
      <c r="I73" s="2"/>
      <c r="J73" s="2"/>
    </row>
    <row r="74" spans="1:10" s="22" customFormat="1">
      <c r="A74" s="46"/>
      <c r="G74" s="2"/>
      <c r="H74" s="2"/>
      <c r="I74" s="2"/>
      <c r="J74" s="2"/>
    </row>
    <row r="75" spans="1:10" s="22" customFormat="1">
      <c r="A75" s="46"/>
      <c r="G75" s="2"/>
      <c r="H75" s="2"/>
      <c r="I75" s="2"/>
      <c r="J75" s="2"/>
    </row>
    <row r="76" spans="1:10" s="22" customFormat="1">
      <c r="A76" s="46"/>
      <c r="G76" s="2"/>
      <c r="H76" s="2"/>
      <c r="I76" s="2"/>
      <c r="J76" s="2"/>
    </row>
    <row r="77" spans="1:10" s="22" customFormat="1">
      <c r="A77" s="46"/>
      <c r="G77" s="2"/>
      <c r="H77" s="2"/>
      <c r="I77" s="2"/>
      <c r="J77" s="2"/>
    </row>
    <row r="78" spans="1:10" s="22" customFormat="1">
      <c r="A78" s="46"/>
      <c r="G78" s="2"/>
      <c r="H78" s="2"/>
      <c r="I78" s="2"/>
      <c r="J78" s="2"/>
    </row>
    <row r="79" spans="1:10" s="22" customFormat="1">
      <c r="A79" s="46"/>
      <c r="G79" s="2"/>
      <c r="H79" s="2"/>
      <c r="I79" s="2"/>
      <c r="J79" s="2"/>
    </row>
    <row r="80" spans="1:10" s="22" customFormat="1">
      <c r="A80" s="46"/>
      <c r="G80" s="2"/>
      <c r="H80" s="2"/>
      <c r="I80" s="2"/>
      <c r="J80" s="2"/>
    </row>
    <row r="81" spans="1:10" s="22" customFormat="1">
      <c r="A81" s="46"/>
      <c r="G81" s="2"/>
      <c r="H81" s="2"/>
      <c r="I81" s="2"/>
      <c r="J81" s="2"/>
    </row>
    <row r="82" spans="1:10" s="22" customFormat="1">
      <c r="A82" s="46"/>
      <c r="G82" s="2"/>
      <c r="H82" s="2"/>
      <c r="I82" s="2"/>
      <c r="J82" s="2"/>
    </row>
    <row r="83" spans="1:10" s="22" customFormat="1">
      <c r="A83" s="46"/>
      <c r="G83" s="2"/>
      <c r="H83" s="2"/>
      <c r="I83" s="2"/>
      <c r="J83" s="2"/>
    </row>
    <row r="84" spans="1:10" s="22" customFormat="1">
      <c r="A84" s="46"/>
      <c r="G84" s="2"/>
      <c r="H84" s="2"/>
      <c r="I84" s="2"/>
      <c r="J84" s="2"/>
    </row>
    <row r="85" spans="1:10" s="22" customFormat="1">
      <c r="A85" s="46"/>
      <c r="G85" s="2"/>
      <c r="H85" s="2"/>
      <c r="I85" s="2"/>
      <c r="J85" s="2"/>
    </row>
    <row r="86" spans="1:10" s="22" customFormat="1">
      <c r="A86" s="46"/>
      <c r="G86" s="2"/>
      <c r="H86" s="2"/>
      <c r="I86" s="2"/>
      <c r="J86" s="2"/>
    </row>
    <row r="87" spans="1:10" s="22" customFormat="1">
      <c r="A87" s="46"/>
      <c r="G87" s="2"/>
      <c r="H87" s="2"/>
      <c r="I87" s="2"/>
      <c r="J87" s="2"/>
    </row>
    <row r="88" spans="1:10" s="22" customFormat="1">
      <c r="A88" s="46"/>
      <c r="G88" s="2"/>
      <c r="H88" s="2"/>
      <c r="I88" s="2"/>
      <c r="J88" s="2"/>
    </row>
    <row r="89" spans="1:10" s="22" customFormat="1">
      <c r="A89" s="46"/>
      <c r="G89" s="2"/>
      <c r="H89" s="2"/>
      <c r="I89" s="2"/>
      <c r="J89" s="2"/>
    </row>
    <row r="90" spans="1:10" s="22" customFormat="1">
      <c r="A90" s="46"/>
      <c r="G90" s="2"/>
      <c r="H90" s="2"/>
      <c r="I90" s="2"/>
      <c r="J90" s="2"/>
    </row>
    <row r="91" spans="1:10" s="22" customFormat="1">
      <c r="A91" s="46"/>
      <c r="G91" s="2"/>
      <c r="H91" s="2"/>
      <c r="I91" s="2"/>
      <c r="J91" s="2"/>
    </row>
    <row r="92" spans="1:10" s="22" customFormat="1">
      <c r="A92" s="46"/>
      <c r="G92" s="2"/>
      <c r="H92" s="2"/>
      <c r="I92" s="2"/>
      <c r="J92" s="2"/>
    </row>
    <row r="93" spans="1:10" s="22" customFormat="1">
      <c r="A93" s="46"/>
      <c r="G93" s="2"/>
      <c r="H93" s="2"/>
      <c r="I93" s="2"/>
      <c r="J93" s="2"/>
    </row>
    <row r="94" spans="1:10" s="22" customFormat="1">
      <c r="A94" s="46"/>
      <c r="G94" s="2"/>
      <c r="H94" s="2"/>
      <c r="I94" s="2"/>
      <c r="J94" s="2"/>
    </row>
    <row r="95" spans="1:10" s="22" customFormat="1">
      <c r="A95" s="46"/>
      <c r="G95" s="2"/>
      <c r="H95" s="2"/>
      <c r="I95" s="2"/>
      <c r="J95" s="2"/>
    </row>
    <row r="96" spans="1:10" s="22" customFormat="1">
      <c r="A96" s="46"/>
      <c r="G96" s="2"/>
      <c r="H96" s="2"/>
      <c r="I96" s="2"/>
      <c r="J96" s="2"/>
    </row>
    <row r="97" spans="1:10" s="22" customFormat="1">
      <c r="A97" s="46"/>
      <c r="G97" s="2"/>
      <c r="H97" s="2"/>
      <c r="I97" s="2"/>
      <c r="J97" s="2"/>
    </row>
    <row r="98" spans="1:10" s="22" customFormat="1">
      <c r="A98" s="46"/>
      <c r="G98" s="2"/>
      <c r="H98" s="2"/>
      <c r="I98" s="2"/>
      <c r="J98" s="2"/>
    </row>
    <row r="99" spans="1:10" s="22" customFormat="1">
      <c r="A99" s="46"/>
      <c r="G99" s="2"/>
      <c r="H99" s="2"/>
      <c r="I99" s="2"/>
      <c r="J99" s="2"/>
    </row>
    <row r="100" spans="1:10" s="22" customFormat="1">
      <c r="A100" s="46"/>
      <c r="G100" s="2"/>
      <c r="H100" s="2"/>
      <c r="I100" s="2"/>
      <c r="J100" s="2"/>
    </row>
    <row r="101" spans="1:10" s="22" customFormat="1">
      <c r="A101" s="46"/>
      <c r="G101" s="2"/>
      <c r="H101" s="2"/>
      <c r="I101" s="2"/>
      <c r="J101" s="2"/>
    </row>
    <row r="102" spans="1:10" s="22" customFormat="1">
      <c r="A102" s="46"/>
      <c r="G102" s="2"/>
      <c r="H102" s="2"/>
      <c r="I102" s="2"/>
      <c r="J102" s="2"/>
    </row>
    <row r="103" spans="1:10" s="22" customFormat="1">
      <c r="A103" s="46"/>
      <c r="G103" s="2"/>
      <c r="H103" s="2"/>
      <c r="I103" s="2"/>
      <c r="J103" s="2"/>
    </row>
    <row r="104" spans="1:10" s="22" customFormat="1">
      <c r="A104" s="46"/>
      <c r="G104" s="2"/>
      <c r="H104" s="2"/>
      <c r="I104" s="2"/>
      <c r="J104" s="2"/>
    </row>
    <row r="105" spans="1:10" s="22" customFormat="1">
      <c r="A105" s="46"/>
      <c r="G105" s="2"/>
      <c r="H105" s="2"/>
      <c r="I105" s="2"/>
      <c r="J105" s="2"/>
    </row>
    <row r="106" spans="1:10" s="22" customFormat="1">
      <c r="A106" s="46"/>
      <c r="G106" s="2"/>
      <c r="H106" s="2"/>
      <c r="I106" s="2"/>
      <c r="J106" s="2"/>
    </row>
    <row r="107" spans="1:10" s="22" customFormat="1">
      <c r="A107" s="46"/>
      <c r="G107" s="2"/>
      <c r="H107" s="2"/>
      <c r="I107" s="2"/>
      <c r="J107" s="2"/>
    </row>
    <row r="108" spans="1:10" s="22" customFormat="1">
      <c r="A108" s="46"/>
      <c r="G108" s="2"/>
      <c r="H108" s="2"/>
      <c r="I108" s="2"/>
      <c r="J108" s="2"/>
    </row>
    <row r="109" spans="1:10" s="22" customFormat="1">
      <c r="A109" s="46"/>
      <c r="G109" s="2"/>
      <c r="H109" s="2"/>
      <c r="I109" s="2"/>
      <c r="J109" s="2"/>
    </row>
    <row r="110" spans="1:10" s="22" customFormat="1">
      <c r="A110" s="46"/>
      <c r="G110" s="2"/>
      <c r="H110" s="2"/>
      <c r="I110" s="2"/>
      <c r="J110" s="2"/>
    </row>
    <row r="111" spans="1:10" s="22" customFormat="1">
      <c r="A111" s="46"/>
      <c r="G111" s="2"/>
      <c r="H111" s="2"/>
      <c r="I111" s="2"/>
      <c r="J111" s="2"/>
    </row>
    <row r="112" spans="1:10" s="22" customFormat="1">
      <c r="A112" s="46"/>
      <c r="G112" s="2"/>
      <c r="H112" s="2"/>
      <c r="I112" s="2"/>
      <c r="J112" s="2"/>
    </row>
    <row r="113" spans="1:10" s="22" customFormat="1">
      <c r="A113" s="46"/>
      <c r="G113" s="2"/>
      <c r="H113" s="2"/>
      <c r="I113" s="2"/>
      <c r="J113" s="2"/>
    </row>
    <row r="114" spans="1:10" s="22" customFormat="1">
      <c r="A114" s="46"/>
      <c r="G114" s="2"/>
      <c r="H114" s="2"/>
      <c r="I114" s="2"/>
      <c r="J114" s="2"/>
    </row>
    <row r="115" spans="1:10" s="22" customFormat="1">
      <c r="A115" s="46"/>
      <c r="G115" s="2"/>
      <c r="H115" s="2"/>
      <c r="I115" s="2"/>
      <c r="J115" s="2"/>
    </row>
    <row r="116" spans="1:10" s="22" customFormat="1">
      <c r="A116" s="46"/>
      <c r="G116" s="2"/>
      <c r="H116" s="2"/>
      <c r="I116" s="2"/>
      <c r="J116" s="2"/>
    </row>
    <row r="117" spans="1:10" s="22" customFormat="1">
      <c r="A117" s="46"/>
      <c r="G117" s="2"/>
      <c r="H117" s="2"/>
      <c r="I117" s="2"/>
      <c r="J117" s="2"/>
    </row>
    <row r="118" spans="1:10" s="22" customFormat="1">
      <c r="A118" s="46"/>
      <c r="G118" s="2"/>
      <c r="H118" s="2"/>
      <c r="I118" s="2"/>
      <c r="J118" s="2"/>
    </row>
    <row r="119" spans="1:10" s="22" customFormat="1">
      <c r="A119" s="46"/>
      <c r="G119" s="2"/>
      <c r="H119" s="2"/>
      <c r="I119" s="2"/>
      <c r="J119" s="2"/>
    </row>
    <row r="120" spans="1:10" s="22" customFormat="1">
      <c r="A120" s="46"/>
      <c r="G120" s="2"/>
      <c r="H120" s="2"/>
      <c r="I120" s="2"/>
      <c r="J120" s="2"/>
    </row>
    <row r="121" spans="1:10" s="22" customFormat="1">
      <c r="A121" s="46"/>
      <c r="G121" s="2"/>
      <c r="H121" s="2"/>
      <c r="I121" s="2"/>
      <c r="J121" s="2"/>
    </row>
    <row r="122" spans="1:10" s="22" customFormat="1">
      <c r="A122" s="46"/>
      <c r="G122" s="2"/>
      <c r="H122" s="2"/>
      <c r="I122" s="2"/>
      <c r="J122" s="2"/>
    </row>
    <row r="123" spans="1:10" s="22" customFormat="1">
      <c r="A123" s="46"/>
      <c r="G123" s="2"/>
      <c r="H123" s="2"/>
      <c r="I123" s="2"/>
      <c r="J123" s="2"/>
    </row>
    <row r="124" spans="1:10" s="22" customFormat="1">
      <c r="A124" s="46"/>
      <c r="G124" s="2"/>
      <c r="H124" s="2"/>
      <c r="I124" s="2"/>
      <c r="J124" s="2"/>
    </row>
    <row r="125" spans="1:10" s="22" customFormat="1">
      <c r="A125" s="46"/>
      <c r="G125" s="2"/>
      <c r="H125" s="2"/>
      <c r="I125" s="2"/>
      <c r="J125" s="2"/>
    </row>
    <row r="126" spans="1:10" s="22" customFormat="1">
      <c r="A126" s="46"/>
      <c r="G126" s="2"/>
      <c r="H126" s="2"/>
      <c r="I126" s="2"/>
      <c r="J126" s="2"/>
    </row>
    <row r="127" spans="1:10" s="22" customFormat="1">
      <c r="A127" s="46"/>
      <c r="G127" s="2"/>
      <c r="H127" s="2"/>
      <c r="I127" s="2"/>
      <c r="J127" s="2"/>
    </row>
    <row r="128" spans="1:10" s="22" customFormat="1">
      <c r="A128" s="46"/>
      <c r="G128" s="2"/>
      <c r="H128" s="2"/>
      <c r="I128" s="2"/>
      <c r="J128" s="2"/>
    </row>
    <row r="129" spans="1:10" s="22" customFormat="1">
      <c r="A129" s="46"/>
      <c r="G129" s="2"/>
      <c r="H129" s="2"/>
      <c r="I129" s="2"/>
      <c r="J129" s="2"/>
    </row>
    <row r="130" spans="1:10" s="22" customFormat="1">
      <c r="A130" s="46"/>
      <c r="G130" s="2"/>
      <c r="H130" s="2"/>
      <c r="I130" s="2"/>
      <c r="J130" s="2"/>
    </row>
    <row r="131" spans="1:10" s="22" customFormat="1">
      <c r="A131" s="46"/>
      <c r="G131" s="2"/>
      <c r="H131" s="2"/>
      <c r="I131" s="2"/>
      <c r="J131" s="2"/>
    </row>
    <row r="132" spans="1:10" s="22" customFormat="1">
      <c r="A132" s="46"/>
      <c r="G132" s="2"/>
      <c r="H132" s="2"/>
      <c r="I132" s="2"/>
      <c r="J132" s="2"/>
    </row>
    <row r="133" spans="1:10" s="22" customFormat="1">
      <c r="A133" s="46"/>
      <c r="G133" s="2"/>
      <c r="H133" s="2"/>
      <c r="I133" s="2"/>
      <c r="J133" s="2"/>
    </row>
    <row r="134" spans="1:10" s="22" customFormat="1">
      <c r="A134" s="46"/>
      <c r="G134" s="2"/>
      <c r="H134" s="2"/>
      <c r="I134" s="2"/>
      <c r="J134" s="2"/>
    </row>
    <row r="135" spans="1:10" s="22" customFormat="1">
      <c r="A135" s="46"/>
      <c r="G135" s="2"/>
      <c r="H135" s="2"/>
      <c r="I135" s="2"/>
      <c r="J135" s="2"/>
    </row>
    <row r="136" spans="1:10" s="22" customFormat="1">
      <c r="A136" s="46"/>
      <c r="G136" s="2"/>
      <c r="H136" s="2"/>
      <c r="I136" s="2"/>
      <c r="J136" s="2"/>
    </row>
    <row r="137" spans="1:10" s="22" customFormat="1">
      <c r="A137" s="46"/>
      <c r="G137" s="2"/>
      <c r="H137" s="2"/>
      <c r="I137" s="2"/>
      <c r="J137" s="2"/>
    </row>
    <row r="138" spans="1:10" s="22" customFormat="1">
      <c r="A138" s="46"/>
      <c r="G138" s="2"/>
      <c r="H138" s="2"/>
      <c r="I138" s="2"/>
      <c r="J138" s="2"/>
    </row>
    <row r="139" spans="1:10" s="22" customFormat="1">
      <c r="A139" s="46"/>
      <c r="G139" s="2"/>
      <c r="H139" s="2"/>
      <c r="I139" s="2"/>
      <c r="J139" s="2"/>
    </row>
    <row r="140" spans="1:10" s="22" customFormat="1">
      <c r="A140" s="46"/>
      <c r="G140" s="2"/>
      <c r="H140" s="2"/>
      <c r="I140" s="2"/>
      <c r="J140" s="2"/>
    </row>
    <row r="141" spans="1:10" s="22" customFormat="1">
      <c r="A141" s="46"/>
      <c r="G141" s="2"/>
      <c r="H141" s="2"/>
      <c r="I141" s="2"/>
      <c r="J141" s="2"/>
    </row>
    <row r="142" spans="1:10" s="22" customFormat="1">
      <c r="A142" s="46"/>
      <c r="G142" s="2"/>
      <c r="H142" s="2"/>
      <c r="I142" s="2"/>
      <c r="J142" s="2"/>
    </row>
    <row r="143" spans="1:10" s="22" customFormat="1">
      <c r="A143" s="46"/>
      <c r="G143" s="2"/>
      <c r="H143" s="2"/>
      <c r="I143" s="2"/>
      <c r="J143" s="2"/>
    </row>
    <row r="144" spans="1:10" s="22" customFormat="1">
      <c r="A144" s="46"/>
      <c r="G144" s="2"/>
      <c r="H144" s="2"/>
      <c r="I144" s="2"/>
      <c r="J144" s="2"/>
    </row>
    <row r="145" spans="1:10" s="22" customFormat="1">
      <c r="A145" s="46"/>
      <c r="G145" s="2"/>
      <c r="H145" s="2"/>
      <c r="I145" s="2"/>
      <c r="J145" s="2"/>
    </row>
    <row r="146" spans="1:10" s="22" customFormat="1">
      <c r="A146" s="46"/>
      <c r="G146" s="2"/>
      <c r="H146" s="2"/>
      <c r="I146" s="2"/>
      <c r="J146" s="2"/>
    </row>
    <row r="147" spans="1:10" s="22" customFormat="1">
      <c r="A147" s="46"/>
      <c r="G147" s="2"/>
      <c r="H147" s="2"/>
      <c r="I147" s="2"/>
      <c r="J147" s="2"/>
    </row>
    <row r="148" spans="1:10" s="22" customFormat="1">
      <c r="A148" s="46"/>
      <c r="G148" s="2"/>
      <c r="H148" s="2"/>
      <c r="I148" s="2"/>
      <c r="J148" s="2"/>
    </row>
    <row r="149" spans="1:10" s="22" customFormat="1">
      <c r="A149" s="46"/>
      <c r="G149" s="2"/>
      <c r="H149" s="2"/>
      <c r="I149" s="2"/>
      <c r="J149" s="2"/>
    </row>
    <row r="150" spans="1:10" s="22" customFormat="1">
      <c r="A150" s="46"/>
      <c r="G150" s="2"/>
      <c r="H150" s="2"/>
      <c r="I150" s="2"/>
      <c r="J150" s="2"/>
    </row>
    <row r="151" spans="1:10" s="22" customFormat="1">
      <c r="A151" s="46"/>
      <c r="G151" s="2"/>
      <c r="H151" s="2"/>
      <c r="I151" s="2"/>
      <c r="J151" s="2"/>
    </row>
    <row r="152" spans="1:10" s="22" customFormat="1">
      <c r="A152" s="46"/>
      <c r="G152" s="2"/>
      <c r="H152" s="2"/>
      <c r="I152" s="2"/>
      <c r="J152" s="2"/>
    </row>
    <row r="153" spans="1:10" s="22" customFormat="1">
      <c r="A153" s="46"/>
      <c r="G153" s="2"/>
      <c r="H153" s="2"/>
      <c r="I153" s="2"/>
      <c r="J153" s="2"/>
    </row>
    <row r="154" spans="1:10" s="22" customFormat="1">
      <c r="A154" s="46"/>
      <c r="G154" s="2"/>
      <c r="H154" s="2"/>
      <c r="I154" s="2"/>
      <c r="J154" s="2"/>
    </row>
    <row r="155" spans="1:10" s="22" customFormat="1">
      <c r="A155" s="46"/>
      <c r="G155" s="2"/>
      <c r="H155" s="2"/>
      <c r="I155" s="2"/>
      <c r="J155" s="2"/>
    </row>
    <row r="156" spans="1:10" s="22" customFormat="1">
      <c r="A156" s="46"/>
      <c r="G156" s="2"/>
      <c r="H156" s="2"/>
      <c r="I156" s="2"/>
      <c r="J156" s="2"/>
    </row>
    <row r="157" spans="1:10" s="22" customFormat="1">
      <c r="A157" s="46"/>
      <c r="G157" s="2"/>
      <c r="H157" s="2"/>
      <c r="I157" s="2"/>
      <c r="J157" s="2"/>
    </row>
    <row r="158" spans="1:10" s="22" customFormat="1">
      <c r="A158" s="46"/>
      <c r="G158" s="2"/>
      <c r="H158" s="2"/>
      <c r="I158" s="2"/>
      <c r="J158" s="2"/>
    </row>
    <row r="159" spans="1:10" s="22" customFormat="1">
      <c r="A159" s="46"/>
      <c r="G159" s="2"/>
      <c r="H159" s="2"/>
      <c r="I159" s="2"/>
      <c r="J159" s="2"/>
    </row>
    <row r="160" spans="1:10" s="22" customFormat="1">
      <c r="A160" s="46"/>
      <c r="G160" s="2"/>
      <c r="H160" s="2"/>
      <c r="I160" s="2"/>
      <c r="J160" s="2"/>
    </row>
    <row r="161" spans="1:10" s="22" customFormat="1">
      <c r="A161" s="46"/>
      <c r="G161" s="2"/>
      <c r="H161" s="2"/>
      <c r="I161" s="2"/>
      <c r="J161" s="2"/>
    </row>
    <row r="162" spans="1:10" s="22" customFormat="1">
      <c r="A162" s="46"/>
      <c r="G162" s="2"/>
      <c r="H162" s="2"/>
      <c r="I162" s="2"/>
      <c r="J162" s="2"/>
    </row>
    <row r="163" spans="1:10" s="22" customFormat="1">
      <c r="A163" s="46"/>
      <c r="G163" s="2"/>
      <c r="H163" s="2"/>
      <c r="I163" s="2"/>
      <c r="J163" s="2"/>
    </row>
    <row r="164" spans="1:10" s="22" customFormat="1">
      <c r="A164" s="46"/>
      <c r="G164" s="2"/>
      <c r="H164" s="2"/>
      <c r="I164" s="2"/>
      <c r="J164" s="2"/>
    </row>
    <row r="165" spans="1:10" s="22" customFormat="1">
      <c r="A165" s="46"/>
      <c r="G165" s="2"/>
      <c r="H165" s="2"/>
      <c r="I165" s="2"/>
      <c r="J165" s="2"/>
    </row>
    <row r="166" spans="1:10" s="22" customFormat="1">
      <c r="A166" s="46"/>
      <c r="G166" s="2"/>
      <c r="H166" s="2"/>
      <c r="I166" s="2"/>
      <c r="J166" s="2"/>
    </row>
    <row r="167" spans="1:10" s="22" customFormat="1">
      <c r="A167" s="46"/>
      <c r="G167" s="2"/>
      <c r="H167" s="2"/>
      <c r="I167" s="2"/>
      <c r="J167" s="2"/>
    </row>
    <row r="168" spans="1:10" s="22" customFormat="1">
      <c r="A168" s="46"/>
      <c r="G168" s="2"/>
      <c r="H168" s="2"/>
      <c r="I168" s="2"/>
      <c r="J168" s="2"/>
    </row>
    <row r="169" spans="1:10" s="22" customFormat="1">
      <c r="A169" s="46"/>
      <c r="G169" s="2"/>
      <c r="H169" s="2"/>
      <c r="I169" s="2"/>
      <c r="J169" s="2"/>
    </row>
    <row r="170" spans="1:10" s="22" customFormat="1">
      <c r="A170" s="46"/>
      <c r="G170" s="2"/>
      <c r="H170" s="2"/>
      <c r="I170" s="2"/>
      <c r="J170" s="2"/>
    </row>
    <row r="171" spans="1:10" s="22" customFormat="1">
      <c r="A171" s="46"/>
      <c r="G171" s="2"/>
      <c r="H171" s="2"/>
      <c r="I171" s="2"/>
      <c r="J171" s="2"/>
    </row>
    <row r="172" spans="1:10" s="22" customFormat="1">
      <c r="A172" s="46"/>
      <c r="G172" s="2"/>
      <c r="H172" s="2"/>
      <c r="I172" s="2"/>
      <c r="J172" s="2"/>
    </row>
    <row r="173" spans="1:10" s="22" customFormat="1">
      <c r="A173" s="46"/>
      <c r="G173" s="2"/>
      <c r="H173" s="2"/>
      <c r="I173" s="2"/>
      <c r="J173" s="2"/>
    </row>
    <row r="174" spans="1:10" s="22" customFormat="1">
      <c r="A174" s="46"/>
      <c r="G174" s="2"/>
      <c r="H174" s="2"/>
      <c r="I174" s="2"/>
      <c r="J174" s="2"/>
    </row>
    <row r="175" spans="1:10" s="22" customFormat="1">
      <c r="A175" s="46"/>
      <c r="G175" s="2"/>
      <c r="H175" s="2"/>
      <c r="I175" s="2"/>
      <c r="J175" s="2"/>
    </row>
    <row r="176" spans="1:10" s="22" customFormat="1">
      <c r="A176" s="46"/>
      <c r="G176" s="2"/>
      <c r="H176" s="2"/>
      <c r="I176" s="2"/>
      <c r="J176" s="2"/>
    </row>
    <row r="177" spans="1:10" s="22" customFormat="1">
      <c r="A177" s="46"/>
      <c r="G177" s="2"/>
      <c r="H177" s="2"/>
      <c r="I177" s="2"/>
      <c r="J177" s="2"/>
    </row>
    <row r="178" spans="1:10" s="22" customFormat="1">
      <c r="A178" s="46"/>
      <c r="G178" s="2"/>
      <c r="H178" s="2"/>
      <c r="I178" s="2"/>
      <c r="J178" s="2"/>
    </row>
    <row r="179" spans="1:10" s="22" customFormat="1">
      <c r="A179" s="46"/>
      <c r="G179" s="2"/>
      <c r="H179" s="2"/>
      <c r="I179" s="2"/>
      <c r="J179" s="2"/>
    </row>
    <row r="180" spans="1:10" s="22" customFormat="1">
      <c r="A180" s="46"/>
      <c r="G180" s="2"/>
      <c r="H180" s="2"/>
      <c r="I180" s="2"/>
      <c r="J180" s="2"/>
    </row>
    <row r="181" spans="1:10" s="22" customFormat="1">
      <c r="A181" s="46"/>
      <c r="G181" s="2"/>
      <c r="H181" s="2"/>
      <c r="I181" s="2"/>
      <c r="J181" s="2"/>
    </row>
    <row r="182" spans="1:10" s="22" customFormat="1">
      <c r="A182" s="46"/>
      <c r="G182" s="2"/>
      <c r="H182" s="2"/>
      <c r="I182" s="2"/>
      <c r="J182" s="2"/>
    </row>
    <row r="183" spans="1:10" s="22" customFormat="1">
      <c r="A183" s="46"/>
      <c r="G183" s="2"/>
      <c r="H183" s="2"/>
      <c r="I183" s="2"/>
      <c r="J183" s="2"/>
    </row>
    <row r="184" spans="1:10" s="22" customFormat="1">
      <c r="A184" s="46"/>
      <c r="G184" s="2"/>
      <c r="H184" s="2"/>
      <c r="I184" s="2"/>
      <c r="J184" s="2"/>
    </row>
    <row r="185" spans="1:10" s="22" customFormat="1">
      <c r="A185" s="46"/>
      <c r="G185" s="2"/>
      <c r="H185" s="2"/>
      <c r="I185" s="2"/>
      <c r="J185" s="2"/>
    </row>
    <row r="186" spans="1:10" s="22" customFormat="1">
      <c r="A186" s="46"/>
      <c r="G186" s="2"/>
      <c r="H186" s="2"/>
      <c r="I186" s="2"/>
      <c r="J186" s="2"/>
    </row>
    <row r="187" spans="1:10" s="22" customFormat="1">
      <c r="A187" s="46"/>
      <c r="G187" s="2"/>
      <c r="H187" s="2"/>
      <c r="I187" s="2"/>
      <c r="J187" s="2"/>
    </row>
    <row r="188" spans="1:10" s="22" customFormat="1">
      <c r="A188" s="46"/>
      <c r="G188" s="2"/>
      <c r="H188" s="2"/>
      <c r="I188" s="2"/>
      <c r="J188" s="2"/>
    </row>
    <row r="189" spans="1:10" s="22" customFormat="1">
      <c r="A189" s="46"/>
      <c r="G189" s="2"/>
      <c r="H189" s="2"/>
      <c r="I189" s="2"/>
      <c r="J189" s="2"/>
    </row>
    <row r="190" spans="1:10" s="22" customFormat="1">
      <c r="A190" s="46"/>
      <c r="G190" s="2"/>
      <c r="H190" s="2"/>
      <c r="I190" s="2"/>
      <c r="J190" s="2"/>
    </row>
    <row r="191" spans="1:10" s="22" customFormat="1">
      <c r="A191" s="46"/>
      <c r="G191" s="2"/>
      <c r="H191" s="2"/>
      <c r="I191" s="2"/>
      <c r="J191" s="2"/>
    </row>
    <row r="192" spans="1:10" s="22" customFormat="1">
      <c r="A192" s="46"/>
      <c r="G192" s="2"/>
      <c r="H192" s="2"/>
      <c r="I192" s="2"/>
      <c r="J192" s="2"/>
    </row>
    <row r="193" spans="1:10" s="22" customFormat="1">
      <c r="A193" s="46"/>
      <c r="G193" s="2"/>
      <c r="H193" s="2"/>
      <c r="I193" s="2"/>
      <c r="J193" s="2"/>
    </row>
    <row r="194" spans="1:10" s="22" customFormat="1">
      <c r="A194" s="46"/>
      <c r="G194" s="2"/>
      <c r="H194" s="2"/>
      <c r="I194" s="2"/>
      <c r="J194" s="2"/>
    </row>
    <row r="195" spans="1:10" s="22" customFormat="1">
      <c r="A195" s="46"/>
      <c r="G195" s="2"/>
      <c r="H195" s="2"/>
      <c r="I195" s="2"/>
      <c r="J195" s="2"/>
    </row>
    <row r="196" spans="1:10" s="22" customFormat="1">
      <c r="A196" s="46"/>
      <c r="G196" s="2"/>
      <c r="H196" s="2"/>
      <c r="I196" s="2"/>
      <c r="J196" s="2"/>
    </row>
    <row r="197" spans="1:10" s="22" customFormat="1">
      <c r="A197" s="46"/>
      <c r="G197" s="2"/>
      <c r="H197" s="2"/>
      <c r="I197" s="2"/>
      <c r="J197" s="2"/>
    </row>
    <row r="198" spans="1:10" s="22" customFormat="1">
      <c r="A198" s="46"/>
      <c r="G198" s="2"/>
      <c r="H198" s="2"/>
      <c r="I198" s="2"/>
      <c r="J198" s="2"/>
    </row>
    <row r="199" spans="1:10" s="22" customFormat="1">
      <c r="A199" s="46"/>
      <c r="G199" s="2"/>
      <c r="H199" s="2"/>
      <c r="I199" s="2"/>
      <c r="J199" s="2"/>
    </row>
    <row r="200" spans="1:10" s="22" customFormat="1">
      <c r="A200" s="46"/>
      <c r="G200" s="2"/>
      <c r="H200" s="2"/>
      <c r="I200" s="2"/>
      <c r="J200" s="2"/>
    </row>
    <row r="201" spans="1:10" s="22" customFormat="1">
      <c r="A201" s="46"/>
      <c r="G201" s="2"/>
      <c r="H201" s="2"/>
      <c r="I201" s="2"/>
      <c r="J201" s="2"/>
    </row>
    <row r="202" spans="1:10" s="22" customFormat="1">
      <c r="A202" s="46"/>
      <c r="G202" s="2"/>
      <c r="H202" s="2"/>
      <c r="I202" s="2"/>
      <c r="J202" s="2"/>
    </row>
    <row r="203" spans="1:10" s="22" customFormat="1">
      <c r="A203" s="46"/>
      <c r="G203" s="2"/>
      <c r="H203" s="2"/>
      <c r="I203" s="2"/>
      <c r="J203" s="2"/>
    </row>
    <row r="204" spans="1:10" s="22" customFormat="1">
      <c r="A204" s="46"/>
      <c r="G204" s="2"/>
      <c r="H204" s="2"/>
      <c r="I204" s="2"/>
      <c r="J204" s="2"/>
    </row>
    <row r="205" spans="1:10" s="22" customFormat="1">
      <c r="A205" s="46"/>
      <c r="G205" s="2"/>
      <c r="H205" s="2"/>
      <c r="I205" s="2"/>
      <c r="J205" s="2"/>
    </row>
    <row r="206" spans="1:10" s="22" customFormat="1">
      <c r="A206" s="46"/>
      <c r="G206" s="2"/>
      <c r="H206" s="2"/>
      <c r="I206" s="2"/>
      <c r="J206" s="2"/>
    </row>
    <row r="207" spans="1:10" s="22" customFormat="1">
      <c r="A207" s="46"/>
      <c r="G207" s="2"/>
      <c r="H207" s="2"/>
      <c r="I207" s="2"/>
      <c r="J207" s="2"/>
    </row>
    <row r="208" spans="1:10" s="22" customFormat="1">
      <c r="A208" s="46"/>
      <c r="G208" s="2"/>
      <c r="H208" s="2"/>
      <c r="I208" s="2"/>
      <c r="J208" s="2"/>
    </row>
    <row r="209" spans="1:10" s="22" customFormat="1">
      <c r="A209" s="46"/>
      <c r="G209" s="2"/>
      <c r="H209" s="2"/>
      <c r="I209" s="2"/>
      <c r="J209" s="2"/>
    </row>
    <row r="210" spans="1:10" s="22" customFormat="1">
      <c r="A210" s="46"/>
      <c r="G210" s="2"/>
      <c r="H210" s="2"/>
      <c r="I210" s="2"/>
      <c r="J210" s="2"/>
    </row>
    <row r="211" spans="1:10" s="22" customFormat="1">
      <c r="A211" s="46"/>
      <c r="G211" s="2"/>
      <c r="H211" s="2"/>
      <c r="I211" s="2"/>
      <c r="J211" s="2"/>
    </row>
    <row r="212" spans="1:10" s="22" customFormat="1">
      <c r="A212" s="46"/>
      <c r="G212" s="2"/>
      <c r="H212" s="2"/>
      <c r="I212" s="2"/>
      <c r="J212" s="2"/>
    </row>
    <row r="213" spans="1:10" s="22" customFormat="1">
      <c r="A213" s="46"/>
      <c r="G213" s="2"/>
      <c r="H213" s="2"/>
      <c r="I213" s="2"/>
      <c r="J213" s="2"/>
    </row>
    <row r="214" spans="1:10" s="22" customFormat="1">
      <c r="A214" s="46"/>
      <c r="G214" s="2"/>
      <c r="H214" s="2"/>
      <c r="I214" s="2"/>
      <c r="J214" s="2"/>
    </row>
    <row r="215" spans="1:10" s="22" customFormat="1">
      <c r="A215" s="46"/>
      <c r="G215" s="2"/>
      <c r="H215" s="2"/>
      <c r="I215" s="2"/>
      <c r="J215" s="2"/>
    </row>
    <row r="216" spans="1:10" s="22" customFormat="1">
      <c r="A216" s="46"/>
      <c r="G216" s="2"/>
      <c r="H216" s="2"/>
      <c r="I216" s="2"/>
      <c r="J216" s="2"/>
    </row>
    <row r="217" spans="1:10" s="22" customFormat="1">
      <c r="A217" s="46"/>
      <c r="G217" s="2"/>
      <c r="H217" s="2"/>
      <c r="I217" s="2"/>
      <c r="J217" s="2"/>
    </row>
    <row r="218" spans="1:10" s="22" customFormat="1">
      <c r="A218" s="46"/>
      <c r="G218" s="2"/>
      <c r="H218" s="2"/>
      <c r="I218" s="2"/>
      <c r="J218" s="2"/>
    </row>
    <row r="219" spans="1:10" s="22" customFormat="1">
      <c r="A219" s="46"/>
      <c r="G219" s="2"/>
      <c r="H219" s="2"/>
      <c r="I219" s="2"/>
      <c r="J219" s="2"/>
    </row>
    <row r="220" spans="1:10" s="22" customFormat="1">
      <c r="A220" s="46"/>
      <c r="G220" s="2"/>
      <c r="H220" s="2"/>
      <c r="I220" s="2"/>
      <c r="J220" s="2"/>
    </row>
    <row r="221" spans="1:10" s="22" customFormat="1">
      <c r="A221" s="46"/>
      <c r="G221" s="2"/>
      <c r="H221" s="2"/>
      <c r="I221" s="2"/>
      <c r="J221" s="2"/>
    </row>
    <row r="222" spans="1:10" s="22" customFormat="1">
      <c r="A222" s="46"/>
      <c r="G222" s="2"/>
      <c r="H222" s="2"/>
      <c r="I222" s="2"/>
      <c r="J222" s="2"/>
    </row>
    <row r="223" spans="1:10" s="22" customFormat="1">
      <c r="A223" s="46"/>
      <c r="G223" s="2"/>
      <c r="H223" s="2"/>
      <c r="I223" s="2"/>
      <c r="J223" s="2"/>
    </row>
    <row r="224" spans="1:10" s="22" customFormat="1">
      <c r="A224" s="46"/>
      <c r="G224" s="2"/>
      <c r="H224" s="2"/>
      <c r="I224" s="2"/>
      <c r="J224" s="2"/>
    </row>
    <row r="225" spans="1:10" s="22" customFormat="1">
      <c r="A225" s="46"/>
      <c r="G225" s="2"/>
      <c r="H225" s="2"/>
      <c r="I225" s="2"/>
      <c r="J225" s="2"/>
    </row>
    <row r="226" spans="1:10" s="22" customFormat="1">
      <c r="A226" s="46"/>
      <c r="G226" s="2"/>
      <c r="H226" s="2"/>
      <c r="I226" s="2"/>
      <c r="J226" s="2"/>
    </row>
    <row r="227" spans="1:10" s="22" customFormat="1">
      <c r="A227" s="46"/>
      <c r="G227" s="2"/>
      <c r="H227" s="2"/>
      <c r="I227" s="2"/>
      <c r="J227" s="2"/>
    </row>
    <row r="228" spans="1:10" s="22" customFormat="1">
      <c r="A228" s="46"/>
      <c r="G228" s="2"/>
      <c r="H228" s="2"/>
      <c r="I228" s="2"/>
      <c r="J228" s="2"/>
    </row>
    <row r="229" spans="1:10" s="22" customFormat="1">
      <c r="A229" s="46"/>
      <c r="G229" s="2"/>
      <c r="H229" s="2"/>
      <c r="I229" s="2"/>
      <c r="J229" s="2"/>
    </row>
  </sheetData>
  <sheetProtection formatCells="0" formatColumns="0" formatRows="0"/>
  <mergeCells count="23">
    <mergeCell ref="A5:J5"/>
    <mergeCell ref="A3:J3"/>
    <mergeCell ref="A42:J42"/>
    <mergeCell ref="C7:C8"/>
    <mergeCell ref="C59:F59"/>
    <mergeCell ref="F7:F8"/>
    <mergeCell ref="H59:J59"/>
    <mergeCell ref="D7:D8"/>
    <mergeCell ref="A40:J40"/>
    <mergeCell ref="A33:J33"/>
    <mergeCell ref="A46:J46"/>
    <mergeCell ref="A26:J26"/>
    <mergeCell ref="A7:A8"/>
    <mergeCell ref="B7:B8"/>
    <mergeCell ref="E7:E8"/>
    <mergeCell ref="G7:J7"/>
    <mergeCell ref="A10:J10"/>
    <mergeCell ref="C62:F62"/>
    <mergeCell ref="H62:J62"/>
    <mergeCell ref="C63:F63"/>
    <mergeCell ref="H63:J63"/>
    <mergeCell ref="C60:F60"/>
    <mergeCell ref="H60:J60"/>
  </mergeCells>
  <phoneticPr fontId="3" type="noConversion"/>
  <pageMargins left="0.25" right="0.25" top="0.75" bottom="0.75" header="0.3" footer="0.3"/>
  <pageSetup paperSize="9" scale="49" orientation="portrait" horizontalDpi="4294967293" r:id="rId1"/>
  <headerFooter alignWithMargins="0">
    <oddHeader xml:space="preserve">&amp;C&amp;"Times New Roman,обычный"&amp;14
&amp;R&amp;"Times New Roman,обычный"&amp;14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P335"/>
  <sheetViews>
    <sheetView view="pageBreakPreview" topLeftCell="A88" zoomScale="75" zoomScaleNormal="90" zoomScaleSheetLayoutView="75" workbookViewId="0">
      <selection activeCell="E75" sqref="E75"/>
    </sheetView>
  </sheetViews>
  <sheetFormatPr defaultRowHeight="18.75"/>
  <cols>
    <col min="1" max="1" width="48.42578125" style="2" customWidth="1"/>
    <col min="2" max="2" width="11.5703125" style="22" customWidth="1"/>
    <col min="3" max="3" width="12.42578125" style="22" customWidth="1"/>
    <col min="4" max="4" width="17" style="22" customWidth="1"/>
    <col min="5" max="5" width="14.85546875" style="22" customWidth="1"/>
    <col min="6" max="6" width="13" style="2" customWidth="1"/>
    <col min="7" max="7" width="13.85546875" style="2" customWidth="1"/>
    <col min="8" max="9" width="13.140625" style="2" customWidth="1"/>
    <col min="10" max="10" width="20" style="2" customWidth="1"/>
    <col min="11" max="16384" width="9.140625" style="2"/>
  </cols>
  <sheetData>
    <row r="1" spans="1:10">
      <c r="A1" s="394" t="s">
        <v>373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0">
      <c r="A2" s="174"/>
      <c r="B2" s="175"/>
      <c r="C2" s="174"/>
      <c r="D2" s="174"/>
      <c r="E2" s="175"/>
      <c r="F2" s="174"/>
      <c r="G2" s="174"/>
      <c r="H2" s="174"/>
      <c r="I2" s="174"/>
      <c r="J2" s="176"/>
    </row>
    <row r="3" spans="1:10" ht="42" customHeight="1">
      <c r="A3" s="389" t="s">
        <v>271</v>
      </c>
      <c r="B3" s="390" t="s">
        <v>18</v>
      </c>
      <c r="C3" s="390" t="s">
        <v>439</v>
      </c>
      <c r="D3" s="390" t="s">
        <v>440</v>
      </c>
      <c r="E3" s="403" t="s">
        <v>441</v>
      </c>
      <c r="F3" s="390" t="s">
        <v>442</v>
      </c>
      <c r="G3" s="390"/>
      <c r="H3" s="390"/>
      <c r="I3" s="390"/>
      <c r="J3" s="397" t="s">
        <v>250</v>
      </c>
    </row>
    <row r="4" spans="1:10" ht="31.5" customHeight="1">
      <c r="A4" s="389"/>
      <c r="B4" s="390"/>
      <c r="C4" s="390"/>
      <c r="D4" s="390"/>
      <c r="E4" s="403"/>
      <c r="F4" s="177" t="s">
        <v>369</v>
      </c>
      <c r="G4" s="177" t="s">
        <v>370</v>
      </c>
      <c r="H4" s="177" t="s">
        <v>371</v>
      </c>
      <c r="I4" s="177" t="s">
        <v>85</v>
      </c>
      <c r="J4" s="397"/>
    </row>
    <row r="5" spans="1:10" ht="18" customHeight="1">
      <c r="A5" s="89">
        <v>1</v>
      </c>
      <c r="B5" s="90">
        <v>2</v>
      </c>
      <c r="C5" s="90">
        <v>3</v>
      </c>
      <c r="D5" s="90">
        <v>4</v>
      </c>
      <c r="E5" s="90">
        <v>5</v>
      </c>
      <c r="F5" s="90">
        <v>6</v>
      </c>
      <c r="G5" s="90">
        <v>7</v>
      </c>
      <c r="H5" s="90">
        <v>8</v>
      </c>
      <c r="I5" s="90">
        <v>9</v>
      </c>
      <c r="J5" s="90">
        <v>10</v>
      </c>
    </row>
    <row r="6" spans="1:10" s="5" customFormat="1" ht="20.100000000000001" customHeight="1">
      <c r="A6" s="366" t="s">
        <v>278</v>
      </c>
      <c r="B6" s="367"/>
      <c r="C6" s="367"/>
      <c r="D6" s="367"/>
      <c r="E6" s="367"/>
      <c r="F6" s="367"/>
      <c r="G6" s="367"/>
      <c r="H6" s="367"/>
      <c r="I6" s="367"/>
      <c r="J6" s="368"/>
    </row>
    <row r="7" spans="1:10" s="5" customFormat="1" ht="42" customHeight="1">
      <c r="A7" s="312" t="s">
        <v>120</v>
      </c>
      <c r="B7" s="143">
        <v>1000</v>
      </c>
      <c r="C7" s="181">
        <f>C8</f>
        <v>0</v>
      </c>
      <c r="D7" s="181">
        <f t="shared" ref="D7:I7" si="0">D8</f>
        <v>0</v>
      </c>
      <c r="E7" s="181">
        <f t="shared" si="0"/>
        <v>0</v>
      </c>
      <c r="F7" s="181">
        <f t="shared" si="0"/>
        <v>0</v>
      </c>
      <c r="G7" s="181">
        <f t="shared" si="0"/>
        <v>0</v>
      </c>
      <c r="H7" s="181">
        <f t="shared" si="0"/>
        <v>0</v>
      </c>
      <c r="I7" s="181">
        <f t="shared" si="0"/>
        <v>0</v>
      </c>
      <c r="J7" s="179"/>
    </row>
    <row r="8" spans="1:10" s="5" customFormat="1">
      <c r="A8" s="312"/>
      <c r="B8" s="314" t="s">
        <v>397</v>
      </c>
      <c r="C8" s="161"/>
      <c r="D8" s="161"/>
      <c r="E8" s="161"/>
      <c r="F8" s="161"/>
      <c r="G8" s="161"/>
      <c r="H8" s="161"/>
      <c r="I8" s="161"/>
      <c r="J8" s="127"/>
    </row>
    <row r="9" spans="1:10" ht="40.5" customHeight="1">
      <c r="A9" s="312" t="s">
        <v>139</v>
      </c>
      <c r="B9" s="143">
        <v>1010</v>
      </c>
      <c r="C9" s="181">
        <f t="shared" ref="C9:I9" si="1">SUM(C10:C17)</f>
        <v>0</v>
      </c>
      <c r="D9" s="181">
        <f t="shared" si="1"/>
        <v>200</v>
      </c>
      <c r="E9" s="181">
        <f t="shared" si="1"/>
        <v>1200</v>
      </c>
      <c r="F9" s="181">
        <f t="shared" si="1"/>
        <v>200</v>
      </c>
      <c r="G9" s="181">
        <f t="shared" si="1"/>
        <v>300</v>
      </c>
      <c r="H9" s="181">
        <f t="shared" si="1"/>
        <v>400</v>
      </c>
      <c r="I9" s="181">
        <f t="shared" si="1"/>
        <v>500</v>
      </c>
      <c r="J9" s="315"/>
    </row>
    <row r="10" spans="1:10" s="1" customFormat="1" ht="21.75" customHeight="1">
      <c r="A10" s="312" t="s">
        <v>307</v>
      </c>
      <c r="B10" s="313">
        <v>1011</v>
      </c>
      <c r="C10" s="161"/>
      <c r="D10" s="161"/>
      <c r="E10" s="161"/>
      <c r="F10" s="161"/>
      <c r="G10" s="161"/>
      <c r="H10" s="161"/>
      <c r="I10" s="161"/>
      <c r="J10" s="315"/>
    </row>
    <row r="11" spans="1:10" s="1" customFormat="1" ht="20.100000000000001" customHeight="1">
      <c r="A11" s="312" t="s">
        <v>67</v>
      </c>
      <c r="B11" s="313">
        <v>1012</v>
      </c>
      <c r="C11" s="161"/>
      <c r="D11" s="161"/>
      <c r="E11" s="161"/>
      <c r="F11" s="161"/>
      <c r="G11" s="161"/>
      <c r="H11" s="161"/>
      <c r="I11" s="161"/>
      <c r="J11" s="315"/>
    </row>
    <row r="12" spans="1:10" s="1" customFormat="1" ht="20.100000000000001" customHeight="1">
      <c r="A12" s="312" t="s">
        <v>66</v>
      </c>
      <c r="B12" s="313">
        <v>1013</v>
      </c>
      <c r="C12" s="161"/>
      <c r="D12" s="161"/>
      <c r="E12" s="161"/>
      <c r="F12" s="161"/>
      <c r="G12" s="161"/>
      <c r="H12" s="161"/>
      <c r="I12" s="161"/>
      <c r="J12" s="315"/>
    </row>
    <row r="13" spans="1:10" s="1" customFormat="1" ht="20.100000000000001" customHeight="1">
      <c r="A13" s="312" t="s">
        <v>42</v>
      </c>
      <c r="B13" s="313">
        <v>1014</v>
      </c>
      <c r="C13" s="161"/>
      <c r="D13" s="161"/>
      <c r="E13" s="161"/>
      <c r="F13" s="161"/>
      <c r="G13" s="161"/>
      <c r="H13" s="161"/>
      <c r="I13" s="161"/>
      <c r="J13" s="315"/>
    </row>
    <row r="14" spans="1:10" s="1" customFormat="1" ht="20.100000000000001" customHeight="1">
      <c r="A14" s="312" t="s">
        <v>43</v>
      </c>
      <c r="B14" s="313">
        <v>1015</v>
      </c>
      <c r="C14" s="161"/>
      <c r="D14" s="161"/>
      <c r="E14" s="161"/>
      <c r="F14" s="161"/>
      <c r="G14" s="161"/>
      <c r="H14" s="161"/>
      <c r="I14" s="161"/>
      <c r="J14" s="315"/>
    </row>
    <row r="15" spans="1:10" s="1" customFormat="1" ht="78.75" customHeight="1">
      <c r="A15" s="312" t="s">
        <v>450</v>
      </c>
      <c r="B15" s="313">
        <v>1016</v>
      </c>
      <c r="C15" s="161"/>
      <c r="D15" s="161"/>
      <c r="E15" s="161">
        <v>1200</v>
      </c>
      <c r="F15" s="161"/>
      <c r="G15" s="161"/>
      <c r="H15" s="161"/>
      <c r="I15" s="161"/>
      <c r="J15" s="191"/>
    </row>
    <row r="16" spans="1:10" s="1" customFormat="1" ht="38.25" customHeight="1">
      <c r="A16" s="312" t="s">
        <v>65</v>
      </c>
      <c r="B16" s="313">
        <v>1017</v>
      </c>
      <c r="C16" s="161"/>
      <c r="D16" s="161"/>
      <c r="E16" s="161"/>
      <c r="F16" s="161">
        <v>200</v>
      </c>
      <c r="G16" s="161">
        <v>300</v>
      </c>
      <c r="H16" s="161">
        <v>400</v>
      </c>
      <c r="I16" s="161">
        <v>500</v>
      </c>
      <c r="J16" s="315"/>
    </row>
    <row r="17" spans="1:10" s="1" customFormat="1" ht="27" customHeight="1">
      <c r="A17" s="312" t="s">
        <v>137</v>
      </c>
      <c r="B17" s="313">
        <v>1018</v>
      </c>
      <c r="C17" s="161">
        <f t="shared" ref="C17:I17" si="2">SUM(C18:C22)</f>
        <v>0</v>
      </c>
      <c r="D17" s="161">
        <f t="shared" si="2"/>
        <v>200</v>
      </c>
      <c r="E17" s="161">
        <f t="shared" si="2"/>
        <v>0</v>
      </c>
      <c r="F17" s="161">
        <f t="shared" si="2"/>
        <v>0</v>
      </c>
      <c r="G17" s="161">
        <f t="shared" si="2"/>
        <v>0</v>
      </c>
      <c r="H17" s="161">
        <f t="shared" si="2"/>
        <v>0</v>
      </c>
      <c r="I17" s="161">
        <f t="shared" si="2"/>
        <v>0</v>
      </c>
      <c r="J17" s="315"/>
    </row>
    <row r="18" spans="1:10" s="1" customFormat="1" ht="112.5" customHeight="1">
      <c r="A18" s="312" t="s">
        <v>469</v>
      </c>
      <c r="B18" s="309" t="s">
        <v>405</v>
      </c>
      <c r="C18" s="161"/>
      <c r="D18" s="161"/>
      <c r="E18" s="161"/>
      <c r="F18" s="161"/>
      <c r="G18" s="161"/>
      <c r="H18" s="161"/>
      <c r="I18" s="161"/>
      <c r="J18" s="315"/>
    </row>
    <row r="19" spans="1:10" s="1" customFormat="1" ht="44.25" customHeight="1">
      <c r="A19" s="312" t="s">
        <v>447</v>
      </c>
      <c r="B19" s="309" t="s">
        <v>406</v>
      </c>
      <c r="C19" s="161"/>
      <c r="D19" s="161">
        <v>200</v>
      </c>
      <c r="E19" s="161"/>
      <c r="F19" s="161"/>
      <c r="G19" s="161"/>
      <c r="H19" s="161"/>
      <c r="I19" s="161"/>
      <c r="J19" s="315"/>
    </row>
    <row r="20" spans="1:10" s="1" customFormat="1" ht="20.25" customHeight="1">
      <c r="A20" s="312" t="s">
        <v>448</v>
      </c>
      <c r="B20" s="309" t="s">
        <v>407</v>
      </c>
      <c r="C20" s="161"/>
      <c r="D20" s="161"/>
      <c r="E20" s="161"/>
      <c r="F20" s="161"/>
      <c r="G20" s="161"/>
      <c r="H20" s="161"/>
      <c r="I20" s="161"/>
      <c r="J20" s="315"/>
    </row>
    <row r="21" spans="1:10" s="1" customFormat="1" ht="20.25" customHeight="1">
      <c r="A21" s="312" t="s">
        <v>449</v>
      </c>
      <c r="B21" s="309" t="s">
        <v>408</v>
      </c>
      <c r="C21" s="161"/>
      <c r="D21" s="161"/>
      <c r="E21" s="161"/>
      <c r="F21" s="161"/>
      <c r="G21" s="161"/>
      <c r="H21" s="161"/>
      <c r="I21" s="161"/>
      <c r="J21" s="315"/>
    </row>
    <row r="22" spans="1:10" s="1" customFormat="1" ht="76.5" customHeight="1">
      <c r="A22" s="312" t="s">
        <v>451</v>
      </c>
      <c r="B22" s="309" t="s">
        <v>409</v>
      </c>
      <c r="C22" s="161"/>
      <c r="D22" s="161"/>
      <c r="E22" s="161"/>
      <c r="F22" s="161"/>
      <c r="G22" s="161"/>
      <c r="H22" s="161"/>
      <c r="I22" s="161"/>
      <c r="J22" s="315"/>
    </row>
    <row r="23" spans="1:10" s="5" customFormat="1" ht="20.100000000000001" customHeight="1">
      <c r="A23" s="142" t="s">
        <v>23</v>
      </c>
      <c r="B23" s="185">
        <v>1020</v>
      </c>
      <c r="C23" s="335">
        <f t="shared" ref="C23:I23" si="3">C7-C9</f>
        <v>0</v>
      </c>
      <c r="D23" s="335">
        <f t="shared" si="3"/>
        <v>-200</v>
      </c>
      <c r="E23" s="335">
        <f t="shared" si="3"/>
        <v>-1200</v>
      </c>
      <c r="F23" s="335">
        <f t="shared" si="3"/>
        <v>-200</v>
      </c>
      <c r="G23" s="335">
        <f t="shared" si="3"/>
        <v>-300</v>
      </c>
      <c r="H23" s="335">
        <f t="shared" si="3"/>
        <v>-400</v>
      </c>
      <c r="I23" s="335">
        <f t="shared" si="3"/>
        <v>-500</v>
      </c>
      <c r="J23" s="127"/>
    </row>
    <row r="24" spans="1:10" ht="38.25" customHeight="1">
      <c r="A24" s="312" t="s">
        <v>399</v>
      </c>
      <c r="B24" s="143">
        <v>1030</v>
      </c>
      <c r="C24" s="161"/>
      <c r="D24" s="161"/>
      <c r="E24" s="161"/>
      <c r="F24" s="161"/>
      <c r="G24" s="161"/>
      <c r="H24" s="161"/>
      <c r="I24" s="161"/>
      <c r="J24" s="315"/>
    </row>
    <row r="25" spans="1:10" ht="37.5">
      <c r="A25" s="312" t="s">
        <v>402</v>
      </c>
      <c r="B25" s="314" t="s">
        <v>403</v>
      </c>
      <c r="C25" s="161"/>
      <c r="D25" s="161"/>
      <c r="E25" s="161"/>
      <c r="F25" s="161"/>
      <c r="G25" s="161"/>
      <c r="H25" s="161"/>
      <c r="I25" s="161"/>
      <c r="J25" s="315"/>
    </row>
    <row r="26" spans="1:10" ht="20.25" customHeight="1">
      <c r="A26" s="312" t="s">
        <v>234</v>
      </c>
      <c r="B26" s="143">
        <v>1031</v>
      </c>
      <c r="C26" s="161"/>
      <c r="D26" s="161"/>
      <c r="E26" s="161"/>
      <c r="F26" s="161"/>
      <c r="G26" s="161"/>
      <c r="H26" s="161"/>
      <c r="I26" s="161"/>
      <c r="J26" s="315"/>
    </row>
    <row r="27" spans="1:10" ht="20.100000000000001" customHeight="1">
      <c r="A27" s="312" t="s">
        <v>241</v>
      </c>
      <c r="B27" s="143">
        <v>1040</v>
      </c>
      <c r="C27" s="181">
        <f t="shared" ref="C27:I27" si="4">SUM(C28:C47)+C49</f>
        <v>0</v>
      </c>
      <c r="D27" s="181">
        <f t="shared" si="4"/>
        <v>2620</v>
      </c>
      <c r="E27" s="181">
        <f t="shared" si="4"/>
        <v>2803</v>
      </c>
      <c r="F27" s="181">
        <f t="shared" si="4"/>
        <v>993</v>
      </c>
      <c r="G27" s="181">
        <f t="shared" si="4"/>
        <v>1948</v>
      </c>
      <c r="H27" s="181">
        <f t="shared" si="4"/>
        <v>2967</v>
      </c>
      <c r="I27" s="181">
        <f t="shared" si="4"/>
        <v>4010</v>
      </c>
      <c r="J27" s="315"/>
    </row>
    <row r="28" spans="1:10" ht="37.5">
      <c r="A28" s="312" t="s">
        <v>119</v>
      </c>
      <c r="B28" s="143">
        <v>1041</v>
      </c>
      <c r="C28" s="161"/>
      <c r="D28" s="161"/>
      <c r="E28" s="161"/>
      <c r="F28" s="161"/>
      <c r="G28" s="161"/>
      <c r="H28" s="161"/>
      <c r="I28" s="161"/>
      <c r="J28" s="315"/>
    </row>
    <row r="29" spans="1:10" ht="32.25" customHeight="1">
      <c r="A29" s="312" t="s">
        <v>224</v>
      </c>
      <c r="B29" s="143">
        <v>1042</v>
      </c>
      <c r="C29" s="161"/>
      <c r="D29" s="161"/>
      <c r="E29" s="161"/>
      <c r="F29" s="161"/>
      <c r="G29" s="161"/>
      <c r="H29" s="161"/>
      <c r="I29" s="161"/>
      <c r="J29" s="315"/>
    </row>
    <row r="30" spans="1:10" ht="20.100000000000001" customHeight="1">
      <c r="A30" s="312" t="s">
        <v>64</v>
      </c>
      <c r="B30" s="143">
        <v>1043</v>
      </c>
      <c r="C30" s="161"/>
      <c r="D30" s="161"/>
      <c r="E30" s="161"/>
      <c r="F30" s="161"/>
      <c r="G30" s="161"/>
      <c r="H30" s="161"/>
      <c r="I30" s="161"/>
      <c r="J30" s="315"/>
    </row>
    <row r="31" spans="1:10" ht="20.100000000000001" customHeight="1">
      <c r="A31" s="312" t="s">
        <v>21</v>
      </c>
      <c r="B31" s="143">
        <v>1044</v>
      </c>
      <c r="C31" s="161"/>
      <c r="D31" s="161"/>
      <c r="E31" s="161"/>
      <c r="F31" s="161"/>
      <c r="G31" s="161"/>
      <c r="H31" s="161"/>
      <c r="I31" s="161"/>
      <c r="J31" s="315"/>
    </row>
    <row r="32" spans="1:10" ht="20.100000000000001" customHeight="1">
      <c r="A32" s="312" t="s">
        <v>22</v>
      </c>
      <c r="B32" s="143">
        <v>1045</v>
      </c>
      <c r="C32" s="161"/>
      <c r="D32" s="161"/>
      <c r="E32" s="161"/>
      <c r="F32" s="161"/>
      <c r="G32" s="161"/>
      <c r="H32" s="161"/>
      <c r="I32" s="161"/>
      <c r="J32" s="315"/>
    </row>
    <row r="33" spans="1:14" s="1" customFormat="1" ht="20.100000000000001" customHeight="1">
      <c r="A33" s="312" t="s">
        <v>40</v>
      </c>
      <c r="B33" s="143">
        <v>1046</v>
      </c>
      <c r="C33" s="161"/>
      <c r="D33" s="161"/>
      <c r="E33" s="161"/>
      <c r="F33" s="161"/>
      <c r="G33" s="161"/>
      <c r="H33" s="161"/>
      <c r="I33" s="161"/>
      <c r="J33" s="315"/>
    </row>
    <row r="34" spans="1:14" s="1" customFormat="1" ht="20.100000000000001" customHeight="1">
      <c r="A34" s="312" t="s">
        <v>41</v>
      </c>
      <c r="B34" s="143">
        <v>1047</v>
      </c>
      <c r="C34" s="161"/>
      <c r="D34" s="161"/>
      <c r="E34" s="161"/>
      <c r="F34" s="161">
        <v>2</v>
      </c>
      <c r="G34" s="161">
        <v>3</v>
      </c>
      <c r="H34" s="161">
        <v>4</v>
      </c>
      <c r="I34" s="161">
        <v>6</v>
      </c>
      <c r="J34" s="315"/>
    </row>
    <row r="35" spans="1:14" s="1" customFormat="1" ht="20.100000000000001" customHeight="1">
      <c r="A35" s="312" t="s">
        <v>42</v>
      </c>
      <c r="B35" s="143">
        <v>1048</v>
      </c>
      <c r="C35" s="161"/>
      <c r="D35" s="161">
        <v>2135</v>
      </c>
      <c r="E35" s="161">
        <v>2210</v>
      </c>
      <c r="F35" s="161">
        <v>745</v>
      </c>
      <c r="G35" s="161">
        <v>1501</v>
      </c>
      <c r="H35" s="161">
        <v>2288</v>
      </c>
      <c r="I35" s="161">
        <v>3076</v>
      </c>
      <c r="J35" s="315"/>
      <c r="K35" s="284">
        <f>'штатка '!M41/1000</f>
        <v>744.76350000000002</v>
      </c>
      <c r="L35" s="284">
        <f>'штатка '!N41/1000</f>
        <v>1500.9269999999999</v>
      </c>
      <c r="M35" s="284">
        <f>'штатка '!O41/1000</f>
        <v>2288.4405000000002</v>
      </c>
      <c r="N35" s="284">
        <f>'штатка '!P41/1000</f>
        <v>3075.9540000000002</v>
      </c>
    </row>
    <row r="36" spans="1:14" s="1" customFormat="1" ht="20.100000000000001" customHeight="1">
      <c r="A36" s="312" t="s">
        <v>43</v>
      </c>
      <c r="B36" s="143">
        <v>1049</v>
      </c>
      <c r="C36" s="161"/>
      <c r="D36" s="161">
        <v>465</v>
      </c>
      <c r="E36" s="161">
        <v>484</v>
      </c>
      <c r="F36" s="181">
        <f>ROUND(Лист1!C17,0)</f>
        <v>160</v>
      </c>
      <c r="G36" s="181">
        <f>ROUND(Лист1!D17,0)</f>
        <v>322</v>
      </c>
      <c r="H36" s="181">
        <f>ROUND(Лист1!E17,0)</f>
        <v>491</v>
      </c>
      <c r="I36" s="181">
        <f>ROUND(Лист1!F17,0)</f>
        <v>660</v>
      </c>
      <c r="J36" s="315"/>
      <c r="K36" s="284">
        <f>'штатка '!M42/1000</f>
        <v>159.73639704000001</v>
      </c>
      <c r="L36" s="284">
        <f>'штатка '!N42/1000</f>
        <v>321.98079408000001</v>
      </c>
      <c r="M36" s="284">
        <f>'штатка '!O42/1000</f>
        <v>491.12219111999991</v>
      </c>
      <c r="N36" s="284">
        <f>'штатка '!P42/1000</f>
        <v>660.26358816000004</v>
      </c>
    </row>
    <row r="37" spans="1:14" s="1" customFormat="1" ht="60" customHeight="1">
      <c r="A37" s="312" t="s">
        <v>44</v>
      </c>
      <c r="B37" s="143">
        <v>1050</v>
      </c>
      <c r="C37" s="161"/>
      <c r="D37" s="161">
        <v>6</v>
      </c>
      <c r="E37" s="161">
        <v>3</v>
      </c>
      <c r="F37" s="161">
        <v>6</v>
      </c>
      <c r="G37" s="161">
        <v>6</v>
      </c>
      <c r="H37" s="161">
        <v>8</v>
      </c>
      <c r="I37" s="161">
        <v>10</v>
      </c>
      <c r="J37" s="315"/>
    </row>
    <row r="38" spans="1:14" s="1" customFormat="1" ht="56.25">
      <c r="A38" s="312" t="s">
        <v>45</v>
      </c>
      <c r="B38" s="143">
        <v>1051</v>
      </c>
      <c r="C38" s="161"/>
      <c r="D38" s="161"/>
      <c r="E38" s="161"/>
      <c r="F38" s="161"/>
      <c r="G38" s="161"/>
      <c r="H38" s="161"/>
      <c r="I38" s="161"/>
      <c r="J38" s="315"/>
    </row>
    <row r="39" spans="1:14" s="1" customFormat="1" ht="37.5">
      <c r="A39" s="312" t="s">
        <v>46</v>
      </c>
      <c r="B39" s="143">
        <v>1052</v>
      </c>
      <c r="C39" s="161"/>
      <c r="D39" s="161"/>
      <c r="E39" s="161"/>
      <c r="F39" s="161"/>
      <c r="G39" s="161"/>
      <c r="H39" s="161"/>
      <c r="I39" s="161"/>
      <c r="J39" s="315"/>
    </row>
    <row r="40" spans="1:14" s="1" customFormat="1" ht="37.5">
      <c r="A40" s="312" t="s">
        <v>47</v>
      </c>
      <c r="B40" s="143">
        <v>1053</v>
      </c>
      <c r="C40" s="161"/>
      <c r="D40" s="161"/>
      <c r="E40" s="161"/>
      <c r="F40" s="161"/>
      <c r="G40" s="161"/>
      <c r="H40" s="161"/>
      <c r="I40" s="161"/>
      <c r="J40" s="315"/>
    </row>
    <row r="41" spans="1:14" s="1" customFormat="1" ht="20.100000000000001" customHeight="1">
      <c r="A41" s="312" t="s">
        <v>48</v>
      </c>
      <c r="B41" s="143">
        <v>1054</v>
      </c>
      <c r="C41" s="161"/>
      <c r="D41" s="161"/>
      <c r="E41" s="161"/>
      <c r="F41" s="161">
        <v>6</v>
      </c>
      <c r="G41" s="161">
        <v>6</v>
      </c>
      <c r="H41" s="161">
        <v>8</v>
      </c>
      <c r="I41" s="161">
        <v>13</v>
      </c>
      <c r="J41" s="315"/>
    </row>
    <row r="42" spans="1:14" s="1" customFormat="1" ht="20.100000000000001" customHeight="1">
      <c r="A42" s="312" t="s">
        <v>68</v>
      </c>
      <c r="B42" s="143">
        <v>1055</v>
      </c>
      <c r="C42" s="161"/>
      <c r="D42" s="161"/>
      <c r="E42" s="161"/>
      <c r="F42" s="161">
        <v>3</v>
      </c>
      <c r="G42" s="161">
        <v>3</v>
      </c>
      <c r="H42" s="161">
        <v>3</v>
      </c>
      <c r="I42" s="161">
        <v>3</v>
      </c>
      <c r="J42" s="315"/>
    </row>
    <row r="43" spans="1:14" s="1" customFormat="1" ht="20.100000000000001" customHeight="1">
      <c r="A43" s="312" t="s">
        <v>49</v>
      </c>
      <c r="B43" s="143">
        <v>1056</v>
      </c>
      <c r="C43" s="161"/>
      <c r="D43" s="161"/>
      <c r="E43" s="161"/>
      <c r="F43" s="161"/>
      <c r="G43" s="161"/>
      <c r="H43" s="161"/>
      <c r="I43" s="161"/>
      <c r="J43" s="315"/>
    </row>
    <row r="44" spans="1:14" s="1" customFormat="1" ht="20.100000000000001" customHeight="1">
      <c r="A44" s="312" t="s">
        <v>50</v>
      </c>
      <c r="B44" s="143">
        <v>1057</v>
      </c>
      <c r="C44" s="161"/>
      <c r="D44" s="161"/>
      <c r="E44" s="161"/>
      <c r="F44" s="161"/>
      <c r="G44" s="161">
        <v>3</v>
      </c>
      <c r="H44" s="161">
        <v>8</v>
      </c>
      <c r="I44" s="161">
        <v>10</v>
      </c>
      <c r="J44" s="315"/>
    </row>
    <row r="45" spans="1:14" s="1" customFormat="1">
      <c r="A45" s="312" t="s">
        <v>452</v>
      </c>
      <c r="B45" s="143">
        <v>1058</v>
      </c>
      <c r="C45" s="161"/>
      <c r="D45" s="161"/>
      <c r="E45" s="161"/>
      <c r="F45" s="161">
        <v>3</v>
      </c>
      <c r="G45" s="161">
        <v>5</v>
      </c>
      <c r="H45" s="161">
        <v>8</v>
      </c>
      <c r="I45" s="161">
        <v>11</v>
      </c>
      <c r="J45" s="315"/>
    </row>
    <row r="46" spans="1:14" s="1" customFormat="1" ht="37.5">
      <c r="A46" s="312" t="s">
        <v>51</v>
      </c>
      <c r="B46" s="143">
        <v>1059</v>
      </c>
      <c r="C46" s="161"/>
      <c r="D46" s="161"/>
      <c r="E46" s="161">
        <v>2</v>
      </c>
      <c r="F46" s="161">
        <v>6</v>
      </c>
      <c r="G46" s="161">
        <v>10</v>
      </c>
      <c r="H46" s="161">
        <v>10</v>
      </c>
      <c r="I46" s="161">
        <v>12</v>
      </c>
      <c r="J46" s="315"/>
    </row>
    <row r="47" spans="1:14" s="1" customFormat="1" ht="75">
      <c r="A47" s="312" t="s">
        <v>81</v>
      </c>
      <c r="B47" s="143">
        <v>1060</v>
      </c>
      <c r="C47" s="161"/>
      <c r="D47" s="161"/>
      <c r="E47" s="161"/>
      <c r="F47" s="161">
        <v>14</v>
      </c>
      <c r="G47" s="161">
        <v>14</v>
      </c>
      <c r="H47" s="161">
        <v>14</v>
      </c>
      <c r="I47" s="161">
        <v>44</v>
      </c>
      <c r="J47" s="315"/>
    </row>
    <row r="48" spans="1:14" s="1" customFormat="1" ht="20.100000000000001" customHeight="1">
      <c r="A48" s="312" t="s">
        <v>52</v>
      </c>
      <c r="B48" s="143">
        <v>1061</v>
      </c>
      <c r="C48" s="161"/>
      <c r="D48" s="161"/>
      <c r="E48" s="161"/>
      <c r="F48" s="161">
        <v>0</v>
      </c>
      <c r="G48" s="161">
        <v>0</v>
      </c>
      <c r="H48" s="161">
        <v>0</v>
      </c>
      <c r="I48" s="161">
        <v>0</v>
      </c>
      <c r="J48" s="315"/>
    </row>
    <row r="49" spans="1:10" s="1" customFormat="1" ht="37.5">
      <c r="A49" s="312" t="s">
        <v>123</v>
      </c>
      <c r="B49" s="143">
        <v>1062</v>
      </c>
      <c r="C49" s="161">
        <f t="shared" ref="C49:I49" si="5">SUM(C50:C53)</f>
        <v>0</v>
      </c>
      <c r="D49" s="161">
        <f t="shared" si="5"/>
        <v>14</v>
      </c>
      <c r="E49" s="161">
        <f t="shared" si="5"/>
        <v>104</v>
      </c>
      <c r="F49" s="161">
        <f t="shared" si="5"/>
        <v>48</v>
      </c>
      <c r="G49" s="161">
        <f t="shared" si="5"/>
        <v>75</v>
      </c>
      <c r="H49" s="161">
        <f t="shared" si="5"/>
        <v>125</v>
      </c>
      <c r="I49" s="161">
        <f t="shared" si="5"/>
        <v>165</v>
      </c>
      <c r="J49" s="315"/>
    </row>
    <row r="50" spans="1:10" s="1" customFormat="1" ht="56.25">
      <c r="A50" s="312" t="s">
        <v>443</v>
      </c>
      <c r="B50" s="143" t="s">
        <v>414</v>
      </c>
      <c r="C50" s="161"/>
      <c r="D50" s="161"/>
      <c r="E50" s="161">
        <v>78</v>
      </c>
      <c r="F50" s="161">
        <v>25</v>
      </c>
      <c r="G50" s="161">
        <v>47</v>
      </c>
      <c r="H50" s="161">
        <v>74</v>
      </c>
      <c r="I50" s="161">
        <f>96+5</f>
        <v>101</v>
      </c>
      <c r="J50" s="315"/>
    </row>
    <row r="51" spans="1:10" s="1" customFormat="1">
      <c r="A51" s="312" t="s">
        <v>416</v>
      </c>
      <c r="B51" s="143" t="s">
        <v>415</v>
      </c>
      <c r="C51" s="161"/>
      <c r="D51" s="161"/>
      <c r="E51" s="161">
        <v>12</v>
      </c>
      <c r="F51" s="161">
        <v>2</v>
      </c>
      <c r="G51" s="161">
        <v>3</v>
      </c>
      <c r="H51" s="161">
        <v>4</v>
      </c>
      <c r="I51" s="161">
        <v>6</v>
      </c>
      <c r="J51" s="315"/>
    </row>
    <row r="52" spans="1:10" s="1" customFormat="1" ht="37.5">
      <c r="A52" s="312" t="s">
        <v>445</v>
      </c>
      <c r="B52" s="143" t="s">
        <v>417</v>
      </c>
      <c r="C52" s="161"/>
      <c r="D52" s="161">
        <v>14</v>
      </c>
      <c r="E52" s="161">
        <v>14</v>
      </c>
      <c r="F52" s="161">
        <v>20</v>
      </c>
      <c r="G52" s="161">
        <v>23</v>
      </c>
      <c r="H52" s="161">
        <v>43</v>
      </c>
      <c r="I52" s="161">
        <v>53</v>
      </c>
      <c r="J52" s="315"/>
    </row>
    <row r="53" spans="1:10" s="1" customFormat="1" ht="37.5">
      <c r="A53" s="312" t="s">
        <v>444</v>
      </c>
      <c r="B53" s="143" t="s">
        <v>446</v>
      </c>
      <c r="C53" s="161"/>
      <c r="D53" s="161"/>
      <c r="E53" s="161"/>
      <c r="F53" s="161">
        <v>1</v>
      </c>
      <c r="G53" s="161">
        <v>2</v>
      </c>
      <c r="H53" s="161">
        <v>4</v>
      </c>
      <c r="I53" s="161">
        <v>5</v>
      </c>
      <c r="J53" s="315"/>
    </row>
    <row r="54" spans="1:10" ht="20.100000000000001" customHeight="1">
      <c r="A54" s="312" t="s">
        <v>242</v>
      </c>
      <c r="B54" s="143">
        <v>1070</v>
      </c>
      <c r="C54" s="181">
        <f>SUM(C55:C60)</f>
        <v>0</v>
      </c>
      <c r="D54" s="181">
        <f t="shared" ref="D54:I54" si="6">SUM(D55:D60)</f>
        <v>0</v>
      </c>
      <c r="E54" s="181">
        <f t="shared" si="6"/>
        <v>0</v>
      </c>
      <c r="F54" s="181">
        <f t="shared" si="6"/>
        <v>0</v>
      </c>
      <c r="G54" s="181">
        <f t="shared" si="6"/>
        <v>0</v>
      </c>
      <c r="H54" s="181">
        <f t="shared" si="6"/>
        <v>0</v>
      </c>
      <c r="I54" s="181">
        <f t="shared" si="6"/>
        <v>0</v>
      </c>
      <c r="J54" s="315"/>
    </row>
    <row r="55" spans="1:10" s="1" customFormat="1" ht="20.100000000000001" customHeight="1">
      <c r="A55" s="312" t="s">
        <v>202</v>
      </c>
      <c r="B55" s="143">
        <v>1071</v>
      </c>
      <c r="C55" s="161"/>
      <c r="D55" s="161"/>
      <c r="E55" s="161"/>
      <c r="F55" s="161"/>
      <c r="G55" s="161"/>
      <c r="H55" s="161"/>
      <c r="I55" s="161"/>
      <c r="J55" s="315"/>
    </row>
    <row r="56" spans="1:10" s="1" customFormat="1" ht="20.100000000000001" customHeight="1">
      <c r="A56" s="312" t="s">
        <v>203</v>
      </c>
      <c r="B56" s="143">
        <v>1072</v>
      </c>
      <c r="C56" s="161"/>
      <c r="D56" s="161"/>
      <c r="E56" s="161"/>
      <c r="F56" s="161"/>
      <c r="G56" s="161"/>
      <c r="H56" s="161"/>
      <c r="I56" s="161"/>
      <c r="J56" s="315"/>
    </row>
    <row r="57" spans="1:10" s="1" customFormat="1" ht="20.100000000000001" customHeight="1">
      <c r="A57" s="312" t="s">
        <v>42</v>
      </c>
      <c r="B57" s="143">
        <v>1073</v>
      </c>
      <c r="C57" s="161"/>
      <c r="D57" s="161"/>
      <c r="E57" s="161"/>
      <c r="F57" s="161"/>
      <c r="G57" s="161"/>
      <c r="H57" s="161"/>
      <c r="I57" s="161"/>
      <c r="J57" s="315"/>
    </row>
    <row r="58" spans="1:10" s="1" customFormat="1" ht="37.5">
      <c r="A58" s="312" t="s">
        <v>65</v>
      </c>
      <c r="B58" s="143">
        <v>1074</v>
      </c>
      <c r="C58" s="161"/>
      <c r="D58" s="161"/>
      <c r="E58" s="161"/>
      <c r="F58" s="161"/>
      <c r="G58" s="161"/>
      <c r="H58" s="161"/>
      <c r="I58" s="161"/>
      <c r="J58" s="315"/>
    </row>
    <row r="59" spans="1:10" s="1" customFormat="1" ht="20.100000000000001" customHeight="1">
      <c r="A59" s="312" t="s">
        <v>84</v>
      </c>
      <c r="B59" s="143">
        <v>1075</v>
      </c>
      <c r="C59" s="161"/>
      <c r="D59" s="161"/>
      <c r="E59" s="161"/>
      <c r="F59" s="161"/>
      <c r="G59" s="161"/>
      <c r="H59" s="161"/>
      <c r="I59" s="161"/>
      <c r="J59" s="315"/>
    </row>
    <row r="60" spans="1:10" s="1" customFormat="1" ht="20.100000000000001" customHeight="1">
      <c r="A60" s="312" t="s">
        <v>138</v>
      </c>
      <c r="B60" s="143">
        <v>1076</v>
      </c>
      <c r="C60" s="161"/>
      <c r="D60" s="161"/>
      <c r="E60" s="161"/>
      <c r="F60" s="161"/>
      <c r="G60" s="161"/>
      <c r="H60" s="161"/>
      <c r="I60" s="161"/>
      <c r="J60" s="315"/>
    </row>
    <row r="61" spans="1:10" s="1" customFormat="1" ht="20.100000000000001" customHeight="1">
      <c r="A61" s="312" t="s">
        <v>43</v>
      </c>
      <c r="B61" s="314" t="s">
        <v>398</v>
      </c>
      <c r="C61" s="161"/>
      <c r="D61" s="161"/>
      <c r="E61" s="161"/>
      <c r="F61" s="161"/>
      <c r="G61" s="161"/>
      <c r="H61" s="161"/>
      <c r="I61" s="161"/>
      <c r="J61" s="315"/>
    </row>
    <row r="62" spans="1:10" s="1" customFormat="1" ht="37.5">
      <c r="A62" s="186" t="s">
        <v>86</v>
      </c>
      <c r="B62" s="143">
        <v>1080</v>
      </c>
      <c r="C62" s="181">
        <f>SUM(C63:C67)</f>
        <v>0</v>
      </c>
      <c r="D62" s="181">
        <f t="shared" ref="D62:I62" si="7">SUM(D63:D67)</f>
        <v>128</v>
      </c>
      <c r="E62" s="181">
        <f t="shared" si="7"/>
        <v>0</v>
      </c>
      <c r="F62" s="181">
        <f t="shared" si="7"/>
        <v>0</v>
      </c>
      <c r="G62" s="181">
        <f t="shared" si="7"/>
        <v>0</v>
      </c>
      <c r="H62" s="181">
        <f t="shared" si="7"/>
        <v>0</v>
      </c>
      <c r="I62" s="181">
        <f t="shared" si="7"/>
        <v>0</v>
      </c>
      <c r="J62" s="315"/>
    </row>
    <row r="63" spans="1:10" s="1" customFormat="1" ht="20.100000000000001" customHeight="1">
      <c r="A63" s="312" t="s">
        <v>75</v>
      </c>
      <c r="B63" s="143">
        <v>1081</v>
      </c>
      <c r="C63" s="161"/>
      <c r="D63" s="161"/>
      <c r="E63" s="161"/>
      <c r="F63" s="161"/>
      <c r="G63" s="161"/>
      <c r="H63" s="161"/>
      <c r="I63" s="161"/>
      <c r="J63" s="315"/>
    </row>
    <row r="64" spans="1:10" s="1" customFormat="1" ht="37.5">
      <c r="A64" s="312" t="s">
        <v>53</v>
      </c>
      <c r="B64" s="143">
        <v>1082</v>
      </c>
      <c r="C64" s="161"/>
      <c r="D64" s="161"/>
      <c r="E64" s="161"/>
      <c r="F64" s="161"/>
      <c r="G64" s="161"/>
      <c r="H64" s="161"/>
      <c r="I64" s="161"/>
      <c r="J64" s="315"/>
    </row>
    <row r="65" spans="1:10" s="1" customFormat="1" ht="37.5">
      <c r="A65" s="312" t="s">
        <v>63</v>
      </c>
      <c r="B65" s="143">
        <v>1083</v>
      </c>
      <c r="C65" s="161"/>
      <c r="D65" s="161"/>
      <c r="E65" s="161"/>
      <c r="F65" s="161"/>
      <c r="G65" s="161"/>
      <c r="H65" s="161"/>
      <c r="I65" s="161"/>
      <c r="J65" s="315"/>
    </row>
    <row r="66" spans="1:10" s="1" customFormat="1" ht="20.100000000000001" customHeight="1">
      <c r="A66" s="312" t="s">
        <v>234</v>
      </c>
      <c r="B66" s="143">
        <v>1084</v>
      </c>
      <c r="C66" s="161"/>
      <c r="D66" s="161"/>
      <c r="E66" s="161"/>
      <c r="F66" s="161"/>
      <c r="G66" s="161"/>
      <c r="H66" s="161"/>
      <c r="I66" s="161"/>
      <c r="J66" s="315"/>
    </row>
    <row r="67" spans="1:10" s="1" customFormat="1" ht="20.100000000000001" customHeight="1">
      <c r="A67" s="312" t="s">
        <v>263</v>
      </c>
      <c r="B67" s="143">
        <v>1085</v>
      </c>
      <c r="C67" s="161"/>
      <c r="D67" s="161">
        <v>128</v>
      </c>
      <c r="E67" s="161"/>
      <c r="F67" s="161"/>
      <c r="G67" s="161"/>
      <c r="H67" s="161"/>
      <c r="I67" s="161"/>
      <c r="J67" s="315"/>
    </row>
    <row r="68" spans="1:10" s="1" customFormat="1" ht="20.100000000000001" customHeight="1">
      <c r="A68" s="278" t="s">
        <v>560</v>
      </c>
      <c r="B68" s="281" t="s">
        <v>559</v>
      </c>
      <c r="C68" s="279"/>
      <c r="D68" s="279">
        <v>128</v>
      </c>
      <c r="E68" s="279"/>
      <c r="F68" s="279"/>
      <c r="G68" s="279"/>
      <c r="H68" s="279"/>
      <c r="I68" s="279"/>
      <c r="J68" s="280"/>
    </row>
    <row r="69" spans="1:10" s="5" customFormat="1" ht="37.5">
      <c r="A69" s="142" t="s">
        <v>4</v>
      </c>
      <c r="B69" s="185">
        <v>1100</v>
      </c>
      <c r="C69" s="181">
        <f t="shared" ref="C69:I69" si="8">C23+C24-C27-C54-C62</f>
        <v>0</v>
      </c>
      <c r="D69" s="181">
        <f t="shared" si="8"/>
        <v>-2948</v>
      </c>
      <c r="E69" s="181">
        <f t="shared" si="8"/>
        <v>-4003</v>
      </c>
      <c r="F69" s="181">
        <f t="shared" si="8"/>
        <v>-1193</v>
      </c>
      <c r="G69" s="181">
        <f t="shared" si="8"/>
        <v>-2248</v>
      </c>
      <c r="H69" s="181">
        <f t="shared" si="8"/>
        <v>-3367</v>
      </c>
      <c r="I69" s="181">
        <f t="shared" si="8"/>
        <v>-4510</v>
      </c>
      <c r="J69" s="127"/>
    </row>
    <row r="70" spans="1:10" ht="37.5">
      <c r="A70" s="312" t="s">
        <v>121</v>
      </c>
      <c r="B70" s="143">
        <v>1110</v>
      </c>
      <c r="C70" s="161"/>
      <c r="D70" s="161"/>
      <c r="E70" s="161"/>
      <c r="F70" s="161"/>
      <c r="G70" s="161"/>
      <c r="H70" s="161"/>
      <c r="I70" s="161"/>
      <c r="J70" s="315"/>
    </row>
    <row r="71" spans="1:10" ht="20.100000000000001" customHeight="1">
      <c r="A71" s="312" t="s">
        <v>122</v>
      </c>
      <c r="B71" s="143">
        <v>1120</v>
      </c>
      <c r="C71" s="161"/>
      <c r="D71" s="161"/>
      <c r="E71" s="161"/>
      <c r="F71" s="161"/>
      <c r="G71" s="161"/>
      <c r="H71" s="161"/>
      <c r="I71" s="161"/>
      <c r="J71" s="315"/>
    </row>
    <row r="72" spans="1:10" ht="37.5">
      <c r="A72" s="312" t="s">
        <v>125</v>
      </c>
      <c r="B72" s="143">
        <v>1130</v>
      </c>
      <c r="C72" s="161"/>
      <c r="D72" s="161"/>
      <c r="E72" s="161"/>
      <c r="F72" s="161"/>
      <c r="G72" s="161"/>
      <c r="H72" s="161"/>
      <c r="I72" s="161"/>
      <c r="J72" s="315"/>
    </row>
    <row r="73" spans="1:10" ht="20.100000000000001" customHeight="1">
      <c r="A73" s="312" t="s">
        <v>124</v>
      </c>
      <c r="B73" s="143">
        <v>1140</v>
      </c>
      <c r="C73" s="161"/>
      <c r="D73" s="161"/>
      <c r="E73" s="161"/>
      <c r="F73" s="161"/>
      <c r="G73" s="161"/>
      <c r="H73" s="161"/>
      <c r="I73" s="161"/>
      <c r="J73" s="315"/>
    </row>
    <row r="74" spans="1:10" ht="37.5">
      <c r="A74" s="312" t="s">
        <v>235</v>
      </c>
      <c r="B74" s="143">
        <v>1150</v>
      </c>
      <c r="C74" s="161">
        <f>C75</f>
        <v>0</v>
      </c>
      <c r="D74" s="161"/>
      <c r="E74" s="161">
        <f>E75</f>
        <v>333</v>
      </c>
      <c r="F74" s="161"/>
      <c r="G74" s="161"/>
      <c r="H74" s="161"/>
      <c r="I74" s="161"/>
      <c r="J74" s="315"/>
    </row>
    <row r="75" spans="1:10" s="189" customFormat="1">
      <c r="A75" s="312" t="s">
        <v>410</v>
      </c>
      <c r="B75" s="314" t="s">
        <v>411</v>
      </c>
      <c r="C75" s="161"/>
      <c r="D75" s="161"/>
      <c r="E75" s="161">
        <v>333</v>
      </c>
      <c r="F75" s="161"/>
      <c r="G75" s="161"/>
      <c r="H75" s="161"/>
      <c r="I75" s="161"/>
      <c r="J75" s="315"/>
    </row>
    <row r="76" spans="1:10" ht="20.100000000000001" customHeight="1">
      <c r="A76" s="312" t="s">
        <v>234</v>
      </c>
      <c r="B76" s="143">
        <v>1151</v>
      </c>
      <c r="C76" s="161"/>
      <c r="D76" s="161"/>
      <c r="E76" s="161"/>
      <c r="F76" s="161"/>
      <c r="G76" s="161"/>
      <c r="H76" s="161"/>
      <c r="I76" s="161"/>
      <c r="J76" s="315"/>
    </row>
    <row r="77" spans="1:10" ht="37.5">
      <c r="A77" s="312" t="s">
        <v>236</v>
      </c>
      <c r="B77" s="143">
        <v>1160</v>
      </c>
      <c r="C77" s="161"/>
      <c r="D77" s="161"/>
      <c r="E77" s="161"/>
      <c r="F77" s="161"/>
      <c r="G77" s="161"/>
      <c r="H77" s="161"/>
      <c r="I77" s="161"/>
      <c r="J77" s="315"/>
    </row>
    <row r="78" spans="1:10" ht="20.100000000000001" customHeight="1">
      <c r="A78" s="312" t="s">
        <v>234</v>
      </c>
      <c r="B78" s="143">
        <v>1161</v>
      </c>
      <c r="C78" s="161"/>
      <c r="D78" s="161"/>
      <c r="E78" s="161"/>
      <c r="F78" s="161"/>
      <c r="G78" s="161"/>
      <c r="H78" s="161"/>
      <c r="I78" s="161"/>
      <c r="J78" s="315"/>
    </row>
    <row r="79" spans="1:10" s="5" customFormat="1" ht="37.5">
      <c r="A79" s="142" t="s">
        <v>105</v>
      </c>
      <c r="B79" s="185">
        <v>1170</v>
      </c>
      <c r="C79" s="162">
        <f>C69+C70+C71+C74-C73-C72-C77</f>
        <v>0</v>
      </c>
      <c r="D79" s="162">
        <f t="shared" ref="D79:I79" si="9">D69+D70+D71+D74-D73-D72-D77</f>
        <v>-2948</v>
      </c>
      <c r="E79" s="162">
        <f t="shared" si="9"/>
        <v>-3670</v>
      </c>
      <c r="F79" s="162">
        <f t="shared" si="9"/>
        <v>-1193</v>
      </c>
      <c r="G79" s="162">
        <f t="shared" si="9"/>
        <v>-2248</v>
      </c>
      <c r="H79" s="162">
        <f t="shared" si="9"/>
        <v>-3367</v>
      </c>
      <c r="I79" s="162">
        <f t="shared" si="9"/>
        <v>-4510</v>
      </c>
      <c r="J79" s="127"/>
    </row>
    <row r="80" spans="1:10" ht="20.100000000000001" customHeight="1">
      <c r="A80" s="312" t="s">
        <v>153</v>
      </c>
      <c r="B80" s="143">
        <v>1180</v>
      </c>
      <c r="C80" s="161"/>
      <c r="D80" s="161"/>
      <c r="E80" s="161"/>
      <c r="F80" s="181"/>
      <c r="G80" s="181"/>
      <c r="H80" s="181"/>
      <c r="I80" s="181"/>
      <c r="J80" s="315"/>
    </row>
    <row r="81" spans="1:10" ht="37.5">
      <c r="A81" s="312" t="s">
        <v>154</v>
      </c>
      <c r="B81" s="143">
        <v>1190</v>
      </c>
      <c r="C81" s="161"/>
      <c r="D81" s="161"/>
      <c r="E81" s="161"/>
      <c r="F81" s="161"/>
      <c r="G81" s="161"/>
      <c r="H81" s="161"/>
      <c r="I81" s="161"/>
      <c r="J81" s="315"/>
    </row>
    <row r="82" spans="1:10" s="5" customFormat="1" ht="37.5">
      <c r="A82" s="142" t="s">
        <v>106</v>
      </c>
      <c r="B82" s="185">
        <v>1200</v>
      </c>
      <c r="C82" s="162">
        <f t="shared" ref="C82:I82" si="10">C79-C80-C81</f>
        <v>0</v>
      </c>
      <c r="D82" s="162">
        <f t="shared" si="10"/>
        <v>-2948</v>
      </c>
      <c r="E82" s="162">
        <f t="shared" si="10"/>
        <v>-3670</v>
      </c>
      <c r="F82" s="162">
        <f t="shared" si="10"/>
        <v>-1193</v>
      </c>
      <c r="G82" s="162">
        <f t="shared" si="10"/>
        <v>-2248</v>
      </c>
      <c r="H82" s="162">
        <f t="shared" si="10"/>
        <v>-3367</v>
      </c>
      <c r="I82" s="162">
        <f t="shared" si="10"/>
        <v>-4510</v>
      </c>
      <c r="J82" s="127"/>
    </row>
    <row r="83" spans="1:10" ht="20.100000000000001" customHeight="1">
      <c r="A83" s="312" t="s">
        <v>24</v>
      </c>
      <c r="B83" s="314">
        <v>1201</v>
      </c>
      <c r="C83" s="162">
        <f>SUMIF(C82,"&gt;0")</f>
        <v>0</v>
      </c>
      <c r="D83" s="162">
        <f t="shared" ref="D83:I83" si="11">SUMIF(D82,"&gt;0")</f>
        <v>0</v>
      </c>
      <c r="E83" s="162">
        <f t="shared" si="11"/>
        <v>0</v>
      </c>
      <c r="F83" s="162">
        <f t="shared" si="11"/>
        <v>0</v>
      </c>
      <c r="G83" s="162">
        <f t="shared" si="11"/>
        <v>0</v>
      </c>
      <c r="H83" s="162">
        <f t="shared" si="11"/>
        <v>0</v>
      </c>
      <c r="I83" s="162">
        <f t="shared" si="11"/>
        <v>0</v>
      </c>
      <c r="J83" s="315"/>
    </row>
    <row r="84" spans="1:10" ht="20.100000000000001" customHeight="1">
      <c r="A84" s="312" t="s">
        <v>25</v>
      </c>
      <c r="B84" s="314">
        <v>1202</v>
      </c>
      <c r="C84" s="162">
        <f>SUMIF(C82,"&lt;0")</f>
        <v>0</v>
      </c>
      <c r="D84" s="162">
        <f t="shared" ref="D84:I84" si="12">SUMIF(D82,"&lt;0")</f>
        <v>-2948</v>
      </c>
      <c r="E84" s="162">
        <f t="shared" si="12"/>
        <v>-3670</v>
      </c>
      <c r="F84" s="162">
        <f t="shared" si="12"/>
        <v>-1193</v>
      </c>
      <c r="G84" s="162">
        <f t="shared" si="12"/>
        <v>-2248</v>
      </c>
      <c r="H84" s="162">
        <f t="shared" si="12"/>
        <v>-3367</v>
      </c>
      <c r="I84" s="162">
        <f t="shared" si="12"/>
        <v>-4510</v>
      </c>
      <c r="J84" s="315"/>
    </row>
    <row r="85" spans="1:10" ht="19.5" customHeight="1">
      <c r="A85" s="312" t="s">
        <v>264</v>
      </c>
      <c r="B85" s="143">
        <v>1210</v>
      </c>
      <c r="C85" s="161"/>
      <c r="D85" s="161"/>
      <c r="E85" s="161"/>
      <c r="F85" s="161"/>
      <c r="G85" s="161"/>
      <c r="H85" s="161"/>
      <c r="I85" s="161"/>
      <c r="J85" s="315"/>
    </row>
    <row r="86" spans="1:10" s="5" customFormat="1" ht="20.100000000000001" customHeight="1">
      <c r="A86" s="398" t="s">
        <v>308</v>
      </c>
      <c r="B86" s="399"/>
      <c r="C86" s="399"/>
      <c r="D86" s="399"/>
      <c r="E86" s="399"/>
      <c r="F86" s="399"/>
      <c r="G86" s="399"/>
      <c r="H86" s="399"/>
      <c r="I86" s="399"/>
      <c r="J86" s="400"/>
    </row>
    <row r="87" spans="1:10" ht="42.75" customHeight="1">
      <c r="A87" s="180" t="s">
        <v>285</v>
      </c>
      <c r="B87" s="304">
        <v>1300</v>
      </c>
      <c r="C87" s="181">
        <f t="shared" ref="C87:I87" si="13">C24-C62</f>
        <v>0</v>
      </c>
      <c r="D87" s="181">
        <f t="shared" si="13"/>
        <v>-128</v>
      </c>
      <c r="E87" s="181">
        <f t="shared" si="13"/>
        <v>0</v>
      </c>
      <c r="F87" s="181">
        <f t="shared" si="13"/>
        <v>0</v>
      </c>
      <c r="G87" s="181">
        <f t="shared" si="13"/>
        <v>0</v>
      </c>
      <c r="H87" s="181">
        <f t="shared" si="13"/>
        <v>0</v>
      </c>
      <c r="I87" s="181">
        <f t="shared" si="13"/>
        <v>0</v>
      </c>
      <c r="J87" s="315"/>
    </row>
    <row r="88" spans="1:10" ht="75">
      <c r="A88" s="311" t="s">
        <v>279</v>
      </c>
      <c r="B88" s="304">
        <v>1310</v>
      </c>
      <c r="C88" s="181">
        <f t="shared" ref="C88:I88" si="14">C70+C71-C72-C73</f>
        <v>0</v>
      </c>
      <c r="D88" s="181">
        <f t="shared" si="14"/>
        <v>0</v>
      </c>
      <c r="E88" s="181">
        <f t="shared" si="14"/>
        <v>0</v>
      </c>
      <c r="F88" s="181">
        <f t="shared" si="14"/>
        <v>0</v>
      </c>
      <c r="G88" s="181">
        <f t="shared" si="14"/>
        <v>0</v>
      </c>
      <c r="H88" s="181">
        <f t="shared" si="14"/>
        <v>0</v>
      </c>
      <c r="I88" s="181">
        <f t="shared" si="14"/>
        <v>0</v>
      </c>
      <c r="J88" s="315"/>
    </row>
    <row r="89" spans="1:10" ht="42.75" customHeight="1">
      <c r="A89" s="180" t="s">
        <v>280</v>
      </c>
      <c r="B89" s="304">
        <v>1320</v>
      </c>
      <c r="C89" s="181">
        <f>C74-C77</f>
        <v>0</v>
      </c>
      <c r="D89" s="181">
        <f t="shared" ref="D89:I89" si="15">D74-D77</f>
        <v>0</v>
      </c>
      <c r="E89" s="181">
        <f t="shared" si="15"/>
        <v>333</v>
      </c>
      <c r="F89" s="181">
        <f t="shared" si="15"/>
        <v>0</v>
      </c>
      <c r="G89" s="181">
        <f t="shared" si="15"/>
        <v>0</v>
      </c>
      <c r="H89" s="181">
        <f t="shared" si="15"/>
        <v>0</v>
      </c>
      <c r="I89" s="181">
        <f t="shared" si="15"/>
        <v>0</v>
      </c>
      <c r="J89" s="315"/>
    </row>
    <row r="90" spans="1:10" ht="56.25">
      <c r="A90" s="311" t="s">
        <v>366</v>
      </c>
      <c r="B90" s="178">
        <v>1330</v>
      </c>
      <c r="C90" s="181">
        <f t="shared" ref="C90:I90" si="16">C7+C24+C70+C71+C74</f>
        <v>0</v>
      </c>
      <c r="D90" s="181">
        <f t="shared" si="16"/>
        <v>0</v>
      </c>
      <c r="E90" s="181">
        <f t="shared" si="16"/>
        <v>333</v>
      </c>
      <c r="F90" s="181">
        <f t="shared" si="16"/>
        <v>0</v>
      </c>
      <c r="G90" s="181">
        <f t="shared" si="16"/>
        <v>0</v>
      </c>
      <c r="H90" s="181">
        <f t="shared" si="16"/>
        <v>0</v>
      </c>
      <c r="I90" s="181">
        <f t="shared" si="16"/>
        <v>0</v>
      </c>
      <c r="J90" s="315"/>
    </row>
    <row r="91" spans="1:10" ht="75">
      <c r="A91" s="311" t="s">
        <v>367</v>
      </c>
      <c r="B91" s="178">
        <v>1340</v>
      </c>
      <c r="C91" s="181">
        <f t="shared" ref="C91:I91" si="17">C9+C27+C54+C62+C72+C73+C77+C80+C81</f>
        <v>0</v>
      </c>
      <c r="D91" s="181">
        <f t="shared" si="17"/>
        <v>2948</v>
      </c>
      <c r="E91" s="181">
        <f t="shared" si="17"/>
        <v>4003</v>
      </c>
      <c r="F91" s="181">
        <f t="shared" si="17"/>
        <v>1193</v>
      </c>
      <c r="G91" s="181">
        <f t="shared" si="17"/>
        <v>2248</v>
      </c>
      <c r="H91" s="181">
        <f t="shared" si="17"/>
        <v>3367</v>
      </c>
      <c r="I91" s="181">
        <f t="shared" si="17"/>
        <v>4510</v>
      </c>
      <c r="J91" s="315"/>
    </row>
    <row r="92" spans="1:10" ht="20.100000000000001" customHeight="1">
      <c r="A92" s="398" t="s">
        <v>183</v>
      </c>
      <c r="B92" s="399"/>
      <c r="C92" s="399"/>
      <c r="D92" s="399"/>
      <c r="E92" s="399"/>
      <c r="F92" s="399"/>
      <c r="G92" s="399"/>
      <c r="H92" s="399"/>
      <c r="I92" s="399"/>
      <c r="J92" s="400"/>
    </row>
    <row r="93" spans="1:10" ht="37.5">
      <c r="A93" s="311" t="s">
        <v>281</v>
      </c>
      <c r="B93" s="178">
        <v>1400</v>
      </c>
      <c r="C93" s="181">
        <f>C69</f>
        <v>0</v>
      </c>
      <c r="D93" s="181">
        <f t="shared" ref="D93:I93" si="18">D69</f>
        <v>-2948</v>
      </c>
      <c r="E93" s="181">
        <f t="shared" si="18"/>
        <v>-4003</v>
      </c>
      <c r="F93" s="181">
        <f t="shared" si="18"/>
        <v>-1193</v>
      </c>
      <c r="G93" s="181">
        <f t="shared" si="18"/>
        <v>-2248</v>
      </c>
      <c r="H93" s="181">
        <f t="shared" si="18"/>
        <v>-3367</v>
      </c>
      <c r="I93" s="181">
        <f t="shared" si="18"/>
        <v>-4510</v>
      </c>
      <c r="J93" s="315"/>
    </row>
    <row r="94" spans="1:10">
      <c r="A94" s="311" t="s">
        <v>282</v>
      </c>
      <c r="B94" s="178">
        <v>1401</v>
      </c>
      <c r="C94" s="181">
        <f>C105</f>
        <v>0</v>
      </c>
      <c r="D94" s="181">
        <f t="shared" ref="D94:I94" si="19">D105</f>
        <v>6</v>
      </c>
      <c r="E94" s="181">
        <f t="shared" si="19"/>
        <v>3</v>
      </c>
      <c r="F94" s="181">
        <f t="shared" si="19"/>
        <v>206</v>
      </c>
      <c r="G94" s="181">
        <f t="shared" si="19"/>
        <v>306</v>
      </c>
      <c r="H94" s="181">
        <f t="shared" si="19"/>
        <v>408</v>
      </c>
      <c r="I94" s="181">
        <f t="shared" si="19"/>
        <v>510</v>
      </c>
      <c r="J94" s="315"/>
    </row>
    <row r="95" spans="1:10" ht="37.5">
      <c r="A95" s="311" t="s">
        <v>283</v>
      </c>
      <c r="B95" s="178">
        <v>1402</v>
      </c>
      <c r="C95" s="181">
        <f t="shared" ref="C95:I95" si="20">C26</f>
        <v>0</v>
      </c>
      <c r="D95" s="181">
        <f t="shared" si="20"/>
        <v>0</v>
      </c>
      <c r="E95" s="181">
        <f t="shared" si="20"/>
        <v>0</v>
      </c>
      <c r="F95" s="181">
        <f t="shared" si="20"/>
        <v>0</v>
      </c>
      <c r="G95" s="181">
        <f t="shared" si="20"/>
        <v>0</v>
      </c>
      <c r="H95" s="181">
        <f t="shared" si="20"/>
        <v>0</v>
      </c>
      <c r="I95" s="181">
        <f t="shared" si="20"/>
        <v>0</v>
      </c>
      <c r="J95" s="315"/>
    </row>
    <row r="96" spans="1:10" ht="37.5">
      <c r="A96" s="311" t="s">
        <v>284</v>
      </c>
      <c r="B96" s="178">
        <v>1403</v>
      </c>
      <c r="C96" s="181">
        <f>C66</f>
        <v>0</v>
      </c>
      <c r="D96" s="181">
        <f t="shared" ref="D96:I96" si="21">D66</f>
        <v>0</v>
      </c>
      <c r="E96" s="181">
        <f t="shared" si="21"/>
        <v>0</v>
      </c>
      <c r="F96" s="181">
        <f t="shared" si="21"/>
        <v>0</v>
      </c>
      <c r="G96" s="181">
        <f t="shared" si="21"/>
        <v>0</v>
      </c>
      <c r="H96" s="181">
        <f t="shared" si="21"/>
        <v>0</v>
      </c>
      <c r="I96" s="181">
        <f t="shared" si="21"/>
        <v>0</v>
      </c>
      <c r="J96" s="315"/>
    </row>
    <row r="97" spans="1:16" ht="37.5">
      <c r="A97" s="311" t="s">
        <v>352</v>
      </c>
      <c r="B97" s="178">
        <v>1404</v>
      </c>
      <c r="C97" s="181"/>
      <c r="D97" s="181"/>
      <c r="E97" s="181"/>
      <c r="F97" s="181"/>
      <c r="G97" s="181"/>
      <c r="H97" s="181"/>
      <c r="I97" s="181"/>
      <c r="J97" s="315"/>
    </row>
    <row r="98" spans="1:16" s="5" customFormat="1" ht="20.100000000000001" customHeight="1">
      <c r="A98" s="97" t="s">
        <v>157</v>
      </c>
      <c r="B98" s="182">
        <v>1410</v>
      </c>
      <c r="C98" s="335">
        <f>C93+C94-C95+C96</f>
        <v>0</v>
      </c>
      <c r="D98" s="335">
        <f t="shared" ref="D98:I98" si="22">D93+D94-D95+D96</f>
        <v>-2942</v>
      </c>
      <c r="E98" s="335">
        <f t="shared" si="22"/>
        <v>-4000</v>
      </c>
      <c r="F98" s="335">
        <f t="shared" si="22"/>
        <v>-987</v>
      </c>
      <c r="G98" s="335">
        <f t="shared" si="22"/>
        <v>-1942</v>
      </c>
      <c r="H98" s="335">
        <f t="shared" si="22"/>
        <v>-2959</v>
      </c>
      <c r="I98" s="335">
        <f t="shared" si="22"/>
        <v>-4000</v>
      </c>
      <c r="J98" s="127"/>
    </row>
    <row r="99" spans="1:16" ht="20.100000000000001" customHeight="1">
      <c r="A99" s="398" t="s">
        <v>251</v>
      </c>
      <c r="B99" s="399"/>
      <c r="C99" s="399"/>
      <c r="D99" s="399"/>
      <c r="E99" s="399"/>
      <c r="F99" s="399"/>
      <c r="G99" s="399"/>
      <c r="H99" s="399"/>
      <c r="I99" s="399"/>
      <c r="J99" s="400"/>
    </row>
    <row r="100" spans="1:16" ht="20.100000000000001" customHeight="1">
      <c r="A100" s="8" t="s">
        <v>309</v>
      </c>
      <c r="B100" s="69">
        <v>1500</v>
      </c>
      <c r="C100" s="161"/>
      <c r="D100" s="161"/>
      <c r="E100" s="161"/>
      <c r="F100" s="161"/>
      <c r="G100" s="161"/>
      <c r="H100" s="161"/>
      <c r="I100" s="161"/>
      <c r="J100" s="315"/>
    </row>
    <row r="101" spans="1:16" ht="37.5" customHeight="1">
      <c r="A101" s="8" t="s">
        <v>307</v>
      </c>
      <c r="B101" s="309">
        <v>1501</v>
      </c>
      <c r="C101" s="161"/>
      <c r="D101" s="161"/>
      <c r="E101" s="161"/>
      <c r="F101" s="161"/>
      <c r="G101" s="161"/>
      <c r="H101" s="161"/>
      <c r="I101" s="161"/>
      <c r="J101" s="315"/>
    </row>
    <row r="102" spans="1:16" ht="20.100000000000001" customHeight="1">
      <c r="A102" s="8" t="s">
        <v>28</v>
      </c>
      <c r="B102" s="309">
        <v>1502</v>
      </c>
      <c r="C102" s="161"/>
      <c r="D102" s="161"/>
      <c r="E102" s="161"/>
      <c r="F102" s="161"/>
      <c r="G102" s="161"/>
      <c r="H102" s="161"/>
      <c r="I102" s="161"/>
      <c r="J102" s="315"/>
    </row>
    <row r="103" spans="1:16" ht="20.100000000000001" customHeight="1">
      <c r="A103" s="8" t="s">
        <v>5</v>
      </c>
      <c r="B103" s="69">
        <v>1510</v>
      </c>
      <c r="C103" s="161">
        <f t="shared" ref="C103:I104" si="23">C13+C35</f>
        <v>0</v>
      </c>
      <c r="D103" s="161">
        <f t="shared" si="23"/>
        <v>2135</v>
      </c>
      <c r="E103" s="161">
        <f t="shared" si="23"/>
        <v>2210</v>
      </c>
      <c r="F103" s="161">
        <f t="shared" si="23"/>
        <v>745</v>
      </c>
      <c r="G103" s="161">
        <f t="shared" si="23"/>
        <v>1501</v>
      </c>
      <c r="H103" s="161">
        <f t="shared" si="23"/>
        <v>2288</v>
      </c>
      <c r="I103" s="161">
        <f t="shared" si="23"/>
        <v>3076</v>
      </c>
      <c r="J103" s="315"/>
    </row>
    <row r="104" spans="1:16" ht="20.100000000000001" customHeight="1">
      <c r="A104" s="8" t="s">
        <v>6</v>
      </c>
      <c r="B104" s="69">
        <v>1520</v>
      </c>
      <c r="C104" s="161">
        <f t="shared" si="23"/>
        <v>0</v>
      </c>
      <c r="D104" s="161">
        <f t="shared" si="23"/>
        <v>465</v>
      </c>
      <c r="E104" s="161">
        <f t="shared" si="23"/>
        <v>484</v>
      </c>
      <c r="F104" s="161">
        <f t="shared" si="23"/>
        <v>160</v>
      </c>
      <c r="G104" s="161">
        <f t="shared" si="23"/>
        <v>322</v>
      </c>
      <c r="H104" s="161">
        <f t="shared" si="23"/>
        <v>491</v>
      </c>
      <c r="I104" s="161">
        <f t="shared" si="23"/>
        <v>660</v>
      </c>
      <c r="J104" s="315"/>
      <c r="K104" s="168">
        <f>ROUND(Лист1!C17,0)</f>
        <v>160</v>
      </c>
      <c r="L104" s="168">
        <f>ROUND(Лист1!D17,0)</f>
        <v>322</v>
      </c>
      <c r="M104" s="168">
        <f>ROUND(Лист1!E17,0)</f>
        <v>491</v>
      </c>
      <c r="N104" s="168">
        <f>ROUND(Лист1!F17,0)</f>
        <v>660</v>
      </c>
      <c r="O104" s="168"/>
      <c r="P104" s="168"/>
    </row>
    <row r="105" spans="1:16" ht="20.100000000000001" customHeight="1">
      <c r="A105" s="8" t="s">
        <v>7</v>
      </c>
      <c r="B105" s="69">
        <v>1530</v>
      </c>
      <c r="C105" s="161">
        <f>C16</f>
        <v>0</v>
      </c>
      <c r="D105" s="161">
        <f>D16+D37+D58</f>
        <v>6</v>
      </c>
      <c r="E105" s="161">
        <f>E16+E37+E58</f>
        <v>3</v>
      </c>
      <c r="F105" s="161">
        <f>F16+F37+F58</f>
        <v>206</v>
      </c>
      <c r="G105" s="161">
        <f>G16+G37</f>
        <v>306</v>
      </c>
      <c r="H105" s="161">
        <f>H16+H37</f>
        <v>408</v>
      </c>
      <c r="I105" s="161">
        <f>I16+I37</f>
        <v>510</v>
      </c>
      <c r="J105" s="315"/>
      <c r="K105" s="209">
        <f>K104-F104</f>
        <v>0</v>
      </c>
      <c r="L105" s="209">
        <f>L104-G104</f>
        <v>0</v>
      </c>
      <c r="M105" s="209">
        <f>M104-H104</f>
        <v>0</v>
      </c>
      <c r="N105" s="209">
        <f>N104-I104</f>
        <v>0</v>
      </c>
    </row>
    <row r="106" spans="1:16" ht="20.100000000000001" customHeight="1">
      <c r="A106" s="8" t="s">
        <v>29</v>
      </c>
      <c r="B106" s="69">
        <v>1540</v>
      </c>
      <c r="C106" s="161">
        <f>C91-C103-C104-C105-C80</f>
        <v>0</v>
      </c>
      <c r="D106" s="161">
        <f>D17+D49+D62</f>
        <v>342</v>
      </c>
      <c r="E106" s="161">
        <f>E91-E103-E104-E105-E80</f>
        <v>1306</v>
      </c>
      <c r="F106" s="161">
        <f>F91-F103-F104-F105-F80</f>
        <v>82</v>
      </c>
      <c r="G106" s="161">
        <f>G91-G103-G104-G105-G80</f>
        <v>119</v>
      </c>
      <c r="H106" s="161">
        <f t="shared" ref="H106:I106" si="24">H91-H103-H104-H105-H80</f>
        <v>180</v>
      </c>
      <c r="I106" s="161">
        <f t="shared" si="24"/>
        <v>264</v>
      </c>
      <c r="J106" s="315"/>
    </row>
    <row r="107" spans="1:16" s="5" customFormat="1" ht="20.100000000000001" customHeight="1">
      <c r="A107" s="9" t="s">
        <v>59</v>
      </c>
      <c r="B107" s="68">
        <v>1550</v>
      </c>
      <c r="C107" s="336">
        <f>SUM(C100,C103:C106)</f>
        <v>0</v>
      </c>
      <c r="D107" s="336">
        <f t="shared" ref="D107:I107" si="25">SUM(D100,D103:D106)</f>
        <v>2948</v>
      </c>
      <c r="E107" s="336">
        <f t="shared" si="25"/>
        <v>4003</v>
      </c>
      <c r="F107" s="336">
        <f>SUM(F100,F103:F106)</f>
        <v>1193</v>
      </c>
      <c r="G107" s="336">
        <f t="shared" si="25"/>
        <v>2248</v>
      </c>
      <c r="H107" s="336">
        <f t="shared" si="25"/>
        <v>3367</v>
      </c>
      <c r="I107" s="336">
        <f t="shared" si="25"/>
        <v>4510</v>
      </c>
      <c r="J107" s="127"/>
    </row>
    <row r="108" spans="1:16" s="5" customFormat="1" ht="20.100000000000001" customHeight="1">
      <c r="A108" s="118"/>
      <c r="B108" s="122"/>
      <c r="C108" s="123"/>
      <c r="D108" s="123"/>
      <c r="E108" s="123"/>
      <c r="F108" s="124"/>
      <c r="G108" s="124"/>
      <c r="H108" s="124"/>
      <c r="I108" s="124"/>
      <c r="J108" s="125"/>
    </row>
    <row r="109" spans="1:16" s="5" customFormat="1" ht="15.75" customHeight="1">
      <c r="A109" s="118"/>
      <c r="B109" s="122"/>
      <c r="C109" s="123"/>
      <c r="D109" s="123"/>
      <c r="E109" s="123"/>
      <c r="F109" s="124"/>
      <c r="G109" s="124"/>
      <c r="H109" s="124"/>
      <c r="I109" s="124"/>
      <c r="J109" s="125"/>
    </row>
    <row r="110" spans="1:16" ht="16.5" customHeight="1">
      <c r="A110" s="103"/>
      <c r="B110" s="100"/>
      <c r="C110" s="116"/>
      <c r="D110" s="117"/>
      <c r="E110" s="117"/>
      <c r="F110" s="117"/>
      <c r="G110" s="117"/>
      <c r="H110" s="117"/>
      <c r="I110" s="117"/>
      <c r="J110" s="99"/>
    </row>
    <row r="111" spans="1:16">
      <c r="A111" s="118" t="s">
        <v>603</v>
      </c>
      <c r="B111" s="119"/>
      <c r="C111" s="401" t="s">
        <v>260</v>
      </c>
      <c r="D111" s="401"/>
      <c r="E111" s="401"/>
      <c r="F111" s="120"/>
      <c r="G111" s="402" t="s">
        <v>453</v>
      </c>
      <c r="H111" s="402"/>
      <c r="I111" s="402"/>
      <c r="J111" s="99"/>
    </row>
    <row r="112" spans="1:16" s="1" customFormat="1" ht="20.100000000000001" customHeight="1">
      <c r="A112" s="88" t="s">
        <v>604</v>
      </c>
      <c r="B112" s="99"/>
      <c r="C112" s="395" t="s">
        <v>337</v>
      </c>
      <c r="D112" s="395"/>
      <c r="E112" s="395"/>
      <c r="F112" s="121"/>
      <c r="G112" s="396" t="s">
        <v>114</v>
      </c>
      <c r="H112" s="396"/>
      <c r="I112" s="396"/>
      <c r="J112" s="126"/>
    </row>
    <row r="113" spans="1:9" s="293" customFormat="1" ht="20.100000000000001" customHeight="1">
      <c r="A113" s="25"/>
      <c r="B113" s="22"/>
      <c r="C113" s="30"/>
      <c r="D113" s="26"/>
      <c r="E113" s="26"/>
      <c r="F113" s="26"/>
      <c r="G113" s="26"/>
      <c r="H113" s="26"/>
      <c r="I113" s="26"/>
    </row>
    <row r="114" spans="1:9">
      <c r="A114" s="25"/>
      <c r="C114" s="30"/>
      <c r="D114" s="26"/>
      <c r="E114" s="26"/>
      <c r="F114" s="26"/>
      <c r="G114" s="26"/>
      <c r="H114" s="26"/>
      <c r="I114" s="26"/>
    </row>
    <row r="115" spans="1:9">
      <c r="A115" s="25"/>
      <c r="C115" s="30"/>
      <c r="D115" s="26"/>
      <c r="E115" s="26"/>
      <c r="F115" s="26"/>
      <c r="G115" s="26"/>
      <c r="H115" s="26"/>
      <c r="I115" s="26"/>
    </row>
    <row r="116" spans="1:9">
      <c r="A116" s="25"/>
      <c r="C116" s="30"/>
      <c r="D116" s="26"/>
      <c r="E116" s="26"/>
      <c r="F116" s="26"/>
      <c r="G116" s="26"/>
      <c r="H116" s="26"/>
      <c r="I116" s="26"/>
    </row>
    <row r="117" spans="1:9">
      <c r="A117" s="25"/>
      <c r="C117" s="30"/>
      <c r="D117" s="26"/>
      <c r="E117" s="26"/>
      <c r="F117" s="26"/>
      <c r="G117" s="26"/>
      <c r="H117" s="26"/>
      <c r="I117" s="26"/>
    </row>
    <row r="118" spans="1:9">
      <c r="A118" s="25"/>
      <c r="C118" s="30"/>
      <c r="D118" s="26"/>
      <c r="E118" s="26"/>
      <c r="F118" s="26"/>
      <c r="G118" s="26"/>
      <c r="H118" s="26"/>
      <c r="I118" s="26"/>
    </row>
    <row r="119" spans="1:9">
      <c r="A119" s="25"/>
      <c r="C119" s="30"/>
      <c r="D119" s="26"/>
      <c r="E119" s="26"/>
      <c r="F119" s="26"/>
      <c r="G119" s="26"/>
      <c r="H119" s="26"/>
      <c r="I119" s="26"/>
    </row>
    <row r="120" spans="1:9">
      <c r="A120" s="25"/>
      <c r="C120" s="30"/>
      <c r="D120" s="26"/>
      <c r="E120" s="26"/>
      <c r="F120" s="26"/>
      <c r="G120" s="26"/>
      <c r="H120" s="26"/>
      <c r="I120" s="26"/>
    </row>
    <row r="121" spans="1:9">
      <c r="A121" s="25"/>
      <c r="C121" s="30"/>
      <c r="D121" s="26"/>
      <c r="E121" s="26"/>
      <c r="F121" s="26"/>
      <c r="G121" s="26"/>
      <c r="H121" s="26"/>
      <c r="I121" s="26"/>
    </row>
    <row r="122" spans="1:9">
      <c r="A122" s="25"/>
      <c r="C122" s="30"/>
      <c r="D122" s="26"/>
      <c r="E122" s="26"/>
      <c r="F122" s="26"/>
      <c r="G122" s="26"/>
      <c r="H122" s="26"/>
      <c r="I122" s="26"/>
    </row>
    <row r="123" spans="1:9">
      <c r="A123" s="25"/>
      <c r="C123" s="30"/>
      <c r="D123" s="26"/>
      <c r="E123" s="26"/>
      <c r="F123" s="26"/>
      <c r="G123" s="26"/>
      <c r="H123" s="26"/>
      <c r="I123" s="26"/>
    </row>
    <row r="124" spans="1:9">
      <c r="A124" s="25"/>
      <c r="C124" s="30"/>
      <c r="D124" s="26"/>
      <c r="E124" s="26"/>
      <c r="F124" s="26"/>
      <c r="G124" s="26"/>
      <c r="H124" s="26"/>
      <c r="I124" s="26"/>
    </row>
    <row r="125" spans="1:9">
      <c r="A125" s="25"/>
      <c r="C125" s="30"/>
      <c r="D125" s="26"/>
      <c r="E125" s="26"/>
      <c r="F125" s="26"/>
      <c r="G125" s="26"/>
      <c r="H125" s="26"/>
      <c r="I125" s="26"/>
    </row>
    <row r="126" spans="1:9">
      <c r="A126" s="25"/>
      <c r="C126" s="30"/>
      <c r="D126" s="26"/>
      <c r="E126" s="26"/>
      <c r="F126" s="26"/>
      <c r="G126" s="26"/>
      <c r="H126" s="26"/>
      <c r="I126" s="26"/>
    </row>
    <row r="127" spans="1:9">
      <c r="A127" s="25"/>
      <c r="C127" s="30"/>
      <c r="D127" s="26"/>
      <c r="E127" s="26"/>
      <c r="F127" s="26"/>
      <c r="G127" s="26"/>
      <c r="H127" s="26"/>
      <c r="I127" s="26"/>
    </row>
    <row r="128" spans="1:9">
      <c r="A128" s="25"/>
      <c r="C128" s="30"/>
      <c r="D128" s="26"/>
      <c r="E128" s="26"/>
      <c r="F128" s="26"/>
      <c r="G128" s="26"/>
      <c r="H128" s="26"/>
      <c r="I128" s="26"/>
    </row>
    <row r="129" spans="1:9">
      <c r="A129" s="25"/>
      <c r="C129" s="30"/>
      <c r="D129" s="26"/>
      <c r="E129" s="26"/>
      <c r="F129" s="26"/>
      <c r="G129" s="26"/>
      <c r="H129" s="26"/>
      <c r="I129" s="26"/>
    </row>
    <row r="130" spans="1:9">
      <c r="A130" s="25"/>
      <c r="C130" s="30"/>
      <c r="D130" s="26"/>
      <c r="E130" s="26"/>
      <c r="F130" s="26"/>
      <c r="G130" s="26"/>
      <c r="H130" s="26"/>
      <c r="I130" s="26"/>
    </row>
    <row r="131" spans="1:9">
      <c r="A131" s="25"/>
      <c r="C131" s="30"/>
      <c r="D131" s="26"/>
      <c r="E131" s="26"/>
      <c r="F131" s="26"/>
      <c r="G131" s="26"/>
      <c r="H131" s="26"/>
      <c r="I131" s="26"/>
    </row>
    <row r="132" spans="1:9">
      <c r="A132" s="25"/>
      <c r="C132" s="30"/>
      <c r="D132" s="26"/>
      <c r="E132" s="26"/>
      <c r="F132" s="26"/>
      <c r="G132" s="26"/>
      <c r="H132" s="26"/>
      <c r="I132" s="26"/>
    </row>
    <row r="133" spans="1:9">
      <c r="A133" s="25"/>
      <c r="C133" s="30"/>
      <c r="D133" s="26"/>
      <c r="E133" s="26"/>
      <c r="F133" s="26"/>
      <c r="G133" s="26"/>
      <c r="H133" s="26"/>
      <c r="I133" s="26"/>
    </row>
    <row r="134" spans="1:9">
      <c r="A134" s="25"/>
      <c r="C134" s="30"/>
      <c r="D134" s="26"/>
      <c r="E134" s="26"/>
      <c r="F134" s="26"/>
      <c r="G134" s="26"/>
      <c r="H134" s="26"/>
      <c r="I134" s="26"/>
    </row>
    <row r="135" spans="1:9">
      <c r="A135" s="25"/>
      <c r="C135" s="30"/>
      <c r="D135" s="26"/>
      <c r="E135" s="26"/>
      <c r="F135" s="26"/>
      <c r="G135" s="26"/>
      <c r="H135" s="26"/>
      <c r="I135" s="26"/>
    </row>
    <row r="136" spans="1:9">
      <c r="A136" s="25"/>
      <c r="C136" s="30"/>
      <c r="D136" s="26"/>
      <c r="E136" s="26"/>
      <c r="F136" s="26"/>
      <c r="G136" s="26"/>
      <c r="H136" s="26"/>
      <c r="I136" s="26"/>
    </row>
    <row r="137" spans="1:9">
      <c r="A137" s="25"/>
      <c r="C137" s="30"/>
      <c r="D137" s="26"/>
      <c r="E137" s="26"/>
      <c r="F137" s="26"/>
      <c r="G137" s="26"/>
      <c r="H137" s="26"/>
      <c r="I137" s="26"/>
    </row>
    <row r="138" spans="1:9">
      <c r="A138" s="25"/>
      <c r="C138" s="30"/>
      <c r="D138" s="26"/>
      <c r="E138" s="26"/>
      <c r="F138" s="26"/>
      <c r="G138" s="26"/>
      <c r="H138" s="26"/>
      <c r="I138" s="26"/>
    </row>
    <row r="139" spans="1:9">
      <c r="A139" s="25"/>
      <c r="C139" s="30"/>
      <c r="D139" s="26"/>
      <c r="E139" s="26"/>
      <c r="F139" s="26"/>
      <c r="G139" s="26"/>
      <c r="H139" s="26"/>
      <c r="I139" s="26"/>
    </row>
    <row r="140" spans="1:9">
      <c r="A140" s="25"/>
      <c r="C140" s="30"/>
      <c r="D140" s="26"/>
      <c r="E140" s="26"/>
      <c r="F140" s="26"/>
      <c r="G140" s="26"/>
      <c r="H140" s="26"/>
      <c r="I140" s="26"/>
    </row>
    <row r="141" spans="1:9">
      <c r="A141" s="25"/>
      <c r="C141" s="30"/>
      <c r="D141" s="26"/>
      <c r="E141" s="26"/>
      <c r="F141" s="26"/>
      <c r="G141" s="26"/>
      <c r="H141" s="26"/>
      <c r="I141" s="26"/>
    </row>
    <row r="142" spans="1:9">
      <c r="A142" s="25"/>
      <c r="C142" s="30"/>
      <c r="D142" s="26"/>
      <c r="E142" s="26"/>
      <c r="F142" s="26"/>
      <c r="G142" s="26"/>
      <c r="H142" s="26"/>
      <c r="I142" s="26"/>
    </row>
    <row r="143" spans="1:9">
      <c r="A143" s="25"/>
      <c r="C143" s="30"/>
      <c r="D143" s="26"/>
      <c r="E143" s="26"/>
      <c r="F143" s="26"/>
      <c r="G143" s="26"/>
      <c r="H143" s="26"/>
      <c r="I143" s="26"/>
    </row>
    <row r="144" spans="1:9">
      <c r="A144" s="25"/>
      <c r="C144" s="30"/>
      <c r="D144" s="26"/>
      <c r="E144" s="26"/>
      <c r="F144" s="26"/>
      <c r="G144" s="26"/>
      <c r="H144" s="26"/>
      <c r="I144" s="26"/>
    </row>
    <row r="145" spans="1:9">
      <c r="A145" s="25"/>
      <c r="C145" s="30"/>
      <c r="D145" s="26"/>
      <c r="E145" s="26"/>
      <c r="F145" s="26"/>
      <c r="G145" s="26"/>
      <c r="H145" s="26"/>
      <c r="I145" s="26"/>
    </row>
    <row r="146" spans="1:9">
      <c r="A146" s="25"/>
      <c r="C146" s="30"/>
      <c r="D146" s="26"/>
      <c r="E146" s="26"/>
      <c r="F146" s="26"/>
      <c r="G146" s="26"/>
      <c r="H146" s="26"/>
      <c r="I146" s="26"/>
    </row>
    <row r="147" spans="1:9">
      <c r="A147" s="25"/>
      <c r="C147" s="30"/>
      <c r="D147" s="26"/>
      <c r="E147" s="26"/>
      <c r="F147" s="26"/>
      <c r="G147" s="26"/>
      <c r="H147" s="26"/>
      <c r="I147" s="26"/>
    </row>
    <row r="148" spans="1:9">
      <c r="A148" s="25"/>
      <c r="C148" s="30"/>
      <c r="D148" s="26"/>
      <c r="E148" s="26"/>
      <c r="F148" s="26"/>
      <c r="G148" s="26"/>
      <c r="H148" s="26"/>
      <c r="I148" s="26"/>
    </row>
    <row r="149" spans="1:9">
      <c r="A149" s="25"/>
      <c r="C149" s="30"/>
      <c r="D149" s="26"/>
      <c r="E149" s="26"/>
      <c r="F149" s="26"/>
      <c r="G149" s="26"/>
      <c r="H149" s="26"/>
      <c r="I149" s="26"/>
    </row>
    <row r="150" spans="1:9">
      <c r="A150" s="25"/>
      <c r="C150" s="30"/>
      <c r="D150" s="26"/>
      <c r="E150" s="26"/>
      <c r="F150" s="26"/>
      <c r="G150" s="26"/>
      <c r="H150" s="26"/>
      <c r="I150" s="26"/>
    </row>
    <row r="151" spans="1:9">
      <c r="A151" s="25"/>
      <c r="C151" s="30"/>
      <c r="D151" s="26"/>
      <c r="E151" s="26"/>
      <c r="F151" s="26"/>
      <c r="G151" s="26"/>
      <c r="H151" s="26"/>
      <c r="I151" s="26"/>
    </row>
    <row r="152" spans="1:9">
      <c r="A152" s="25"/>
      <c r="C152" s="30"/>
      <c r="D152" s="26"/>
      <c r="E152" s="26"/>
      <c r="F152" s="26"/>
      <c r="G152" s="26"/>
      <c r="H152" s="26"/>
      <c r="I152" s="26"/>
    </row>
    <row r="153" spans="1:9">
      <c r="A153" s="25"/>
      <c r="C153" s="30"/>
      <c r="D153" s="26"/>
      <c r="E153" s="26"/>
      <c r="F153" s="26"/>
      <c r="G153" s="26"/>
      <c r="H153" s="26"/>
      <c r="I153" s="26"/>
    </row>
    <row r="154" spans="1:9">
      <c r="A154" s="25"/>
      <c r="C154" s="30"/>
      <c r="D154" s="26"/>
      <c r="E154" s="26"/>
      <c r="F154" s="26"/>
      <c r="G154" s="26"/>
      <c r="H154" s="26"/>
      <c r="I154" s="26"/>
    </row>
    <row r="155" spans="1:9">
      <c r="A155" s="25"/>
      <c r="C155" s="30"/>
      <c r="D155" s="26"/>
      <c r="E155" s="26"/>
      <c r="F155" s="26"/>
      <c r="G155" s="26"/>
      <c r="H155" s="26"/>
      <c r="I155" s="26"/>
    </row>
    <row r="156" spans="1:9">
      <c r="A156" s="25"/>
      <c r="C156" s="30"/>
      <c r="D156" s="26"/>
      <c r="E156" s="26"/>
      <c r="F156" s="26"/>
      <c r="G156" s="26"/>
      <c r="H156" s="26"/>
      <c r="I156" s="26"/>
    </row>
    <row r="157" spans="1:9">
      <c r="A157" s="25"/>
      <c r="C157" s="30"/>
      <c r="D157" s="26"/>
      <c r="E157" s="26"/>
      <c r="F157" s="26"/>
      <c r="G157" s="26"/>
      <c r="H157" s="26"/>
      <c r="I157" s="26"/>
    </row>
    <row r="158" spans="1:9">
      <c r="A158" s="25"/>
      <c r="C158" s="30"/>
      <c r="D158" s="26"/>
      <c r="E158" s="26"/>
      <c r="F158" s="26"/>
      <c r="G158" s="26"/>
      <c r="H158" s="26"/>
      <c r="I158" s="26"/>
    </row>
    <row r="159" spans="1:9">
      <c r="A159" s="25"/>
      <c r="C159" s="30"/>
      <c r="D159" s="26"/>
      <c r="E159" s="26"/>
      <c r="F159" s="26"/>
      <c r="G159" s="26"/>
      <c r="H159" s="26"/>
      <c r="I159" s="26"/>
    </row>
    <row r="160" spans="1:9">
      <c r="A160" s="25"/>
      <c r="C160" s="30"/>
      <c r="D160" s="26"/>
      <c r="E160" s="26"/>
      <c r="F160" s="26"/>
      <c r="G160" s="26"/>
      <c r="H160" s="26"/>
      <c r="I160" s="26"/>
    </row>
    <row r="161" spans="1:9">
      <c r="A161" s="25"/>
      <c r="C161" s="30"/>
      <c r="D161" s="26"/>
      <c r="E161" s="26"/>
      <c r="F161" s="26"/>
      <c r="G161" s="26"/>
      <c r="H161" s="26"/>
      <c r="I161" s="26"/>
    </row>
    <row r="162" spans="1:9">
      <c r="A162" s="25"/>
      <c r="C162" s="30"/>
      <c r="D162" s="26"/>
      <c r="E162" s="26"/>
      <c r="F162" s="26"/>
      <c r="G162" s="26"/>
      <c r="H162" s="26"/>
      <c r="I162" s="26"/>
    </row>
    <row r="163" spans="1:9">
      <c r="A163" s="25"/>
      <c r="C163" s="30"/>
      <c r="D163" s="26"/>
      <c r="E163" s="26"/>
      <c r="F163" s="26"/>
      <c r="G163" s="26"/>
      <c r="H163" s="26"/>
      <c r="I163" s="26"/>
    </row>
    <row r="164" spans="1:9">
      <c r="A164" s="25"/>
      <c r="C164" s="30"/>
      <c r="D164" s="26"/>
      <c r="E164" s="26"/>
      <c r="F164" s="26"/>
      <c r="G164" s="26"/>
      <c r="H164" s="26"/>
      <c r="I164" s="26"/>
    </row>
    <row r="165" spans="1:9">
      <c r="A165" s="25"/>
      <c r="C165" s="30"/>
      <c r="D165" s="26"/>
      <c r="E165" s="26"/>
      <c r="F165" s="26"/>
      <c r="G165" s="26"/>
      <c r="H165" s="26"/>
      <c r="I165" s="26"/>
    </row>
    <row r="166" spans="1:9">
      <c r="A166" s="25"/>
      <c r="C166" s="30"/>
      <c r="D166" s="26"/>
      <c r="E166" s="26"/>
      <c r="F166" s="26"/>
      <c r="G166" s="26"/>
      <c r="H166" s="26"/>
      <c r="I166" s="26"/>
    </row>
    <row r="167" spans="1:9">
      <c r="A167" s="25"/>
      <c r="C167" s="30"/>
      <c r="D167" s="26"/>
      <c r="E167" s="26"/>
      <c r="F167" s="26"/>
      <c r="G167" s="26"/>
      <c r="H167" s="26"/>
      <c r="I167" s="26"/>
    </row>
    <row r="168" spans="1:9">
      <c r="A168" s="25"/>
      <c r="C168" s="30"/>
      <c r="D168" s="26"/>
      <c r="E168" s="26"/>
      <c r="F168" s="26"/>
      <c r="G168" s="26"/>
      <c r="H168" s="26"/>
      <c r="I168" s="26"/>
    </row>
    <row r="169" spans="1:9">
      <c r="A169" s="46"/>
    </row>
    <row r="170" spans="1:9">
      <c r="A170" s="46"/>
    </row>
    <row r="171" spans="1:9">
      <c r="A171" s="46"/>
    </row>
    <row r="172" spans="1:9">
      <c r="A172" s="46"/>
    </row>
    <row r="173" spans="1:9">
      <c r="A173" s="46"/>
    </row>
    <row r="174" spans="1:9">
      <c r="A174" s="46"/>
    </row>
    <row r="175" spans="1:9">
      <c r="A175" s="46"/>
    </row>
    <row r="176" spans="1:9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  <row r="183" spans="1:1">
      <c r="A183" s="46"/>
    </row>
    <row r="184" spans="1:1">
      <c r="A184" s="46"/>
    </row>
    <row r="185" spans="1:1">
      <c r="A185" s="46"/>
    </row>
    <row r="186" spans="1:1">
      <c r="A186" s="46"/>
    </row>
    <row r="187" spans="1:1">
      <c r="A187" s="46"/>
    </row>
    <row r="188" spans="1:1">
      <c r="A188" s="46"/>
    </row>
    <row r="189" spans="1:1">
      <c r="A189" s="46"/>
    </row>
    <row r="190" spans="1:1">
      <c r="A190" s="46"/>
    </row>
    <row r="191" spans="1:1">
      <c r="A191" s="46"/>
    </row>
    <row r="192" spans="1:1">
      <c r="A192" s="46"/>
    </row>
    <row r="193" spans="1:1">
      <c r="A193" s="46"/>
    </row>
    <row r="194" spans="1:1">
      <c r="A194" s="46"/>
    </row>
    <row r="195" spans="1:1">
      <c r="A195" s="46"/>
    </row>
    <row r="196" spans="1:1">
      <c r="A196" s="46"/>
    </row>
    <row r="197" spans="1:1">
      <c r="A197" s="46"/>
    </row>
    <row r="198" spans="1:1">
      <c r="A198" s="46"/>
    </row>
    <row r="199" spans="1:1">
      <c r="A199" s="46"/>
    </row>
    <row r="200" spans="1:1">
      <c r="A200" s="46"/>
    </row>
    <row r="201" spans="1:1">
      <c r="A201" s="46"/>
    </row>
    <row r="202" spans="1:1">
      <c r="A202" s="46"/>
    </row>
    <row r="203" spans="1:1">
      <c r="A203" s="46"/>
    </row>
    <row r="204" spans="1:1">
      <c r="A204" s="46"/>
    </row>
    <row r="205" spans="1:1">
      <c r="A205" s="46"/>
    </row>
    <row r="206" spans="1:1">
      <c r="A206" s="46"/>
    </row>
    <row r="207" spans="1:1">
      <c r="A207" s="46"/>
    </row>
    <row r="208" spans="1:1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28" spans="1:1">
      <c r="A228" s="46"/>
    </row>
    <row r="229" spans="1:1">
      <c r="A229" s="46"/>
    </row>
    <row r="230" spans="1:1">
      <c r="A230" s="46"/>
    </row>
    <row r="231" spans="1:1">
      <c r="A231" s="46"/>
    </row>
    <row r="232" spans="1:1">
      <c r="A232" s="46"/>
    </row>
    <row r="233" spans="1:1">
      <c r="A233" s="46"/>
    </row>
    <row r="234" spans="1:1">
      <c r="A234" s="46"/>
    </row>
    <row r="235" spans="1:1">
      <c r="A235" s="46"/>
    </row>
    <row r="236" spans="1:1">
      <c r="A236" s="46"/>
    </row>
    <row r="237" spans="1:1">
      <c r="A237" s="46"/>
    </row>
    <row r="238" spans="1:1">
      <c r="A238" s="46"/>
    </row>
    <row r="239" spans="1:1">
      <c r="A239" s="46"/>
    </row>
    <row r="240" spans="1:1">
      <c r="A240" s="46"/>
    </row>
    <row r="241" spans="1:1">
      <c r="A241" s="46"/>
    </row>
    <row r="242" spans="1:1">
      <c r="A242" s="46"/>
    </row>
    <row r="243" spans="1:1">
      <c r="A243" s="46"/>
    </row>
    <row r="244" spans="1:1">
      <c r="A244" s="46"/>
    </row>
    <row r="245" spans="1:1">
      <c r="A245" s="46"/>
    </row>
    <row r="246" spans="1:1">
      <c r="A246" s="46"/>
    </row>
    <row r="247" spans="1:1">
      <c r="A247" s="46"/>
    </row>
    <row r="248" spans="1:1">
      <c r="A248" s="46"/>
    </row>
    <row r="249" spans="1:1">
      <c r="A249" s="46"/>
    </row>
    <row r="250" spans="1:1">
      <c r="A250" s="46"/>
    </row>
    <row r="251" spans="1:1">
      <c r="A251" s="46"/>
    </row>
    <row r="252" spans="1:1">
      <c r="A252" s="46"/>
    </row>
    <row r="253" spans="1:1">
      <c r="A253" s="46"/>
    </row>
    <row r="254" spans="1:1">
      <c r="A254" s="46"/>
    </row>
    <row r="255" spans="1:1">
      <c r="A255" s="46"/>
    </row>
    <row r="256" spans="1:1">
      <c r="A256" s="46"/>
    </row>
    <row r="257" spans="1:1">
      <c r="A257" s="46"/>
    </row>
    <row r="258" spans="1:1">
      <c r="A258" s="46"/>
    </row>
    <row r="259" spans="1:1">
      <c r="A259" s="46"/>
    </row>
    <row r="260" spans="1:1">
      <c r="A260" s="46"/>
    </row>
    <row r="261" spans="1:1">
      <c r="A261" s="46"/>
    </row>
    <row r="262" spans="1:1">
      <c r="A262" s="46"/>
    </row>
    <row r="263" spans="1:1">
      <c r="A263" s="46"/>
    </row>
    <row r="264" spans="1:1">
      <c r="A264" s="46"/>
    </row>
    <row r="265" spans="1:1">
      <c r="A265" s="46"/>
    </row>
    <row r="266" spans="1:1">
      <c r="A266" s="46"/>
    </row>
    <row r="267" spans="1:1">
      <c r="A267" s="46"/>
    </row>
    <row r="268" spans="1:1">
      <c r="A268" s="46"/>
    </row>
    <row r="269" spans="1:1">
      <c r="A269" s="46"/>
    </row>
    <row r="270" spans="1:1">
      <c r="A270" s="46"/>
    </row>
    <row r="271" spans="1:1">
      <c r="A271" s="46"/>
    </row>
    <row r="272" spans="1:1">
      <c r="A272" s="46"/>
    </row>
    <row r="273" spans="1:1">
      <c r="A273" s="46"/>
    </row>
    <row r="274" spans="1:1">
      <c r="A274" s="46"/>
    </row>
    <row r="275" spans="1:1">
      <c r="A275" s="46"/>
    </row>
    <row r="276" spans="1:1">
      <c r="A276" s="46"/>
    </row>
    <row r="277" spans="1:1">
      <c r="A277" s="46"/>
    </row>
    <row r="278" spans="1:1">
      <c r="A278" s="46"/>
    </row>
    <row r="279" spans="1:1">
      <c r="A279" s="46"/>
    </row>
    <row r="280" spans="1:1">
      <c r="A280" s="46"/>
    </row>
    <row r="281" spans="1:1">
      <c r="A281" s="46"/>
    </row>
    <row r="282" spans="1:1">
      <c r="A282" s="46"/>
    </row>
    <row r="283" spans="1:1">
      <c r="A283" s="46"/>
    </row>
    <row r="284" spans="1:1">
      <c r="A284" s="46"/>
    </row>
    <row r="285" spans="1:1">
      <c r="A285" s="46"/>
    </row>
    <row r="286" spans="1:1">
      <c r="A286" s="46"/>
    </row>
    <row r="287" spans="1:1">
      <c r="A287" s="46"/>
    </row>
    <row r="288" spans="1:1">
      <c r="A288" s="46"/>
    </row>
    <row r="289" spans="1:1">
      <c r="A289" s="46"/>
    </row>
    <row r="290" spans="1:1">
      <c r="A290" s="46"/>
    </row>
    <row r="291" spans="1:1">
      <c r="A291" s="46"/>
    </row>
    <row r="292" spans="1:1">
      <c r="A292" s="46"/>
    </row>
    <row r="293" spans="1:1">
      <c r="A293" s="46"/>
    </row>
    <row r="294" spans="1:1">
      <c r="A294" s="46"/>
    </row>
    <row r="295" spans="1:1">
      <c r="A295" s="46"/>
    </row>
    <row r="296" spans="1:1">
      <c r="A296" s="46"/>
    </row>
    <row r="297" spans="1:1">
      <c r="A297" s="46"/>
    </row>
    <row r="298" spans="1:1">
      <c r="A298" s="46"/>
    </row>
    <row r="299" spans="1:1">
      <c r="A299" s="46"/>
    </row>
    <row r="300" spans="1:1">
      <c r="A300" s="46"/>
    </row>
    <row r="301" spans="1:1">
      <c r="A301" s="46"/>
    </row>
    <row r="302" spans="1:1">
      <c r="A302" s="46"/>
    </row>
    <row r="303" spans="1:1">
      <c r="A303" s="46"/>
    </row>
    <row r="304" spans="1:1">
      <c r="A304" s="46"/>
    </row>
    <row r="305" spans="1:1">
      <c r="A305" s="46"/>
    </row>
    <row r="306" spans="1:1">
      <c r="A306" s="46"/>
    </row>
    <row r="307" spans="1:1">
      <c r="A307" s="46"/>
    </row>
    <row r="308" spans="1:1">
      <c r="A308" s="46"/>
    </row>
    <row r="309" spans="1:1">
      <c r="A309" s="46"/>
    </row>
    <row r="310" spans="1:1">
      <c r="A310" s="46"/>
    </row>
    <row r="311" spans="1:1">
      <c r="A311" s="46"/>
    </row>
    <row r="312" spans="1:1">
      <c r="A312" s="46"/>
    </row>
    <row r="313" spans="1:1">
      <c r="A313" s="46"/>
    </row>
    <row r="314" spans="1:1">
      <c r="A314" s="46"/>
    </row>
    <row r="315" spans="1:1">
      <c r="A315" s="46"/>
    </row>
    <row r="316" spans="1:1">
      <c r="A316" s="46"/>
    </row>
    <row r="317" spans="1:1">
      <c r="A317" s="46"/>
    </row>
    <row r="318" spans="1:1">
      <c r="A318" s="46"/>
    </row>
    <row r="319" spans="1:1">
      <c r="A319" s="46"/>
    </row>
    <row r="320" spans="1:1">
      <c r="A320" s="46"/>
    </row>
    <row r="321" spans="1:1">
      <c r="A321" s="46"/>
    </row>
    <row r="322" spans="1:1">
      <c r="A322" s="46"/>
    </row>
    <row r="323" spans="1:1">
      <c r="A323" s="46"/>
    </row>
    <row r="324" spans="1:1">
      <c r="A324" s="46"/>
    </row>
    <row r="325" spans="1:1">
      <c r="A325" s="46"/>
    </row>
    <row r="326" spans="1:1">
      <c r="A326" s="46"/>
    </row>
    <row r="327" spans="1:1">
      <c r="A327" s="46"/>
    </row>
    <row r="328" spans="1:1">
      <c r="A328" s="46"/>
    </row>
    <row r="329" spans="1:1">
      <c r="A329" s="46"/>
    </row>
    <row r="330" spans="1:1">
      <c r="A330" s="46"/>
    </row>
    <row r="331" spans="1:1">
      <c r="A331" s="46"/>
    </row>
    <row r="332" spans="1:1">
      <c r="A332" s="46"/>
    </row>
    <row r="333" spans="1:1">
      <c r="A333" s="46"/>
    </row>
    <row r="334" spans="1:1">
      <c r="A334" s="46"/>
    </row>
    <row r="335" spans="1:1">
      <c r="A335" s="46"/>
    </row>
  </sheetData>
  <sheetProtection formatCells="0" formatColumns="0" formatRows="0" insertRows="0" deleteRows="0"/>
  <mergeCells count="16">
    <mergeCell ref="A1:J1"/>
    <mergeCell ref="C112:E112"/>
    <mergeCell ref="G112:I112"/>
    <mergeCell ref="J3:J4"/>
    <mergeCell ref="A6:J6"/>
    <mergeCell ref="A86:J86"/>
    <mergeCell ref="A92:J92"/>
    <mergeCell ref="B3:B4"/>
    <mergeCell ref="A3:A4"/>
    <mergeCell ref="C3:C4"/>
    <mergeCell ref="F3:I3"/>
    <mergeCell ref="A99:J99"/>
    <mergeCell ref="C111:E111"/>
    <mergeCell ref="G111:I111"/>
    <mergeCell ref="E3:E4"/>
    <mergeCell ref="D3:D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7" orientation="portrait" horizontalDpi="4294967294" verticalDpi="4294967295" r:id="rId1"/>
  <headerFooter alignWithMargins="0"/>
  <rowBreaks count="1" manualBreakCount="1">
    <brk id="8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92"/>
  <sheetViews>
    <sheetView view="pageBreakPreview" zoomScale="75" zoomScaleNormal="65" zoomScaleSheetLayoutView="75" workbookViewId="0">
      <pane ySplit="5" topLeftCell="A30" activePane="bottomLeft" state="frozen"/>
      <selection pane="bottomLeft" sqref="A1:I1"/>
    </sheetView>
  </sheetViews>
  <sheetFormatPr defaultColWidth="77.85546875" defaultRowHeight="18.75" outlineLevelRow="1"/>
  <cols>
    <col min="1" max="1" width="61.28515625" style="42" customWidth="1"/>
    <col min="2" max="2" width="15.28515625" style="45" customWidth="1"/>
    <col min="3" max="3" width="13" style="45" customWidth="1"/>
    <col min="4" max="4" width="14.85546875" style="45" customWidth="1"/>
    <col min="5" max="5" width="13.42578125" style="45" customWidth="1"/>
    <col min="6" max="6" width="13.7109375" style="42" customWidth="1"/>
    <col min="7" max="7" width="13.28515625" style="42" customWidth="1"/>
    <col min="8" max="8" width="13" style="42" customWidth="1"/>
    <col min="9" max="9" width="11.7109375" style="42" customWidth="1"/>
    <col min="10" max="10" width="10" style="42" customWidth="1"/>
    <col min="11" max="11" width="9.5703125" style="42" customWidth="1"/>
    <col min="12" max="254" width="9.140625" style="42" customWidth="1"/>
    <col min="255" max="16384" width="77.85546875" style="42"/>
  </cols>
  <sheetData>
    <row r="1" spans="1:9">
      <c r="A1" s="409" t="s">
        <v>372</v>
      </c>
      <c r="B1" s="409"/>
      <c r="C1" s="409"/>
      <c r="D1" s="409"/>
      <c r="E1" s="409"/>
      <c r="F1" s="409"/>
      <c r="G1" s="409"/>
      <c r="H1" s="409"/>
      <c r="I1" s="409"/>
    </row>
    <row r="2" spans="1:9" outlineLevel="1">
      <c r="A2" s="41"/>
      <c r="B2" s="49"/>
      <c r="C2" s="41"/>
      <c r="D2" s="41"/>
      <c r="E2" s="41"/>
      <c r="F2" s="41"/>
      <c r="G2" s="41"/>
      <c r="H2" s="41"/>
      <c r="I2" s="41"/>
    </row>
    <row r="3" spans="1:9" ht="38.25" customHeight="1">
      <c r="A3" s="410" t="s">
        <v>271</v>
      </c>
      <c r="B3" s="411" t="s">
        <v>18</v>
      </c>
      <c r="C3" s="411" t="s">
        <v>31</v>
      </c>
      <c r="D3" s="411" t="s">
        <v>39</v>
      </c>
      <c r="E3" s="412" t="s">
        <v>182</v>
      </c>
      <c r="F3" s="413" t="s">
        <v>368</v>
      </c>
      <c r="G3" s="413"/>
      <c r="H3" s="413"/>
      <c r="I3" s="413"/>
    </row>
    <row r="4" spans="1:9" ht="50.25" customHeight="1">
      <c r="A4" s="410"/>
      <c r="B4" s="411"/>
      <c r="C4" s="411"/>
      <c r="D4" s="411"/>
      <c r="E4" s="412"/>
      <c r="F4" s="11" t="s">
        <v>369</v>
      </c>
      <c r="G4" s="11" t="s">
        <v>370</v>
      </c>
      <c r="H4" s="11" t="s">
        <v>371</v>
      </c>
      <c r="I4" s="11" t="s">
        <v>85</v>
      </c>
    </row>
    <row r="5" spans="1:9" ht="18" customHeight="1">
      <c r="A5" s="47">
        <v>1</v>
      </c>
      <c r="B5" s="48">
        <v>2</v>
      </c>
      <c r="C5" s="48">
        <v>3</v>
      </c>
      <c r="D5" s="48">
        <v>4</v>
      </c>
      <c r="E5" s="48">
        <v>5</v>
      </c>
      <c r="F5" s="7">
        <v>6</v>
      </c>
      <c r="G5" s="7">
        <v>7</v>
      </c>
      <c r="H5" s="7">
        <v>8</v>
      </c>
      <c r="I5" s="7">
        <v>9</v>
      </c>
    </row>
    <row r="6" spans="1:9" ht="24.95" customHeight="1">
      <c r="A6" s="404" t="s">
        <v>166</v>
      </c>
      <c r="B6" s="405"/>
      <c r="C6" s="405"/>
      <c r="D6" s="405"/>
      <c r="E6" s="405"/>
      <c r="F6" s="405"/>
      <c r="G6" s="405"/>
      <c r="H6" s="405"/>
      <c r="I6" s="406"/>
    </row>
    <row r="7" spans="1:9" ht="42.75" customHeight="1">
      <c r="A7" s="53" t="s">
        <v>61</v>
      </c>
      <c r="B7" s="309">
        <v>2000</v>
      </c>
      <c r="C7" s="161"/>
      <c r="D7" s="161"/>
      <c r="E7" s="161">
        <f>C17</f>
        <v>0</v>
      </c>
      <c r="F7" s="161">
        <f>E17</f>
        <v>-3670</v>
      </c>
      <c r="G7" s="161">
        <f>E17</f>
        <v>-3670</v>
      </c>
      <c r="H7" s="161">
        <f>E17</f>
        <v>-3670</v>
      </c>
      <c r="I7" s="161">
        <f>E17</f>
        <v>-3670</v>
      </c>
    </row>
    <row r="8" spans="1:9" ht="37.5">
      <c r="A8" s="43" t="s">
        <v>223</v>
      </c>
      <c r="B8" s="309">
        <v>2010</v>
      </c>
      <c r="C8" s="162">
        <f>C9+C10</f>
        <v>0</v>
      </c>
      <c r="D8" s="162">
        <f t="shared" ref="D8:I8" si="0">D9+D10</f>
        <v>0</v>
      </c>
      <c r="E8" s="162">
        <f t="shared" si="0"/>
        <v>0</v>
      </c>
      <c r="F8" s="162">
        <f t="shared" si="0"/>
        <v>0</v>
      </c>
      <c r="G8" s="162">
        <f t="shared" si="0"/>
        <v>0</v>
      </c>
      <c r="H8" s="162">
        <f t="shared" si="0"/>
        <v>0</v>
      </c>
      <c r="I8" s="162">
        <f t="shared" si="0"/>
        <v>0</v>
      </c>
    </row>
    <row r="9" spans="1:9" ht="42.75" customHeight="1">
      <c r="A9" s="8" t="s">
        <v>374</v>
      </c>
      <c r="B9" s="309">
        <v>2011</v>
      </c>
      <c r="C9" s="161"/>
      <c r="D9" s="161"/>
      <c r="E9" s="161"/>
      <c r="F9" s="161"/>
      <c r="G9" s="161"/>
      <c r="H9" s="161"/>
      <c r="I9" s="161"/>
    </row>
    <row r="10" spans="1:9" ht="93.75">
      <c r="A10" s="8" t="s">
        <v>375</v>
      </c>
      <c r="B10" s="309">
        <v>2012</v>
      </c>
      <c r="C10" s="161"/>
      <c r="D10" s="161"/>
      <c r="E10" s="161"/>
      <c r="F10" s="161"/>
      <c r="G10" s="161"/>
      <c r="H10" s="161"/>
      <c r="I10" s="161"/>
    </row>
    <row r="11" spans="1:9" ht="20.100000000000001" customHeight="1">
      <c r="A11" s="8" t="s">
        <v>209</v>
      </c>
      <c r="B11" s="309">
        <v>2020</v>
      </c>
      <c r="C11" s="161"/>
      <c r="D11" s="161"/>
      <c r="E11" s="161"/>
      <c r="F11" s="161"/>
      <c r="G11" s="161"/>
      <c r="H11" s="161"/>
      <c r="I11" s="161"/>
    </row>
    <row r="12" spans="1:9" s="44" customFormat="1" ht="20.100000000000001" customHeight="1">
      <c r="A12" s="43" t="s">
        <v>74</v>
      </c>
      <c r="B12" s="309">
        <v>2030</v>
      </c>
      <c r="C12" s="161"/>
      <c r="D12" s="161"/>
      <c r="E12" s="161"/>
      <c r="F12" s="161"/>
      <c r="G12" s="161"/>
      <c r="H12" s="161"/>
      <c r="I12" s="161"/>
    </row>
    <row r="13" spans="1:9" ht="37.5">
      <c r="A13" s="43" t="s">
        <v>146</v>
      </c>
      <c r="B13" s="309">
        <v>2031</v>
      </c>
      <c r="C13" s="161"/>
      <c r="D13" s="161"/>
      <c r="E13" s="161"/>
      <c r="F13" s="161"/>
      <c r="G13" s="161"/>
      <c r="H13" s="161"/>
      <c r="I13" s="161"/>
    </row>
    <row r="14" spans="1:9" ht="20.100000000000001" customHeight="1">
      <c r="A14" s="43" t="s">
        <v>26</v>
      </c>
      <c r="B14" s="309">
        <v>2040</v>
      </c>
      <c r="C14" s="161"/>
      <c r="D14" s="161"/>
      <c r="E14" s="161"/>
      <c r="F14" s="161"/>
      <c r="G14" s="161"/>
      <c r="H14" s="161"/>
      <c r="I14" s="161"/>
    </row>
    <row r="15" spans="1:9" ht="20.100000000000001" customHeight="1">
      <c r="A15" s="157" t="s">
        <v>127</v>
      </c>
      <c r="B15" s="309">
        <v>2050</v>
      </c>
      <c r="C15" s="161"/>
      <c r="D15" s="161"/>
      <c r="E15" s="161"/>
      <c r="F15" s="161"/>
      <c r="G15" s="161"/>
      <c r="H15" s="161"/>
      <c r="I15" s="161"/>
    </row>
    <row r="16" spans="1:9" ht="20.100000000000001" customHeight="1">
      <c r="A16" s="157" t="s">
        <v>128</v>
      </c>
      <c r="B16" s="309">
        <v>2060</v>
      </c>
      <c r="C16" s="161"/>
      <c r="D16" s="161"/>
      <c r="E16" s="161"/>
      <c r="F16" s="161"/>
      <c r="G16" s="161"/>
      <c r="H16" s="161"/>
      <c r="I16" s="161"/>
    </row>
    <row r="17" spans="1:10" ht="42.75" customHeight="1">
      <c r="A17" s="53" t="s">
        <v>62</v>
      </c>
      <c r="B17" s="87">
        <v>2070</v>
      </c>
      <c r="C17" s="337">
        <v>0</v>
      </c>
      <c r="D17" s="337">
        <v>-2948</v>
      </c>
      <c r="E17" s="337">
        <f>'I. Фін результат'!E82+'ІІ.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-3670</v>
      </c>
      <c r="F17" s="337">
        <f>'I. Фін результат'!F82+'ІІ.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-4863</v>
      </c>
      <c r="G17" s="337">
        <f>'I. Фін результат'!G82+'ІІ.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-5918</v>
      </c>
      <c r="H17" s="337">
        <f>'I. Фін результат'!H82+'ІІ.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-7037</v>
      </c>
      <c r="I17" s="337">
        <f>'I. Фін результат'!I82+'ІІ.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-8180</v>
      </c>
    </row>
    <row r="18" spans="1:10" ht="20.100000000000001" customHeight="1">
      <c r="A18" s="404" t="s">
        <v>167</v>
      </c>
      <c r="B18" s="405"/>
      <c r="C18" s="405"/>
      <c r="D18" s="405"/>
      <c r="E18" s="405"/>
      <c r="F18" s="405"/>
      <c r="G18" s="405"/>
      <c r="H18" s="405"/>
      <c r="I18" s="406"/>
    </row>
    <row r="19" spans="1:10" ht="37.5">
      <c r="A19" s="157" t="s">
        <v>223</v>
      </c>
      <c r="B19" s="313">
        <v>2100</v>
      </c>
      <c r="C19" s="162">
        <f t="shared" ref="C19:I19" si="1">SUM(C20:C21)</f>
        <v>0</v>
      </c>
      <c r="D19" s="162">
        <f t="shared" si="1"/>
        <v>0</v>
      </c>
      <c r="E19" s="162">
        <f t="shared" si="1"/>
        <v>0</v>
      </c>
      <c r="F19" s="162">
        <f t="shared" si="1"/>
        <v>0</v>
      </c>
      <c r="G19" s="162">
        <f t="shared" si="1"/>
        <v>0</v>
      </c>
      <c r="H19" s="162">
        <f t="shared" si="1"/>
        <v>0</v>
      </c>
      <c r="I19" s="162">
        <f t="shared" si="1"/>
        <v>0</v>
      </c>
    </row>
    <row r="20" spans="1:10" ht="42.75" customHeight="1">
      <c r="A20" s="312" t="s">
        <v>374</v>
      </c>
      <c r="B20" s="313">
        <v>2101</v>
      </c>
      <c r="C20" s="162">
        <f>C9</f>
        <v>0</v>
      </c>
      <c r="D20" s="162">
        <f t="shared" ref="D20:I20" si="2">D9</f>
        <v>0</v>
      </c>
      <c r="E20" s="162">
        <f t="shared" si="2"/>
        <v>0</v>
      </c>
      <c r="F20" s="162">
        <f t="shared" si="2"/>
        <v>0</v>
      </c>
      <c r="G20" s="162">
        <f t="shared" si="2"/>
        <v>0</v>
      </c>
      <c r="H20" s="162">
        <f t="shared" si="2"/>
        <v>0</v>
      </c>
      <c r="I20" s="162">
        <f t="shared" si="2"/>
        <v>0</v>
      </c>
    </row>
    <row r="21" spans="1:10" ht="93.75">
      <c r="A21" s="312" t="s">
        <v>375</v>
      </c>
      <c r="B21" s="313">
        <v>2102</v>
      </c>
      <c r="C21" s="162">
        <f>C10</f>
        <v>0</v>
      </c>
      <c r="D21" s="162">
        <f t="shared" ref="D21:I21" si="3">D10</f>
        <v>0</v>
      </c>
      <c r="E21" s="162">
        <f t="shared" si="3"/>
        <v>0</v>
      </c>
      <c r="F21" s="162">
        <f t="shared" si="3"/>
        <v>0</v>
      </c>
      <c r="G21" s="162">
        <f t="shared" si="3"/>
        <v>0</v>
      </c>
      <c r="H21" s="162">
        <f t="shared" si="3"/>
        <v>0</v>
      </c>
      <c r="I21" s="162">
        <f t="shared" si="3"/>
        <v>0</v>
      </c>
    </row>
    <row r="22" spans="1:10" s="44" customFormat="1" ht="20.100000000000001" customHeight="1">
      <c r="A22" s="157" t="s">
        <v>169</v>
      </c>
      <c r="B22" s="158">
        <v>2110</v>
      </c>
      <c r="C22" s="162">
        <f>'I. Фін результат'!C80</f>
        <v>0</v>
      </c>
      <c r="D22" s="162">
        <f>'I. Фін результат'!D80</f>
        <v>0</v>
      </c>
      <c r="E22" s="162">
        <f>'I. Фін результат'!E80</f>
        <v>0</v>
      </c>
      <c r="F22" s="162">
        <f>'I. Фін результат'!F80</f>
        <v>0</v>
      </c>
      <c r="G22" s="162">
        <f>'I. Фін результат'!G80</f>
        <v>0</v>
      </c>
      <c r="H22" s="162">
        <f>'I. Фін результат'!H80</f>
        <v>0</v>
      </c>
      <c r="I22" s="162">
        <f>'I. Фін результат'!I80</f>
        <v>0</v>
      </c>
    </row>
    <row r="23" spans="1:10" ht="56.25">
      <c r="A23" s="157" t="s">
        <v>338</v>
      </c>
      <c r="B23" s="158">
        <v>2120</v>
      </c>
      <c r="C23" s="161"/>
      <c r="D23" s="161"/>
      <c r="E23" s="161"/>
      <c r="F23" s="161"/>
      <c r="G23" s="161"/>
      <c r="H23" s="161"/>
      <c r="I23" s="161"/>
    </row>
    <row r="24" spans="1:10" ht="56.25">
      <c r="A24" s="157" t="s">
        <v>339</v>
      </c>
      <c r="B24" s="158">
        <v>2130</v>
      </c>
      <c r="C24" s="161"/>
      <c r="D24" s="161"/>
      <c r="E24" s="161"/>
      <c r="F24" s="161"/>
      <c r="G24" s="161"/>
      <c r="H24" s="161"/>
      <c r="I24" s="161"/>
    </row>
    <row r="25" spans="1:10" s="307" customFormat="1" ht="56.25">
      <c r="A25" s="159" t="s">
        <v>259</v>
      </c>
      <c r="B25" s="160">
        <v>2140</v>
      </c>
      <c r="C25" s="336">
        <f t="shared" ref="C25:I25" si="4">SUM(C26:C30,C33,C35)</f>
        <v>0</v>
      </c>
      <c r="D25" s="336">
        <f t="shared" si="4"/>
        <v>419.32499999999999</v>
      </c>
      <c r="E25" s="336">
        <f t="shared" si="4"/>
        <v>430.95</v>
      </c>
      <c r="F25" s="336">
        <f t="shared" si="4"/>
        <v>145</v>
      </c>
      <c r="G25" s="336">
        <f t="shared" si="4"/>
        <v>293</v>
      </c>
      <c r="H25" s="336">
        <f t="shared" si="4"/>
        <v>446</v>
      </c>
      <c r="I25" s="336">
        <f t="shared" si="4"/>
        <v>600</v>
      </c>
      <c r="J25" s="42"/>
    </row>
    <row r="26" spans="1:10" ht="20.100000000000001" customHeight="1">
      <c r="A26" s="157" t="s">
        <v>90</v>
      </c>
      <c r="B26" s="158">
        <v>2141</v>
      </c>
      <c r="C26" s="161"/>
      <c r="D26" s="161"/>
      <c r="E26" s="161"/>
      <c r="F26" s="161"/>
      <c r="G26" s="161"/>
      <c r="H26" s="161"/>
      <c r="I26" s="161"/>
    </row>
    <row r="27" spans="1:10" ht="20.100000000000001" customHeight="1">
      <c r="A27" s="157" t="s">
        <v>117</v>
      </c>
      <c r="B27" s="158">
        <v>2142</v>
      </c>
      <c r="C27" s="161"/>
      <c r="D27" s="161"/>
      <c r="E27" s="161"/>
      <c r="F27" s="161"/>
      <c r="G27" s="161"/>
      <c r="H27" s="161"/>
      <c r="I27" s="161"/>
    </row>
    <row r="28" spans="1:10" ht="20.100000000000001" customHeight="1">
      <c r="A28" s="157" t="s">
        <v>108</v>
      </c>
      <c r="B28" s="158">
        <v>2143</v>
      </c>
      <c r="C28" s="161"/>
      <c r="D28" s="161"/>
      <c r="E28" s="161"/>
      <c r="F28" s="161"/>
      <c r="G28" s="161"/>
      <c r="H28" s="161"/>
      <c r="I28" s="161"/>
    </row>
    <row r="29" spans="1:10" ht="20.100000000000001" customHeight="1">
      <c r="A29" s="157" t="s">
        <v>88</v>
      </c>
      <c r="B29" s="158">
        <v>2144</v>
      </c>
      <c r="C29" s="161">
        <f>'I. Фін результат'!C103*0.18</f>
        <v>0</v>
      </c>
      <c r="D29" s="161">
        <f>'I. Фін результат'!D103*0.18</f>
        <v>384.3</v>
      </c>
      <c r="E29" s="161">
        <f>'I. Фін результат'!E103*0.18</f>
        <v>397.8</v>
      </c>
      <c r="F29" s="181">
        <f>ROUND(Лист1!C18,0)</f>
        <v>134</v>
      </c>
      <c r="G29" s="181">
        <f>ROUND(Лист1!D18,0)</f>
        <v>270</v>
      </c>
      <c r="H29" s="181">
        <f>ROUND(Лист1!E18,0)</f>
        <v>412</v>
      </c>
      <c r="I29" s="181">
        <f>ROUND(Лист1!F18,0)</f>
        <v>554</v>
      </c>
    </row>
    <row r="30" spans="1:10" s="44" customFormat="1" ht="20.100000000000001" customHeight="1">
      <c r="A30" s="157" t="s">
        <v>189</v>
      </c>
      <c r="B30" s="158">
        <v>2145</v>
      </c>
      <c r="C30" s="161"/>
      <c r="D30" s="161"/>
      <c r="E30" s="161"/>
      <c r="F30" s="161"/>
      <c r="G30" s="161"/>
      <c r="H30" s="161"/>
      <c r="I30" s="161"/>
    </row>
    <row r="31" spans="1:10" ht="56.25">
      <c r="A31" s="157" t="s">
        <v>268</v>
      </c>
      <c r="B31" s="158" t="s">
        <v>237</v>
      </c>
      <c r="C31" s="161"/>
      <c r="D31" s="161"/>
      <c r="E31" s="161"/>
      <c r="F31" s="161"/>
      <c r="G31" s="161"/>
      <c r="H31" s="161"/>
      <c r="I31" s="161"/>
    </row>
    <row r="32" spans="1:10" ht="20.100000000000001" customHeight="1">
      <c r="A32" s="157" t="s">
        <v>27</v>
      </c>
      <c r="B32" s="158" t="s">
        <v>238</v>
      </c>
      <c r="C32" s="161"/>
      <c r="D32" s="161"/>
      <c r="E32" s="161"/>
      <c r="F32" s="161"/>
      <c r="G32" s="161"/>
      <c r="H32" s="161"/>
      <c r="I32" s="161"/>
    </row>
    <row r="33" spans="1:11" s="44" customFormat="1" ht="20.100000000000001" customHeight="1">
      <c r="A33" s="157" t="s">
        <v>129</v>
      </c>
      <c r="B33" s="158">
        <v>2146</v>
      </c>
      <c r="C33" s="161"/>
      <c r="D33" s="161">
        <v>3</v>
      </c>
      <c r="E33" s="161"/>
      <c r="F33" s="161"/>
      <c r="G33" s="161"/>
      <c r="H33" s="161"/>
      <c r="I33" s="161"/>
    </row>
    <row r="34" spans="1:11" s="44" customFormat="1" ht="20.100000000000001" customHeight="1">
      <c r="A34" s="157" t="s">
        <v>470</v>
      </c>
      <c r="B34" s="158" t="s">
        <v>471</v>
      </c>
      <c r="C34" s="161"/>
      <c r="D34" s="161">
        <v>3</v>
      </c>
      <c r="E34" s="161"/>
      <c r="F34" s="161"/>
      <c r="G34" s="161"/>
      <c r="H34" s="161"/>
      <c r="I34" s="161"/>
    </row>
    <row r="35" spans="1:11" ht="20.100000000000001" customHeight="1">
      <c r="A35" s="157" t="s">
        <v>96</v>
      </c>
      <c r="B35" s="158">
        <v>2147</v>
      </c>
      <c r="C35" s="161">
        <f>C36</f>
        <v>0</v>
      </c>
      <c r="D35" s="161">
        <f>D36</f>
        <v>32.024999999999999</v>
      </c>
      <c r="E35" s="161">
        <f t="shared" ref="E35:I35" si="5">E36</f>
        <v>33.15</v>
      </c>
      <c r="F35" s="161">
        <f t="shared" si="5"/>
        <v>11</v>
      </c>
      <c r="G35" s="161">
        <f t="shared" si="5"/>
        <v>23</v>
      </c>
      <c r="H35" s="161">
        <f t="shared" si="5"/>
        <v>34</v>
      </c>
      <c r="I35" s="161">
        <f t="shared" si="5"/>
        <v>46</v>
      </c>
    </row>
    <row r="36" spans="1:11" ht="20.100000000000001" customHeight="1">
      <c r="A36" s="157" t="s">
        <v>386</v>
      </c>
      <c r="B36" s="158" t="s">
        <v>396</v>
      </c>
      <c r="C36" s="161">
        <f>'I. Фін результат'!C103*0.015</f>
        <v>0</v>
      </c>
      <c r="D36" s="161">
        <f>'I. Фін результат'!D103*0.015</f>
        <v>32.024999999999999</v>
      </c>
      <c r="E36" s="161">
        <f>'I. Фін результат'!E103*0.015</f>
        <v>33.15</v>
      </c>
      <c r="F36" s="181">
        <f>ROUND(Лист1!C19,0)</f>
        <v>11</v>
      </c>
      <c r="G36" s="181">
        <f>ROUND(Лист1!D19,0)</f>
        <v>23</v>
      </c>
      <c r="H36" s="181">
        <f>ROUND(Лист1!E19,0)</f>
        <v>34</v>
      </c>
      <c r="I36" s="181">
        <f>ROUND(Лист1!F19,0)</f>
        <v>46</v>
      </c>
    </row>
    <row r="37" spans="1:11" s="44" customFormat="1" ht="37.5">
      <c r="A37" s="157" t="s">
        <v>89</v>
      </c>
      <c r="B37" s="158">
        <v>2150</v>
      </c>
      <c r="C37" s="161">
        <f>'I. Фін результат'!C104</f>
        <v>0</v>
      </c>
      <c r="D37" s="161">
        <f>'I. Фін результат'!D104</f>
        <v>465</v>
      </c>
      <c r="E37" s="161">
        <f>'I. Фін результат'!E104</f>
        <v>484</v>
      </c>
      <c r="F37" s="181">
        <f>ROUND(Лист1!C17,0)</f>
        <v>160</v>
      </c>
      <c r="G37" s="181">
        <f>ROUND(Лист1!D17,0)</f>
        <v>322</v>
      </c>
      <c r="H37" s="181">
        <f>ROUND(Лист1!E17,0)</f>
        <v>491</v>
      </c>
      <c r="I37" s="181">
        <f>ROUND(Лист1!F17,0)</f>
        <v>660</v>
      </c>
    </row>
    <row r="38" spans="1:11" s="44" customFormat="1" ht="20.100000000000001" customHeight="1">
      <c r="A38" s="159" t="s">
        <v>365</v>
      </c>
      <c r="B38" s="160">
        <v>2200</v>
      </c>
      <c r="C38" s="335">
        <f t="shared" ref="C38:I38" si="6">SUM(C19,C22:C24,C25,C37)</f>
        <v>0</v>
      </c>
      <c r="D38" s="335">
        <f t="shared" si="6"/>
        <v>884.32500000000005</v>
      </c>
      <c r="E38" s="335">
        <f t="shared" si="6"/>
        <v>914.95</v>
      </c>
      <c r="F38" s="335">
        <f t="shared" si="6"/>
        <v>305</v>
      </c>
      <c r="G38" s="335">
        <f t="shared" si="6"/>
        <v>615</v>
      </c>
      <c r="H38" s="335">
        <f t="shared" si="6"/>
        <v>937</v>
      </c>
      <c r="I38" s="335">
        <f t="shared" si="6"/>
        <v>1260</v>
      </c>
      <c r="J38" s="42"/>
    </row>
    <row r="39" spans="1:11" s="44" customFormat="1" ht="20.100000000000001" customHeight="1">
      <c r="A39" s="128"/>
      <c r="B39" s="129"/>
      <c r="C39" s="130"/>
      <c r="D39" s="131"/>
      <c r="E39" s="131"/>
      <c r="F39" s="131"/>
      <c r="G39" s="131"/>
      <c r="H39" s="131"/>
      <c r="I39" s="131"/>
    </row>
    <row r="40" spans="1:11" s="44" customFormat="1" ht="20.100000000000001" customHeight="1">
      <c r="A40" s="128"/>
      <c r="B40" s="129"/>
      <c r="C40" s="130"/>
      <c r="D40" s="131"/>
      <c r="E40" s="131"/>
      <c r="F40" s="131"/>
      <c r="G40" s="131"/>
      <c r="H40" s="131"/>
      <c r="I40" s="131"/>
    </row>
    <row r="41" spans="1:11" s="2" customFormat="1" ht="20.100000000000001" customHeight="1">
      <c r="A41" s="118" t="s">
        <v>302</v>
      </c>
      <c r="B41" s="119"/>
      <c r="C41" s="401" t="s">
        <v>118</v>
      </c>
      <c r="D41" s="407"/>
      <c r="E41" s="407"/>
      <c r="F41" s="120"/>
      <c r="G41" s="408" t="s">
        <v>463</v>
      </c>
      <c r="H41" s="408"/>
      <c r="I41" s="408"/>
    </row>
    <row r="42" spans="1:11" s="1" customFormat="1" ht="20.100000000000001" customHeight="1">
      <c r="A42" s="88" t="s">
        <v>303</v>
      </c>
      <c r="B42" s="99"/>
      <c r="C42" s="395" t="s">
        <v>301</v>
      </c>
      <c r="D42" s="395"/>
      <c r="E42" s="395"/>
      <c r="F42" s="121"/>
      <c r="G42" s="372" t="s">
        <v>114</v>
      </c>
      <c r="H42" s="372"/>
      <c r="I42" s="372"/>
    </row>
    <row r="43" spans="1:11" s="45" customFormat="1">
      <c r="A43" s="56"/>
      <c r="F43" s="42"/>
      <c r="G43" s="42"/>
      <c r="H43" s="42"/>
      <c r="I43" s="42"/>
      <c r="J43" s="42"/>
      <c r="K43" s="42"/>
    </row>
    <row r="44" spans="1:11" s="45" customFormat="1">
      <c r="A44" s="56"/>
      <c r="F44" s="42"/>
      <c r="G44" s="42"/>
      <c r="H44" s="42"/>
      <c r="I44" s="42"/>
      <c r="J44" s="42"/>
      <c r="K44" s="42"/>
    </row>
    <row r="45" spans="1:11" s="45" customFormat="1">
      <c r="A45" s="56"/>
      <c r="F45" s="42"/>
      <c r="G45" s="42"/>
      <c r="H45" s="42"/>
      <c r="I45" s="42"/>
      <c r="J45" s="42"/>
      <c r="K45" s="42"/>
    </row>
    <row r="46" spans="1:11" s="45" customFormat="1">
      <c r="A46" s="56"/>
      <c r="F46" s="42"/>
      <c r="G46" s="42"/>
      <c r="H46" s="42"/>
      <c r="I46" s="42"/>
      <c r="J46" s="42"/>
      <c r="K46" s="42"/>
    </row>
    <row r="47" spans="1:11" s="45" customFormat="1">
      <c r="A47" s="56"/>
      <c r="F47" s="42"/>
      <c r="G47" s="42"/>
      <c r="H47" s="42"/>
      <c r="I47" s="42"/>
      <c r="J47" s="42"/>
      <c r="K47" s="42"/>
    </row>
    <row r="48" spans="1:11" s="45" customFormat="1">
      <c r="A48" s="56"/>
      <c r="F48" s="42"/>
      <c r="G48" s="42"/>
      <c r="H48" s="42"/>
      <c r="I48" s="42"/>
      <c r="J48" s="42"/>
      <c r="K48" s="42"/>
    </row>
    <row r="49" spans="1:11" s="45" customFormat="1">
      <c r="A49" s="56"/>
      <c r="F49" s="42"/>
      <c r="G49" s="42"/>
      <c r="H49" s="42"/>
      <c r="I49" s="42"/>
      <c r="J49" s="42"/>
      <c r="K49" s="42"/>
    </row>
    <row r="50" spans="1:11" s="45" customFormat="1">
      <c r="A50" s="56"/>
      <c r="F50" s="42"/>
      <c r="G50" s="42"/>
      <c r="H50" s="42"/>
      <c r="I50" s="42"/>
      <c r="J50" s="42"/>
      <c r="K50" s="42"/>
    </row>
    <row r="51" spans="1:11" s="45" customFormat="1">
      <c r="A51" s="56"/>
      <c r="F51" s="42"/>
      <c r="G51" s="42"/>
      <c r="H51" s="42"/>
      <c r="I51" s="42"/>
      <c r="J51" s="42"/>
      <c r="K51" s="42"/>
    </row>
    <row r="52" spans="1:11" s="45" customFormat="1">
      <c r="A52" s="56"/>
      <c r="F52" s="42"/>
      <c r="G52" s="42"/>
      <c r="H52" s="42"/>
      <c r="I52" s="42"/>
      <c r="J52" s="42"/>
      <c r="K52" s="42"/>
    </row>
    <row r="53" spans="1:11" s="45" customFormat="1">
      <c r="A53" s="56"/>
      <c r="F53" s="42"/>
      <c r="G53" s="42"/>
      <c r="H53" s="42"/>
      <c r="I53" s="42"/>
      <c r="J53" s="42"/>
      <c r="K53" s="42"/>
    </row>
    <row r="54" spans="1:11" s="45" customFormat="1">
      <c r="A54" s="56"/>
      <c r="F54" s="42"/>
      <c r="G54" s="42"/>
      <c r="H54" s="42"/>
      <c r="I54" s="42"/>
      <c r="J54" s="42"/>
      <c r="K54" s="42"/>
    </row>
    <row r="55" spans="1:11" s="45" customFormat="1">
      <c r="A55" s="56"/>
      <c r="F55" s="42"/>
      <c r="G55" s="42"/>
      <c r="H55" s="42"/>
      <c r="I55" s="42"/>
      <c r="J55" s="42"/>
      <c r="K55" s="42"/>
    </row>
    <row r="56" spans="1:11" s="45" customFormat="1">
      <c r="A56" s="56"/>
      <c r="F56" s="42"/>
      <c r="G56" s="42"/>
      <c r="H56" s="42"/>
      <c r="I56" s="42"/>
      <c r="J56" s="42"/>
      <c r="K56" s="42"/>
    </row>
    <row r="57" spans="1:11" s="45" customFormat="1">
      <c r="A57" s="56"/>
      <c r="F57" s="42"/>
      <c r="G57" s="42"/>
      <c r="H57" s="42"/>
      <c r="I57" s="42"/>
      <c r="J57" s="42"/>
      <c r="K57" s="42"/>
    </row>
    <row r="58" spans="1:11" s="45" customFormat="1">
      <c r="A58" s="56"/>
      <c r="F58" s="42"/>
      <c r="G58" s="42"/>
      <c r="H58" s="42"/>
      <c r="I58" s="42"/>
      <c r="J58" s="42"/>
      <c r="K58" s="42"/>
    </row>
    <row r="59" spans="1:11" s="45" customFormat="1">
      <c r="A59" s="56"/>
      <c r="F59" s="42"/>
      <c r="G59" s="42"/>
      <c r="H59" s="42"/>
      <c r="I59" s="42"/>
      <c r="J59" s="42"/>
      <c r="K59" s="42"/>
    </row>
    <row r="60" spans="1:11" s="45" customFormat="1">
      <c r="A60" s="56"/>
      <c r="F60" s="42"/>
      <c r="G60" s="42"/>
      <c r="H60" s="42"/>
      <c r="I60" s="42"/>
      <c r="J60" s="42"/>
      <c r="K60" s="42"/>
    </row>
    <row r="61" spans="1:11" s="45" customFormat="1">
      <c r="A61" s="56"/>
      <c r="F61" s="42"/>
      <c r="G61" s="42"/>
      <c r="H61" s="42"/>
      <c r="I61" s="42"/>
      <c r="J61" s="42"/>
      <c r="K61" s="42"/>
    </row>
    <row r="62" spans="1:11" s="45" customFormat="1">
      <c r="A62" s="56"/>
      <c r="F62" s="42"/>
      <c r="G62" s="42"/>
      <c r="H62" s="42"/>
      <c r="I62" s="42"/>
      <c r="J62" s="42"/>
      <c r="K62" s="42"/>
    </row>
    <row r="63" spans="1:11" s="45" customFormat="1">
      <c r="A63" s="56"/>
      <c r="F63" s="42"/>
      <c r="G63" s="42"/>
      <c r="H63" s="42"/>
      <c r="I63" s="42"/>
      <c r="J63" s="42"/>
      <c r="K63" s="42"/>
    </row>
    <row r="64" spans="1:11" s="45" customFormat="1">
      <c r="A64" s="56"/>
      <c r="F64" s="42"/>
      <c r="G64" s="42"/>
      <c r="H64" s="42"/>
      <c r="I64" s="42"/>
      <c r="J64" s="42"/>
      <c r="K64" s="42"/>
    </row>
    <row r="65" spans="1:11" s="45" customFormat="1">
      <c r="A65" s="56"/>
      <c r="F65" s="42"/>
      <c r="G65" s="42"/>
      <c r="H65" s="42"/>
      <c r="I65" s="42"/>
      <c r="J65" s="42"/>
      <c r="K65" s="42"/>
    </row>
    <row r="66" spans="1:11" s="45" customFormat="1">
      <c r="A66" s="56"/>
      <c r="F66" s="42"/>
      <c r="G66" s="42"/>
      <c r="H66" s="42"/>
      <c r="I66" s="42"/>
      <c r="J66" s="42"/>
      <c r="K66" s="42"/>
    </row>
    <row r="67" spans="1:11" s="45" customFormat="1">
      <c r="A67" s="56"/>
      <c r="F67" s="42"/>
      <c r="G67" s="42"/>
      <c r="H67" s="42"/>
      <c r="I67" s="42"/>
      <c r="J67" s="42"/>
      <c r="K67" s="42"/>
    </row>
    <row r="68" spans="1:11" s="45" customFormat="1">
      <c r="A68" s="56"/>
      <c r="F68" s="42"/>
      <c r="G68" s="42"/>
      <c r="H68" s="42"/>
      <c r="I68" s="42"/>
      <c r="J68" s="42"/>
      <c r="K68" s="42"/>
    </row>
    <row r="69" spans="1:11" s="45" customFormat="1">
      <c r="A69" s="56"/>
      <c r="F69" s="42"/>
      <c r="G69" s="42"/>
      <c r="H69" s="42"/>
      <c r="I69" s="42"/>
      <c r="J69" s="42"/>
      <c r="K69" s="42"/>
    </row>
    <row r="70" spans="1:11" s="45" customFormat="1">
      <c r="A70" s="56"/>
      <c r="F70" s="42"/>
      <c r="G70" s="42"/>
      <c r="H70" s="42"/>
      <c r="I70" s="42"/>
      <c r="J70" s="42"/>
      <c r="K70" s="42"/>
    </row>
    <row r="71" spans="1:11" s="45" customFormat="1">
      <c r="A71" s="56"/>
      <c r="F71" s="42"/>
      <c r="G71" s="42"/>
      <c r="H71" s="42"/>
      <c r="I71" s="42"/>
      <c r="J71" s="42"/>
      <c r="K71" s="42"/>
    </row>
    <row r="72" spans="1:11" s="45" customFormat="1">
      <c r="A72" s="56"/>
      <c r="F72" s="42"/>
      <c r="G72" s="42"/>
      <c r="H72" s="42"/>
      <c r="I72" s="42"/>
      <c r="J72" s="42"/>
      <c r="K72" s="42"/>
    </row>
    <row r="73" spans="1:11" s="45" customFormat="1">
      <c r="A73" s="56"/>
      <c r="F73" s="42"/>
      <c r="G73" s="42"/>
      <c r="H73" s="42"/>
      <c r="I73" s="42"/>
      <c r="J73" s="42"/>
      <c r="K73" s="42"/>
    </row>
    <row r="74" spans="1:11" s="45" customFormat="1">
      <c r="A74" s="56"/>
      <c r="F74" s="42"/>
      <c r="G74" s="42"/>
      <c r="H74" s="42"/>
      <c r="I74" s="42"/>
      <c r="J74" s="42"/>
      <c r="K74" s="42"/>
    </row>
    <row r="75" spans="1:11" s="45" customFormat="1">
      <c r="A75" s="56"/>
      <c r="F75" s="42"/>
      <c r="G75" s="42"/>
      <c r="H75" s="42"/>
      <c r="I75" s="42"/>
      <c r="J75" s="42"/>
      <c r="K75" s="42"/>
    </row>
    <row r="76" spans="1:11" s="45" customFormat="1">
      <c r="A76" s="56"/>
      <c r="F76" s="42"/>
      <c r="G76" s="42"/>
      <c r="H76" s="42"/>
      <c r="I76" s="42"/>
      <c r="J76" s="42"/>
      <c r="K76" s="42"/>
    </row>
    <row r="77" spans="1:11" s="45" customFormat="1">
      <c r="A77" s="56"/>
      <c r="F77" s="42"/>
      <c r="G77" s="42"/>
      <c r="H77" s="42"/>
      <c r="I77" s="42"/>
      <c r="J77" s="42"/>
      <c r="K77" s="42"/>
    </row>
    <row r="78" spans="1:11" s="45" customFormat="1">
      <c r="A78" s="56"/>
      <c r="F78" s="42"/>
      <c r="G78" s="42"/>
      <c r="H78" s="42"/>
      <c r="I78" s="42"/>
      <c r="J78" s="42"/>
      <c r="K78" s="42"/>
    </row>
    <row r="79" spans="1:11" s="45" customFormat="1">
      <c r="A79" s="56"/>
      <c r="F79" s="42"/>
      <c r="G79" s="42"/>
      <c r="H79" s="42"/>
      <c r="I79" s="42"/>
      <c r="J79" s="42"/>
      <c r="K79" s="42"/>
    </row>
    <row r="80" spans="1:11" s="45" customFormat="1">
      <c r="A80" s="56"/>
      <c r="F80" s="42"/>
      <c r="G80" s="42"/>
      <c r="H80" s="42"/>
      <c r="I80" s="42"/>
      <c r="J80" s="42"/>
      <c r="K80" s="42"/>
    </row>
    <row r="81" spans="1:11" s="45" customFormat="1">
      <c r="A81" s="56"/>
      <c r="F81" s="42"/>
      <c r="G81" s="42"/>
      <c r="H81" s="42"/>
      <c r="I81" s="42"/>
      <c r="J81" s="42"/>
      <c r="K81" s="42"/>
    </row>
    <row r="82" spans="1:11" s="45" customFormat="1">
      <c r="A82" s="56"/>
      <c r="F82" s="42"/>
      <c r="G82" s="42"/>
      <c r="H82" s="42"/>
      <c r="I82" s="42"/>
      <c r="J82" s="42"/>
      <c r="K82" s="42"/>
    </row>
    <row r="83" spans="1:11" s="45" customFormat="1">
      <c r="A83" s="56"/>
      <c r="F83" s="42"/>
      <c r="G83" s="42"/>
      <c r="H83" s="42"/>
      <c r="I83" s="42"/>
      <c r="J83" s="42"/>
      <c r="K83" s="42"/>
    </row>
    <row r="84" spans="1:11" s="45" customFormat="1">
      <c r="A84" s="56"/>
      <c r="F84" s="42"/>
      <c r="G84" s="42"/>
      <c r="H84" s="42"/>
      <c r="I84" s="42"/>
      <c r="J84" s="42"/>
      <c r="K84" s="42"/>
    </row>
    <row r="85" spans="1:11" s="45" customFormat="1">
      <c r="A85" s="56"/>
      <c r="F85" s="42"/>
      <c r="G85" s="42"/>
      <c r="H85" s="42"/>
      <c r="I85" s="42"/>
      <c r="J85" s="42"/>
      <c r="K85" s="42"/>
    </row>
    <row r="86" spans="1:11" s="45" customFormat="1">
      <c r="A86" s="56"/>
      <c r="F86" s="42"/>
      <c r="G86" s="42"/>
      <c r="H86" s="42"/>
      <c r="I86" s="42"/>
      <c r="J86" s="42"/>
      <c r="K86" s="42"/>
    </row>
    <row r="87" spans="1:11" s="45" customFormat="1">
      <c r="A87" s="56"/>
      <c r="F87" s="42"/>
      <c r="G87" s="42"/>
      <c r="H87" s="42"/>
      <c r="I87" s="42"/>
      <c r="J87" s="42"/>
      <c r="K87" s="42"/>
    </row>
    <row r="88" spans="1:11" s="45" customFormat="1">
      <c r="A88" s="56"/>
      <c r="F88" s="42"/>
      <c r="G88" s="42"/>
      <c r="H88" s="42"/>
      <c r="I88" s="42"/>
      <c r="J88" s="42"/>
      <c r="K88" s="42"/>
    </row>
    <row r="89" spans="1:11" s="45" customFormat="1">
      <c r="A89" s="56"/>
      <c r="F89" s="42"/>
      <c r="G89" s="42"/>
      <c r="H89" s="42"/>
      <c r="I89" s="42"/>
      <c r="J89" s="42"/>
      <c r="K89" s="42"/>
    </row>
    <row r="90" spans="1:11" s="45" customFormat="1">
      <c r="A90" s="56"/>
      <c r="F90" s="42"/>
      <c r="G90" s="42"/>
      <c r="H90" s="42"/>
      <c r="I90" s="42"/>
      <c r="J90" s="42"/>
      <c r="K90" s="42"/>
    </row>
    <row r="91" spans="1:11" s="45" customFormat="1">
      <c r="A91" s="56"/>
      <c r="F91" s="42"/>
      <c r="G91" s="42"/>
      <c r="H91" s="42"/>
      <c r="I91" s="42"/>
      <c r="J91" s="42"/>
      <c r="K91" s="42"/>
    </row>
    <row r="92" spans="1:11" s="45" customFormat="1">
      <c r="A92" s="56"/>
      <c r="F92" s="42"/>
      <c r="G92" s="42"/>
      <c r="H92" s="42"/>
      <c r="I92" s="42"/>
      <c r="J92" s="42"/>
      <c r="K92" s="42"/>
    </row>
    <row r="93" spans="1:11" s="45" customFormat="1">
      <c r="A93" s="56"/>
      <c r="F93" s="42"/>
      <c r="G93" s="42"/>
      <c r="H93" s="42"/>
      <c r="I93" s="42"/>
      <c r="J93" s="42"/>
      <c r="K93" s="42"/>
    </row>
    <row r="94" spans="1:11" s="45" customFormat="1">
      <c r="A94" s="56"/>
      <c r="F94" s="42"/>
      <c r="G94" s="42"/>
      <c r="H94" s="42"/>
      <c r="I94" s="42"/>
      <c r="J94" s="42"/>
      <c r="K94" s="42"/>
    </row>
    <row r="95" spans="1:11" s="45" customFormat="1">
      <c r="A95" s="56"/>
      <c r="F95" s="42"/>
      <c r="G95" s="42"/>
      <c r="H95" s="42"/>
      <c r="I95" s="42"/>
      <c r="J95" s="42"/>
      <c r="K95" s="42"/>
    </row>
    <row r="96" spans="1:11" s="45" customFormat="1">
      <c r="A96" s="56"/>
      <c r="F96" s="42"/>
      <c r="G96" s="42"/>
      <c r="H96" s="42"/>
      <c r="I96" s="42"/>
      <c r="J96" s="42"/>
      <c r="K96" s="42"/>
    </row>
    <row r="97" spans="1:11" s="45" customFormat="1">
      <c r="A97" s="56"/>
      <c r="F97" s="42"/>
      <c r="G97" s="42"/>
      <c r="H97" s="42"/>
      <c r="I97" s="42"/>
      <c r="J97" s="42"/>
      <c r="K97" s="42"/>
    </row>
    <row r="98" spans="1:11" s="45" customFormat="1">
      <c r="A98" s="56"/>
      <c r="F98" s="42"/>
      <c r="G98" s="42"/>
      <c r="H98" s="42"/>
      <c r="I98" s="42"/>
      <c r="J98" s="42"/>
      <c r="K98" s="42"/>
    </row>
    <row r="99" spans="1:11" s="45" customFormat="1">
      <c r="A99" s="56"/>
      <c r="F99" s="42"/>
      <c r="G99" s="42"/>
      <c r="H99" s="42"/>
      <c r="I99" s="42"/>
      <c r="J99" s="42"/>
      <c r="K99" s="42"/>
    </row>
    <row r="100" spans="1:11" s="45" customFormat="1">
      <c r="A100" s="56"/>
      <c r="F100" s="42"/>
      <c r="G100" s="42"/>
      <c r="H100" s="42"/>
      <c r="I100" s="42"/>
      <c r="J100" s="42"/>
      <c r="K100" s="42"/>
    </row>
    <row r="101" spans="1:11" s="45" customFormat="1">
      <c r="A101" s="56"/>
      <c r="F101" s="42"/>
      <c r="G101" s="42"/>
      <c r="H101" s="42"/>
      <c r="I101" s="42"/>
      <c r="J101" s="42"/>
      <c r="K101" s="42"/>
    </row>
    <row r="102" spans="1:11" s="45" customFormat="1">
      <c r="A102" s="56"/>
      <c r="F102" s="42"/>
      <c r="G102" s="42"/>
      <c r="H102" s="42"/>
      <c r="I102" s="42"/>
      <c r="J102" s="42"/>
      <c r="K102" s="42"/>
    </row>
    <row r="103" spans="1:11" s="45" customFormat="1">
      <c r="A103" s="56"/>
      <c r="F103" s="42"/>
      <c r="G103" s="42"/>
      <c r="H103" s="42"/>
      <c r="I103" s="42"/>
      <c r="J103" s="42"/>
      <c r="K103" s="42"/>
    </row>
    <row r="104" spans="1:11" s="45" customFormat="1">
      <c r="A104" s="56"/>
      <c r="F104" s="42"/>
      <c r="G104" s="42"/>
      <c r="H104" s="42"/>
      <c r="I104" s="42"/>
      <c r="J104" s="42"/>
      <c r="K104" s="42"/>
    </row>
    <row r="105" spans="1:11" s="45" customFormat="1">
      <c r="A105" s="56"/>
      <c r="F105" s="42"/>
      <c r="G105" s="42"/>
      <c r="H105" s="42"/>
      <c r="I105" s="42"/>
      <c r="J105" s="42"/>
      <c r="K105" s="42"/>
    </row>
    <row r="106" spans="1:11" s="45" customFormat="1">
      <c r="A106" s="56"/>
      <c r="F106" s="42"/>
      <c r="G106" s="42"/>
      <c r="H106" s="42"/>
      <c r="I106" s="42"/>
      <c r="J106" s="42"/>
      <c r="K106" s="42"/>
    </row>
    <row r="107" spans="1:11" s="45" customFormat="1">
      <c r="A107" s="56"/>
      <c r="F107" s="42"/>
      <c r="G107" s="42"/>
      <c r="H107" s="42"/>
      <c r="I107" s="42"/>
      <c r="J107" s="42"/>
      <c r="K107" s="42"/>
    </row>
    <row r="108" spans="1:11" s="45" customFormat="1">
      <c r="A108" s="56"/>
      <c r="F108" s="42"/>
      <c r="G108" s="42"/>
      <c r="H108" s="42"/>
      <c r="I108" s="42"/>
      <c r="J108" s="42"/>
      <c r="K108" s="42"/>
    </row>
    <row r="109" spans="1:11" s="45" customFormat="1">
      <c r="A109" s="56"/>
      <c r="F109" s="42"/>
      <c r="G109" s="42"/>
      <c r="H109" s="42"/>
      <c r="I109" s="42"/>
      <c r="J109" s="42"/>
      <c r="K109" s="42"/>
    </row>
    <row r="110" spans="1:11" s="45" customFormat="1">
      <c r="A110" s="56"/>
      <c r="F110" s="42"/>
      <c r="G110" s="42"/>
      <c r="H110" s="42"/>
      <c r="I110" s="42"/>
      <c r="J110" s="42"/>
      <c r="K110" s="42"/>
    </row>
    <row r="111" spans="1:11" s="45" customFormat="1">
      <c r="A111" s="56"/>
      <c r="F111" s="42"/>
      <c r="G111" s="42"/>
      <c r="H111" s="42"/>
      <c r="I111" s="42"/>
      <c r="J111" s="42"/>
      <c r="K111" s="42"/>
    </row>
    <row r="112" spans="1:11" s="45" customFormat="1">
      <c r="A112" s="56"/>
      <c r="F112" s="42"/>
      <c r="G112" s="42"/>
      <c r="H112" s="42"/>
      <c r="I112" s="42"/>
      <c r="J112" s="42"/>
      <c r="K112" s="42"/>
    </row>
    <row r="113" spans="1:11" s="45" customFormat="1">
      <c r="A113" s="56"/>
      <c r="F113" s="42"/>
      <c r="G113" s="42"/>
      <c r="H113" s="42"/>
      <c r="I113" s="42"/>
      <c r="J113" s="42"/>
      <c r="K113" s="42"/>
    </row>
    <row r="114" spans="1:11" s="45" customFormat="1">
      <c r="A114" s="56"/>
      <c r="F114" s="42"/>
      <c r="G114" s="42"/>
      <c r="H114" s="42"/>
      <c r="I114" s="42"/>
      <c r="J114" s="42"/>
      <c r="K114" s="42"/>
    </row>
    <row r="115" spans="1:11" s="45" customFormat="1">
      <c r="A115" s="56"/>
      <c r="F115" s="42"/>
      <c r="G115" s="42"/>
      <c r="H115" s="42"/>
      <c r="I115" s="42"/>
      <c r="J115" s="42"/>
      <c r="K115" s="42"/>
    </row>
    <row r="116" spans="1:11" s="45" customFormat="1">
      <c r="A116" s="56"/>
      <c r="F116" s="42"/>
      <c r="G116" s="42"/>
      <c r="H116" s="42"/>
      <c r="I116" s="42"/>
      <c r="J116" s="42"/>
      <c r="K116" s="42"/>
    </row>
    <row r="117" spans="1:11" s="45" customFormat="1">
      <c r="A117" s="56"/>
      <c r="F117" s="42"/>
      <c r="G117" s="42"/>
      <c r="H117" s="42"/>
      <c r="I117" s="42"/>
      <c r="J117" s="42"/>
      <c r="K117" s="42"/>
    </row>
    <row r="118" spans="1:11" s="45" customFormat="1">
      <c r="A118" s="56"/>
      <c r="F118" s="42"/>
      <c r="G118" s="42"/>
      <c r="H118" s="42"/>
      <c r="I118" s="42"/>
      <c r="J118" s="42"/>
      <c r="K118" s="42"/>
    </row>
    <row r="119" spans="1:11" s="45" customFormat="1">
      <c r="A119" s="56"/>
      <c r="F119" s="42"/>
      <c r="G119" s="42"/>
      <c r="H119" s="42"/>
      <c r="I119" s="42"/>
      <c r="J119" s="42"/>
      <c r="K119" s="42"/>
    </row>
    <row r="120" spans="1:11" s="45" customFormat="1">
      <c r="A120" s="56"/>
      <c r="F120" s="42"/>
      <c r="G120" s="42"/>
      <c r="H120" s="42"/>
      <c r="I120" s="42"/>
      <c r="J120" s="42"/>
      <c r="K120" s="42"/>
    </row>
    <row r="121" spans="1:11" s="45" customFormat="1">
      <c r="A121" s="56"/>
      <c r="F121" s="42"/>
      <c r="G121" s="42"/>
      <c r="H121" s="42"/>
      <c r="I121" s="42"/>
      <c r="J121" s="42"/>
      <c r="K121" s="42"/>
    </row>
    <row r="122" spans="1:11" s="45" customFormat="1">
      <c r="A122" s="56"/>
      <c r="F122" s="42"/>
      <c r="G122" s="42"/>
      <c r="H122" s="42"/>
      <c r="I122" s="42"/>
      <c r="J122" s="42"/>
      <c r="K122" s="42"/>
    </row>
    <row r="123" spans="1:11" s="45" customFormat="1">
      <c r="A123" s="56"/>
      <c r="F123" s="42"/>
      <c r="G123" s="42"/>
      <c r="H123" s="42"/>
      <c r="I123" s="42"/>
      <c r="J123" s="42"/>
      <c r="K123" s="42"/>
    </row>
    <row r="124" spans="1:11" s="45" customFormat="1">
      <c r="A124" s="56"/>
      <c r="F124" s="42"/>
      <c r="G124" s="42"/>
      <c r="H124" s="42"/>
      <c r="I124" s="42"/>
      <c r="J124" s="42"/>
      <c r="K124" s="42"/>
    </row>
    <row r="125" spans="1:11" s="45" customFormat="1">
      <c r="A125" s="56"/>
      <c r="F125" s="42"/>
      <c r="G125" s="42"/>
      <c r="H125" s="42"/>
      <c r="I125" s="42"/>
      <c r="J125" s="42"/>
      <c r="K125" s="42"/>
    </row>
    <row r="126" spans="1:11" s="45" customFormat="1">
      <c r="A126" s="56"/>
      <c r="F126" s="42"/>
      <c r="G126" s="42"/>
      <c r="H126" s="42"/>
      <c r="I126" s="42"/>
      <c r="J126" s="42"/>
      <c r="K126" s="42"/>
    </row>
    <row r="127" spans="1:11" s="45" customFormat="1">
      <c r="A127" s="56"/>
      <c r="F127" s="42"/>
      <c r="G127" s="42"/>
      <c r="H127" s="42"/>
      <c r="I127" s="42"/>
      <c r="J127" s="42"/>
      <c r="K127" s="42"/>
    </row>
    <row r="128" spans="1:11" s="45" customFormat="1">
      <c r="A128" s="56"/>
      <c r="F128" s="42"/>
      <c r="G128" s="42"/>
      <c r="H128" s="42"/>
      <c r="I128" s="42"/>
      <c r="J128" s="42"/>
      <c r="K128" s="42"/>
    </row>
    <row r="129" spans="1:11" s="45" customFormat="1">
      <c r="A129" s="56"/>
      <c r="F129" s="42"/>
      <c r="G129" s="42"/>
      <c r="H129" s="42"/>
      <c r="I129" s="42"/>
      <c r="J129" s="42"/>
      <c r="K129" s="42"/>
    </row>
    <row r="130" spans="1:11" s="45" customFormat="1">
      <c r="A130" s="56"/>
      <c r="F130" s="42"/>
      <c r="G130" s="42"/>
      <c r="H130" s="42"/>
      <c r="I130" s="42"/>
      <c r="J130" s="42"/>
      <c r="K130" s="42"/>
    </row>
    <row r="131" spans="1:11" s="45" customFormat="1">
      <c r="A131" s="56"/>
      <c r="F131" s="42"/>
      <c r="G131" s="42"/>
      <c r="H131" s="42"/>
      <c r="I131" s="42"/>
      <c r="J131" s="42"/>
      <c r="K131" s="42"/>
    </row>
    <row r="132" spans="1:11" s="45" customFormat="1">
      <c r="A132" s="56"/>
      <c r="F132" s="42"/>
      <c r="G132" s="42"/>
      <c r="H132" s="42"/>
      <c r="I132" s="42"/>
      <c r="J132" s="42"/>
      <c r="K132" s="42"/>
    </row>
    <row r="133" spans="1:11" s="45" customFormat="1">
      <c r="A133" s="56"/>
      <c r="F133" s="42"/>
      <c r="G133" s="42"/>
      <c r="H133" s="42"/>
      <c r="I133" s="42"/>
      <c r="J133" s="42"/>
      <c r="K133" s="42"/>
    </row>
    <row r="134" spans="1:11" s="45" customFormat="1">
      <c r="A134" s="56"/>
      <c r="F134" s="42"/>
      <c r="G134" s="42"/>
      <c r="H134" s="42"/>
      <c r="I134" s="42"/>
      <c r="J134" s="42"/>
      <c r="K134" s="42"/>
    </row>
    <row r="135" spans="1:11" s="45" customFormat="1">
      <c r="A135" s="56"/>
      <c r="F135" s="42"/>
      <c r="G135" s="42"/>
      <c r="H135" s="42"/>
      <c r="I135" s="42"/>
      <c r="J135" s="42"/>
      <c r="K135" s="42"/>
    </row>
    <row r="136" spans="1:11" s="45" customFormat="1">
      <c r="A136" s="56"/>
      <c r="F136" s="42"/>
      <c r="G136" s="42"/>
      <c r="H136" s="42"/>
      <c r="I136" s="42"/>
      <c r="J136" s="42"/>
      <c r="K136" s="42"/>
    </row>
    <row r="137" spans="1:11" s="45" customFormat="1">
      <c r="A137" s="56"/>
      <c r="F137" s="42"/>
      <c r="G137" s="42"/>
      <c r="H137" s="42"/>
      <c r="I137" s="42"/>
      <c r="J137" s="42"/>
      <c r="K137" s="42"/>
    </row>
    <row r="138" spans="1:11" s="45" customFormat="1">
      <c r="A138" s="56"/>
      <c r="F138" s="42"/>
      <c r="G138" s="42"/>
      <c r="H138" s="42"/>
      <c r="I138" s="42"/>
      <c r="J138" s="42"/>
      <c r="K138" s="42"/>
    </row>
    <row r="139" spans="1:11" s="45" customFormat="1">
      <c r="A139" s="56"/>
      <c r="F139" s="42"/>
      <c r="G139" s="42"/>
      <c r="H139" s="42"/>
      <c r="I139" s="42"/>
      <c r="J139" s="42"/>
      <c r="K139" s="42"/>
    </row>
    <row r="140" spans="1:11" s="45" customFormat="1">
      <c r="A140" s="56"/>
      <c r="F140" s="42"/>
      <c r="G140" s="42"/>
      <c r="H140" s="42"/>
      <c r="I140" s="42"/>
      <c r="J140" s="42"/>
      <c r="K140" s="42"/>
    </row>
    <row r="141" spans="1:11" s="45" customFormat="1">
      <c r="A141" s="56"/>
      <c r="F141" s="42"/>
      <c r="G141" s="42"/>
      <c r="H141" s="42"/>
      <c r="I141" s="42"/>
      <c r="J141" s="42"/>
      <c r="K141" s="42"/>
    </row>
    <row r="142" spans="1:11" s="45" customFormat="1">
      <c r="A142" s="56"/>
      <c r="F142" s="42"/>
      <c r="G142" s="42"/>
      <c r="H142" s="42"/>
      <c r="I142" s="42"/>
      <c r="J142" s="42"/>
      <c r="K142" s="42"/>
    </row>
    <row r="143" spans="1:11" s="45" customFormat="1">
      <c r="A143" s="56"/>
      <c r="F143" s="42"/>
      <c r="G143" s="42"/>
      <c r="H143" s="42"/>
      <c r="I143" s="42"/>
      <c r="J143" s="42"/>
      <c r="K143" s="42"/>
    </row>
    <row r="144" spans="1:11" s="45" customFormat="1">
      <c r="A144" s="56"/>
      <c r="F144" s="42"/>
      <c r="G144" s="42"/>
      <c r="H144" s="42"/>
      <c r="I144" s="42"/>
      <c r="J144" s="42"/>
      <c r="K144" s="42"/>
    </row>
    <row r="145" spans="1:11" s="45" customFormat="1">
      <c r="A145" s="56"/>
      <c r="F145" s="42"/>
      <c r="G145" s="42"/>
      <c r="H145" s="42"/>
      <c r="I145" s="42"/>
      <c r="J145" s="42"/>
      <c r="K145" s="42"/>
    </row>
    <row r="146" spans="1:11" s="45" customFormat="1">
      <c r="A146" s="56"/>
      <c r="F146" s="42"/>
      <c r="G146" s="42"/>
      <c r="H146" s="42"/>
      <c r="I146" s="42"/>
      <c r="J146" s="42"/>
      <c r="K146" s="42"/>
    </row>
    <row r="147" spans="1:11" s="45" customFormat="1">
      <c r="A147" s="56"/>
      <c r="F147" s="42"/>
      <c r="G147" s="42"/>
      <c r="H147" s="42"/>
      <c r="I147" s="42"/>
      <c r="J147" s="42"/>
      <c r="K147" s="42"/>
    </row>
    <row r="148" spans="1:11" s="45" customFormat="1">
      <c r="A148" s="56"/>
      <c r="F148" s="42"/>
      <c r="G148" s="42"/>
      <c r="H148" s="42"/>
      <c r="I148" s="42"/>
      <c r="J148" s="42"/>
      <c r="K148" s="42"/>
    </row>
    <row r="149" spans="1:11" s="45" customFormat="1">
      <c r="A149" s="56"/>
      <c r="F149" s="42"/>
      <c r="G149" s="42"/>
      <c r="H149" s="42"/>
      <c r="I149" s="42"/>
      <c r="J149" s="42"/>
      <c r="K149" s="42"/>
    </row>
    <row r="150" spans="1:11" s="45" customFormat="1">
      <c r="A150" s="56"/>
      <c r="F150" s="42"/>
      <c r="G150" s="42"/>
      <c r="H150" s="42"/>
      <c r="I150" s="42"/>
      <c r="J150" s="42"/>
      <c r="K150" s="42"/>
    </row>
    <row r="151" spans="1:11" s="45" customFormat="1">
      <c r="A151" s="56"/>
      <c r="F151" s="42"/>
      <c r="G151" s="42"/>
      <c r="H151" s="42"/>
      <c r="I151" s="42"/>
      <c r="J151" s="42"/>
      <c r="K151" s="42"/>
    </row>
    <row r="152" spans="1:11" s="45" customFormat="1">
      <c r="A152" s="56"/>
      <c r="F152" s="42"/>
      <c r="G152" s="42"/>
      <c r="H152" s="42"/>
      <c r="I152" s="42"/>
      <c r="J152" s="42"/>
      <c r="K152" s="42"/>
    </row>
    <row r="153" spans="1:11" s="45" customFormat="1">
      <c r="A153" s="56"/>
      <c r="F153" s="42"/>
      <c r="G153" s="42"/>
      <c r="H153" s="42"/>
      <c r="I153" s="42"/>
      <c r="J153" s="42"/>
      <c r="K153" s="42"/>
    </row>
    <row r="154" spans="1:11" s="45" customFormat="1">
      <c r="A154" s="56"/>
      <c r="F154" s="42"/>
      <c r="G154" s="42"/>
      <c r="H154" s="42"/>
      <c r="I154" s="42"/>
      <c r="J154" s="42"/>
      <c r="K154" s="42"/>
    </row>
    <row r="155" spans="1:11" s="45" customFormat="1">
      <c r="A155" s="56"/>
      <c r="F155" s="42"/>
      <c r="G155" s="42"/>
      <c r="H155" s="42"/>
      <c r="I155" s="42"/>
      <c r="J155" s="42"/>
      <c r="K155" s="42"/>
    </row>
    <row r="156" spans="1:11" s="45" customFormat="1">
      <c r="A156" s="56"/>
      <c r="F156" s="42"/>
      <c r="G156" s="42"/>
      <c r="H156" s="42"/>
      <c r="I156" s="42"/>
      <c r="J156" s="42"/>
      <c r="K156" s="42"/>
    </row>
    <row r="157" spans="1:11" s="45" customFormat="1">
      <c r="A157" s="56"/>
      <c r="F157" s="42"/>
      <c r="G157" s="42"/>
      <c r="H157" s="42"/>
      <c r="I157" s="42"/>
      <c r="J157" s="42"/>
      <c r="K157" s="42"/>
    </row>
    <row r="158" spans="1:11" s="45" customFormat="1">
      <c r="A158" s="56"/>
      <c r="F158" s="42"/>
      <c r="G158" s="42"/>
      <c r="H158" s="42"/>
      <c r="I158" s="42"/>
      <c r="J158" s="42"/>
      <c r="K158" s="42"/>
    </row>
    <row r="159" spans="1:11" s="45" customFormat="1">
      <c r="A159" s="56"/>
      <c r="F159" s="42"/>
      <c r="G159" s="42"/>
      <c r="H159" s="42"/>
      <c r="I159" s="42"/>
      <c r="J159" s="42"/>
      <c r="K159" s="42"/>
    </row>
    <row r="160" spans="1:11" s="45" customFormat="1">
      <c r="A160" s="56"/>
      <c r="F160" s="42"/>
      <c r="G160" s="42"/>
      <c r="H160" s="42"/>
      <c r="I160" s="42"/>
      <c r="J160" s="42"/>
      <c r="K160" s="42"/>
    </row>
    <row r="161" spans="1:11" s="45" customFormat="1">
      <c r="A161" s="56"/>
      <c r="F161" s="42"/>
      <c r="G161" s="42"/>
      <c r="H161" s="42"/>
      <c r="I161" s="42"/>
      <c r="J161" s="42"/>
      <c r="K161" s="42"/>
    </row>
    <row r="162" spans="1:11" s="45" customFormat="1">
      <c r="A162" s="56"/>
      <c r="F162" s="42"/>
      <c r="G162" s="42"/>
      <c r="H162" s="42"/>
      <c r="I162" s="42"/>
      <c r="J162" s="42"/>
      <c r="K162" s="42"/>
    </row>
    <row r="163" spans="1:11" s="45" customFormat="1">
      <c r="A163" s="56"/>
      <c r="F163" s="42"/>
      <c r="G163" s="42"/>
      <c r="H163" s="42"/>
      <c r="I163" s="42"/>
      <c r="J163" s="42"/>
      <c r="K163" s="42"/>
    </row>
    <row r="164" spans="1:11" s="45" customFormat="1">
      <c r="A164" s="56"/>
      <c r="F164" s="42"/>
      <c r="G164" s="42"/>
      <c r="H164" s="42"/>
      <c r="I164" s="42"/>
      <c r="J164" s="42"/>
      <c r="K164" s="42"/>
    </row>
    <row r="165" spans="1:11" s="45" customFormat="1">
      <c r="A165" s="56"/>
      <c r="F165" s="42"/>
      <c r="G165" s="42"/>
      <c r="H165" s="42"/>
      <c r="I165" s="42"/>
      <c r="J165" s="42"/>
      <c r="K165" s="42"/>
    </row>
    <row r="166" spans="1:11" s="45" customFormat="1">
      <c r="A166" s="56"/>
      <c r="F166" s="42"/>
      <c r="G166" s="42"/>
      <c r="H166" s="42"/>
      <c r="I166" s="42"/>
      <c r="J166" s="42"/>
      <c r="K166" s="42"/>
    </row>
    <row r="167" spans="1:11" s="45" customFormat="1">
      <c r="A167" s="56"/>
      <c r="F167" s="42"/>
      <c r="G167" s="42"/>
      <c r="H167" s="42"/>
      <c r="I167" s="42"/>
      <c r="J167" s="42"/>
      <c r="K167" s="42"/>
    </row>
    <row r="168" spans="1:11" s="45" customFormat="1">
      <c r="A168" s="56"/>
      <c r="F168" s="42"/>
      <c r="G168" s="42"/>
      <c r="H168" s="42"/>
      <c r="I168" s="42"/>
      <c r="J168" s="42"/>
      <c r="K168" s="42"/>
    </row>
    <row r="169" spans="1:11" s="45" customFormat="1">
      <c r="A169" s="56"/>
      <c r="F169" s="42"/>
      <c r="G169" s="42"/>
      <c r="H169" s="42"/>
      <c r="I169" s="42"/>
      <c r="J169" s="42"/>
      <c r="K169" s="42"/>
    </row>
    <row r="170" spans="1:11" s="45" customFormat="1">
      <c r="A170" s="56"/>
      <c r="F170" s="42"/>
      <c r="G170" s="42"/>
      <c r="H170" s="42"/>
      <c r="I170" s="42"/>
      <c r="J170" s="42"/>
      <c r="K170" s="42"/>
    </row>
    <row r="171" spans="1:11" s="45" customFormat="1">
      <c r="A171" s="56"/>
      <c r="F171" s="42"/>
      <c r="G171" s="42"/>
      <c r="H171" s="42"/>
      <c r="I171" s="42"/>
      <c r="J171" s="42"/>
      <c r="K171" s="42"/>
    </row>
    <row r="172" spans="1:11" s="45" customFormat="1">
      <c r="A172" s="56"/>
      <c r="F172" s="42"/>
      <c r="G172" s="42"/>
      <c r="H172" s="42"/>
      <c r="I172" s="42"/>
      <c r="J172" s="42"/>
      <c r="K172" s="42"/>
    </row>
    <row r="173" spans="1:11" s="45" customFormat="1">
      <c r="A173" s="56"/>
      <c r="F173" s="42"/>
      <c r="G173" s="42"/>
      <c r="H173" s="42"/>
      <c r="I173" s="42"/>
      <c r="J173" s="42"/>
      <c r="K173" s="42"/>
    </row>
    <row r="174" spans="1:11" s="45" customFormat="1">
      <c r="A174" s="56"/>
      <c r="F174" s="42"/>
      <c r="G174" s="42"/>
      <c r="H174" s="42"/>
      <c r="I174" s="42"/>
      <c r="J174" s="42"/>
      <c r="K174" s="42"/>
    </row>
    <row r="175" spans="1:11" s="45" customFormat="1">
      <c r="A175" s="56"/>
      <c r="F175" s="42"/>
      <c r="G175" s="42"/>
      <c r="H175" s="42"/>
      <c r="I175" s="42"/>
      <c r="J175" s="42"/>
      <c r="K175" s="42"/>
    </row>
    <row r="176" spans="1:11" s="45" customFormat="1">
      <c r="A176" s="56"/>
      <c r="F176" s="42"/>
      <c r="G176" s="42"/>
      <c r="H176" s="42"/>
      <c r="I176" s="42"/>
      <c r="J176" s="42"/>
      <c r="K176" s="42"/>
    </row>
    <row r="177" spans="1:11" s="45" customFormat="1">
      <c r="A177" s="56"/>
      <c r="F177" s="42"/>
      <c r="G177" s="42"/>
      <c r="H177" s="42"/>
      <c r="I177" s="42"/>
      <c r="J177" s="42"/>
      <c r="K177" s="42"/>
    </row>
    <row r="178" spans="1:11" s="45" customFormat="1">
      <c r="A178" s="56"/>
      <c r="F178" s="42"/>
      <c r="G178" s="42"/>
      <c r="H178" s="42"/>
      <c r="I178" s="42"/>
      <c r="J178" s="42"/>
      <c r="K178" s="42"/>
    </row>
    <row r="179" spans="1:11" s="45" customFormat="1">
      <c r="A179" s="56"/>
      <c r="F179" s="42"/>
      <c r="G179" s="42"/>
      <c r="H179" s="42"/>
      <c r="I179" s="42"/>
      <c r="J179" s="42"/>
      <c r="K179" s="42"/>
    </row>
    <row r="180" spans="1:11" s="45" customFormat="1">
      <c r="A180" s="56"/>
      <c r="F180" s="42"/>
      <c r="G180" s="42"/>
      <c r="H180" s="42"/>
      <c r="I180" s="42"/>
      <c r="J180" s="42"/>
      <c r="K180" s="42"/>
    </row>
    <row r="181" spans="1:11" s="45" customFormat="1">
      <c r="A181" s="56"/>
      <c r="F181" s="42"/>
      <c r="G181" s="42"/>
      <c r="H181" s="42"/>
      <c r="I181" s="42"/>
      <c r="J181" s="42"/>
      <c r="K181" s="42"/>
    </row>
    <row r="182" spans="1:11" s="45" customFormat="1">
      <c r="A182" s="56"/>
      <c r="F182" s="42"/>
      <c r="G182" s="42"/>
      <c r="H182" s="42"/>
      <c r="I182" s="42"/>
      <c r="J182" s="42"/>
      <c r="K182" s="42"/>
    </row>
    <row r="183" spans="1:11" s="45" customFormat="1">
      <c r="A183" s="56"/>
      <c r="F183" s="42"/>
      <c r="G183" s="42"/>
      <c r="H183" s="42"/>
      <c r="I183" s="42"/>
      <c r="J183" s="42"/>
      <c r="K183" s="42"/>
    </row>
    <row r="184" spans="1:11" s="45" customFormat="1">
      <c r="A184" s="56"/>
      <c r="F184" s="42"/>
      <c r="G184" s="42"/>
      <c r="H184" s="42"/>
      <c r="I184" s="42"/>
      <c r="J184" s="42"/>
      <c r="K184" s="42"/>
    </row>
    <row r="185" spans="1:11" s="45" customFormat="1">
      <c r="A185" s="56"/>
      <c r="F185" s="42"/>
      <c r="G185" s="42"/>
      <c r="H185" s="42"/>
      <c r="I185" s="42"/>
      <c r="J185" s="42"/>
      <c r="K185" s="42"/>
    </row>
    <row r="186" spans="1:11" s="45" customFormat="1">
      <c r="A186" s="56"/>
      <c r="F186" s="42"/>
      <c r="G186" s="42"/>
      <c r="H186" s="42"/>
      <c r="I186" s="42"/>
      <c r="J186" s="42"/>
      <c r="K186" s="42"/>
    </row>
    <row r="187" spans="1:11" s="45" customFormat="1">
      <c r="A187" s="56"/>
      <c r="F187" s="42"/>
      <c r="G187" s="42"/>
      <c r="H187" s="42"/>
      <c r="I187" s="42"/>
      <c r="J187" s="42"/>
      <c r="K187" s="42"/>
    </row>
    <row r="188" spans="1:11" s="45" customFormat="1">
      <c r="A188" s="56"/>
      <c r="F188" s="42"/>
      <c r="G188" s="42"/>
      <c r="H188" s="42"/>
      <c r="I188" s="42"/>
      <c r="J188" s="42"/>
      <c r="K188" s="42"/>
    </row>
    <row r="189" spans="1:11" s="45" customFormat="1">
      <c r="A189" s="56"/>
      <c r="F189" s="42"/>
      <c r="G189" s="42"/>
      <c r="H189" s="42"/>
      <c r="I189" s="42"/>
      <c r="J189" s="42"/>
      <c r="K189" s="42"/>
    </row>
    <row r="190" spans="1:11" s="45" customFormat="1">
      <c r="A190" s="56"/>
      <c r="F190" s="42"/>
      <c r="G190" s="42"/>
      <c r="H190" s="42"/>
      <c r="I190" s="42"/>
      <c r="J190" s="42"/>
      <c r="K190" s="42"/>
    </row>
    <row r="191" spans="1:11" s="45" customFormat="1">
      <c r="A191" s="56"/>
      <c r="F191" s="42"/>
      <c r="G191" s="42"/>
      <c r="H191" s="42"/>
      <c r="I191" s="42"/>
      <c r="J191" s="42"/>
      <c r="K191" s="42"/>
    </row>
    <row r="192" spans="1:11" s="45" customFormat="1">
      <c r="A192" s="56"/>
      <c r="F192" s="42"/>
      <c r="G192" s="42"/>
      <c r="H192" s="42"/>
      <c r="I192" s="42"/>
      <c r="J192" s="42"/>
      <c r="K192" s="42"/>
    </row>
  </sheetData>
  <sheetProtection password="C6FB" sheet="1" formatCells="0" formatColumns="0" formatRows="0" insertRows="0" deleteRows="0"/>
  <mergeCells count="13">
    <mergeCell ref="A1:I1"/>
    <mergeCell ref="A3:A4"/>
    <mergeCell ref="B3:B4"/>
    <mergeCell ref="C3:C4"/>
    <mergeCell ref="D3:D4"/>
    <mergeCell ref="E3:E4"/>
    <mergeCell ref="F3:I3"/>
    <mergeCell ref="C42:E42"/>
    <mergeCell ref="G42:I42"/>
    <mergeCell ref="A6:I6"/>
    <mergeCell ref="A18:I18"/>
    <mergeCell ref="C41:E41"/>
    <mergeCell ref="G41:I41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4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3"/>
  </sheetPr>
  <dimension ref="A1:K113"/>
  <sheetViews>
    <sheetView topLeftCell="A49" zoomScale="75" zoomScaleNormal="75" zoomScaleSheetLayoutView="75" workbookViewId="0">
      <pane xSplit="1" topLeftCell="B1" activePane="topRight" state="frozen"/>
      <selection pane="topRight" activeCell="I34" sqref="I34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9" width="13.7109375" style="1" bestFit="1" customWidth="1"/>
    <col min="10" max="16384" width="9.140625" style="1"/>
  </cols>
  <sheetData>
    <row r="1" spans="1:9">
      <c r="A1" s="373" t="s">
        <v>376</v>
      </c>
      <c r="B1" s="373"/>
      <c r="C1" s="373"/>
      <c r="D1" s="373"/>
      <c r="E1" s="373"/>
      <c r="F1" s="373"/>
      <c r="G1" s="373"/>
      <c r="H1" s="373"/>
      <c r="I1" s="373"/>
    </row>
    <row r="2" spans="1:9" outlineLevel="1">
      <c r="A2" s="18"/>
      <c r="B2" s="18"/>
      <c r="C2" s="18"/>
      <c r="D2" s="18"/>
      <c r="E2" s="18"/>
      <c r="F2" s="18"/>
      <c r="G2" s="18"/>
      <c r="H2" s="18"/>
      <c r="I2" s="18"/>
    </row>
    <row r="3" spans="1:9" ht="48" customHeight="1">
      <c r="A3" s="414" t="s">
        <v>271</v>
      </c>
      <c r="B3" s="412" t="s">
        <v>0</v>
      </c>
      <c r="C3" s="412" t="s">
        <v>31</v>
      </c>
      <c r="D3" s="412" t="s">
        <v>69</v>
      </c>
      <c r="E3" s="412" t="s">
        <v>182</v>
      </c>
      <c r="F3" s="413" t="s">
        <v>368</v>
      </c>
      <c r="G3" s="413"/>
      <c r="H3" s="413"/>
      <c r="I3" s="413"/>
    </row>
    <row r="4" spans="1:9" ht="38.25" customHeight="1">
      <c r="A4" s="415"/>
      <c r="B4" s="412"/>
      <c r="C4" s="412"/>
      <c r="D4" s="412"/>
      <c r="E4" s="412"/>
      <c r="F4" s="11" t="s">
        <v>377</v>
      </c>
      <c r="G4" s="11" t="s">
        <v>370</v>
      </c>
      <c r="H4" s="11" t="s">
        <v>371</v>
      </c>
      <c r="I4" s="11" t="s">
        <v>85</v>
      </c>
    </row>
    <row r="5" spans="1:9" ht="18" customHeight="1">
      <c r="A5" s="7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</row>
    <row r="6" spans="1:9" s="54" customFormat="1" ht="20.100000000000001" customHeight="1">
      <c r="A6" s="404" t="s">
        <v>172</v>
      </c>
      <c r="B6" s="405"/>
      <c r="C6" s="405"/>
      <c r="D6" s="405"/>
      <c r="E6" s="405"/>
      <c r="F6" s="405"/>
      <c r="G6" s="405"/>
      <c r="H6" s="405"/>
      <c r="I6" s="406"/>
    </row>
    <row r="7" spans="1:9" ht="37.5">
      <c r="A7" s="157" t="s">
        <v>192</v>
      </c>
      <c r="B7" s="143">
        <v>1170</v>
      </c>
      <c r="C7" s="162">
        <f>'I. Фін результат'!C79</f>
        <v>0</v>
      </c>
      <c r="D7" s="162">
        <f>'I. Фін результат'!D79</f>
        <v>-2948</v>
      </c>
      <c r="E7" s="162">
        <f>'I. Фін результат'!E79</f>
        <v>-3670</v>
      </c>
      <c r="F7" s="162">
        <f>'I. Фін результат'!F79</f>
        <v>-1193</v>
      </c>
      <c r="G7" s="162">
        <f>'I. Фін результат'!G79</f>
        <v>-2248</v>
      </c>
      <c r="H7" s="162">
        <f>'I. Фін результат'!H79</f>
        <v>-3367</v>
      </c>
      <c r="I7" s="162">
        <f>'I. Фін результат'!I79</f>
        <v>-4510</v>
      </c>
    </row>
    <row r="8" spans="1:9" ht="20.100000000000001" customHeight="1">
      <c r="A8" s="157" t="s">
        <v>193</v>
      </c>
      <c r="B8" s="187"/>
      <c r="C8" s="162"/>
      <c r="D8" s="162"/>
      <c r="E8" s="162"/>
      <c r="F8" s="162"/>
      <c r="G8" s="162"/>
      <c r="H8" s="162"/>
      <c r="I8" s="162"/>
    </row>
    <row r="9" spans="1:9" ht="20.100000000000001" customHeight="1">
      <c r="A9" s="157" t="s">
        <v>196</v>
      </c>
      <c r="B9" s="314">
        <v>3000</v>
      </c>
      <c r="C9" s="162">
        <f>'I. Фін результат'!C105</f>
        <v>0</v>
      </c>
      <c r="D9" s="162">
        <f>'I. Фін результат'!D105</f>
        <v>6</v>
      </c>
      <c r="E9" s="162">
        <f>'I. Фін результат'!E105</f>
        <v>3</v>
      </c>
      <c r="F9" s="162">
        <f>'I. Фін результат'!F105</f>
        <v>206</v>
      </c>
      <c r="G9" s="162">
        <f>'I. Фін результат'!G105</f>
        <v>306</v>
      </c>
      <c r="H9" s="162">
        <f>'I. Фін результат'!H105</f>
        <v>408</v>
      </c>
      <c r="I9" s="162">
        <f>'I. Фін результат'!I105</f>
        <v>510</v>
      </c>
    </row>
    <row r="10" spans="1:9" ht="20.100000000000001" customHeight="1">
      <c r="A10" s="157" t="s">
        <v>197</v>
      </c>
      <c r="B10" s="314">
        <v>3010</v>
      </c>
      <c r="C10" s="161"/>
      <c r="D10" s="161"/>
      <c r="E10" s="161"/>
      <c r="F10" s="161"/>
      <c r="G10" s="161"/>
      <c r="H10" s="161"/>
      <c r="I10" s="161"/>
    </row>
    <row r="11" spans="1:9" ht="37.5">
      <c r="A11" s="157" t="s">
        <v>198</v>
      </c>
      <c r="B11" s="314">
        <v>3020</v>
      </c>
      <c r="C11" s="161"/>
      <c r="D11" s="161"/>
      <c r="E11" s="161"/>
      <c r="F11" s="161"/>
      <c r="G11" s="161"/>
      <c r="H11" s="161"/>
      <c r="I11" s="161"/>
    </row>
    <row r="12" spans="1:9" ht="56.25">
      <c r="A12" s="157" t="s">
        <v>199</v>
      </c>
      <c r="B12" s="314">
        <v>3030</v>
      </c>
      <c r="C12" s="161"/>
      <c r="D12" s="161"/>
      <c r="E12" s="161"/>
      <c r="F12" s="161"/>
      <c r="G12" s="161"/>
      <c r="H12" s="161"/>
      <c r="I12" s="161"/>
    </row>
    <row r="13" spans="1:9" ht="42.75" customHeight="1">
      <c r="A13" s="159" t="s">
        <v>258</v>
      </c>
      <c r="B13" s="188">
        <v>3040</v>
      </c>
      <c r="C13" s="336">
        <f t="shared" ref="C13:I13" si="0">SUM(C7:C12)</f>
        <v>0</v>
      </c>
      <c r="D13" s="336">
        <f t="shared" si="0"/>
        <v>-2942</v>
      </c>
      <c r="E13" s="336">
        <f t="shared" si="0"/>
        <v>-3667</v>
      </c>
      <c r="F13" s="336">
        <f t="shared" si="0"/>
        <v>-987</v>
      </c>
      <c r="G13" s="336">
        <f t="shared" si="0"/>
        <v>-1942</v>
      </c>
      <c r="H13" s="336">
        <f t="shared" si="0"/>
        <v>-2959</v>
      </c>
      <c r="I13" s="336">
        <f t="shared" si="0"/>
        <v>-4000</v>
      </c>
    </row>
    <row r="14" spans="1:9" ht="37.5">
      <c r="A14" s="157" t="s">
        <v>200</v>
      </c>
      <c r="B14" s="314">
        <v>3050</v>
      </c>
      <c r="C14" s="161"/>
      <c r="D14" s="161"/>
      <c r="E14" s="161"/>
      <c r="F14" s="161"/>
      <c r="G14" s="161"/>
      <c r="H14" s="161"/>
      <c r="I14" s="161"/>
    </row>
    <row r="15" spans="1:9" ht="37.5">
      <c r="A15" s="157" t="s">
        <v>201</v>
      </c>
      <c r="B15" s="314">
        <v>3060</v>
      </c>
      <c r="C15" s="161"/>
      <c r="D15" s="161"/>
      <c r="E15" s="161"/>
      <c r="F15" s="194"/>
      <c r="G15" s="194"/>
      <c r="H15" s="194"/>
      <c r="I15" s="194"/>
    </row>
    <row r="16" spans="1:9">
      <c r="A16" s="157" t="s">
        <v>412</v>
      </c>
      <c r="B16" s="314" t="s">
        <v>413</v>
      </c>
      <c r="C16" s="161"/>
      <c r="D16" s="161"/>
      <c r="E16" s="161"/>
      <c r="F16" s="194"/>
      <c r="G16" s="194"/>
      <c r="H16" s="194"/>
      <c r="I16" s="194"/>
    </row>
    <row r="17" spans="1:9" ht="20.100000000000001" customHeight="1">
      <c r="A17" s="159" t="s">
        <v>194</v>
      </c>
      <c r="B17" s="188">
        <v>3070</v>
      </c>
      <c r="C17" s="336">
        <f t="shared" ref="C17:I17" si="1">SUM(C13:C15)</f>
        <v>0</v>
      </c>
      <c r="D17" s="336">
        <f t="shared" si="1"/>
        <v>-2942</v>
      </c>
      <c r="E17" s="336">
        <f>SUM(E13:E15)</f>
        <v>-3667</v>
      </c>
      <c r="F17" s="336">
        <f t="shared" si="1"/>
        <v>-987</v>
      </c>
      <c r="G17" s="336">
        <f t="shared" si="1"/>
        <v>-1942</v>
      </c>
      <c r="H17" s="336">
        <f t="shared" si="1"/>
        <v>-2959</v>
      </c>
      <c r="I17" s="336">
        <f t="shared" si="1"/>
        <v>-4000</v>
      </c>
    </row>
    <row r="18" spans="1:9" ht="20.100000000000001" customHeight="1">
      <c r="A18" s="157" t="s">
        <v>195</v>
      </c>
      <c r="B18" s="314">
        <v>3080</v>
      </c>
      <c r="C18" s="162">
        <f>'I. Фін результат'!C80</f>
        <v>0</v>
      </c>
      <c r="D18" s="162">
        <f>'I. Фін результат'!D80</f>
        <v>0</v>
      </c>
      <c r="E18" s="162">
        <f>'I. Фін результат'!E80</f>
        <v>0</v>
      </c>
      <c r="F18" s="162">
        <f>'I. Фін результат'!F80</f>
        <v>0</v>
      </c>
      <c r="G18" s="162">
        <f>'I. Фін результат'!G80</f>
        <v>0</v>
      </c>
      <c r="H18" s="162">
        <f>'I. Фін результат'!H80</f>
        <v>0</v>
      </c>
      <c r="I18" s="162">
        <f>'I. Фін результат'!I80</f>
        <v>0</v>
      </c>
    </row>
    <row r="19" spans="1:9" ht="37.5">
      <c r="A19" s="142" t="s">
        <v>171</v>
      </c>
      <c r="B19" s="188">
        <v>3090</v>
      </c>
      <c r="C19" s="336">
        <f>C17-C18</f>
        <v>0</v>
      </c>
      <c r="D19" s="336">
        <f t="shared" ref="D19:I19" si="2">D17-D18</f>
        <v>-2942</v>
      </c>
      <c r="E19" s="336">
        <f t="shared" si="2"/>
        <v>-3667</v>
      </c>
      <c r="F19" s="336">
        <f t="shared" si="2"/>
        <v>-987</v>
      </c>
      <c r="G19" s="336">
        <f t="shared" si="2"/>
        <v>-1942</v>
      </c>
      <c r="H19" s="336">
        <f t="shared" si="2"/>
        <v>-2959</v>
      </c>
      <c r="I19" s="336">
        <f t="shared" si="2"/>
        <v>-4000</v>
      </c>
    </row>
    <row r="20" spans="1:9" ht="20.100000000000001" customHeight="1">
      <c r="A20" s="404" t="s">
        <v>173</v>
      </c>
      <c r="B20" s="405"/>
      <c r="C20" s="405"/>
      <c r="D20" s="405"/>
      <c r="E20" s="405"/>
      <c r="F20" s="405"/>
      <c r="G20" s="405"/>
      <c r="H20" s="405"/>
      <c r="I20" s="406"/>
    </row>
    <row r="21" spans="1:9" ht="20.100000000000001" customHeight="1">
      <c r="A21" s="159" t="s">
        <v>286</v>
      </c>
      <c r="B21" s="143"/>
      <c r="C21" s="161"/>
      <c r="D21" s="161"/>
      <c r="E21" s="161"/>
      <c r="F21" s="161"/>
      <c r="G21" s="161"/>
      <c r="H21" s="161"/>
      <c r="I21" s="161"/>
    </row>
    <row r="22" spans="1:9" ht="20.100000000000001" customHeight="1">
      <c r="A22" s="312" t="s">
        <v>32</v>
      </c>
      <c r="B22" s="143">
        <v>3200</v>
      </c>
      <c r="C22" s="161"/>
      <c r="D22" s="161"/>
      <c r="E22" s="161"/>
      <c r="F22" s="161"/>
      <c r="G22" s="161"/>
      <c r="H22" s="161"/>
      <c r="I22" s="161"/>
    </row>
    <row r="23" spans="1:9" ht="20.100000000000001" customHeight="1">
      <c r="A23" s="312" t="s">
        <v>33</v>
      </c>
      <c r="B23" s="143">
        <v>3210</v>
      </c>
      <c r="C23" s="161"/>
      <c r="D23" s="161"/>
      <c r="E23" s="161"/>
      <c r="F23" s="161"/>
      <c r="G23" s="161"/>
      <c r="H23" s="161"/>
      <c r="I23" s="161"/>
    </row>
    <row r="24" spans="1:9" ht="20.100000000000001" customHeight="1">
      <c r="A24" s="312" t="s">
        <v>55</v>
      </c>
      <c r="B24" s="143">
        <v>3220</v>
      </c>
      <c r="C24" s="161"/>
      <c r="D24" s="161"/>
      <c r="E24" s="161"/>
      <c r="F24" s="161"/>
      <c r="G24" s="161"/>
      <c r="H24" s="161"/>
      <c r="I24" s="161"/>
    </row>
    <row r="25" spans="1:9" ht="20.100000000000001" customHeight="1">
      <c r="A25" s="157" t="s">
        <v>177</v>
      </c>
      <c r="B25" s="143"/>
      <c r="C25" s="161"/>
      <c r="D25" s="161"/>
      <c r="E25" s="161"/>
      <c r="F25" s="161"/>
      <c r="G25" s="161"/>
      <c r="H25" s="161"/>
      <c r="I25" s="161"/>
    </row>
    <row r="26" spans="1:9" ht="20.100000000000001" customHeight="1">
      <c r="A26" s="312" t="s">
        <v>178</v>
      </c>
      <c r="B26" s="143">
        <v>3230</v>
      </c>
      <c r="C26" s="161"/>
      <c r="D26" s="161"/>
      <c r="E26" s="161"/>
      <c r="F26" s="161"/>
      <c r="G26" s="161"/>
      <c r="H26" s="161"/>
      <c r="I26" s="161"/>
    </row>
    <row r="27" spans="1:9" ht="20.100000000000001" customHeight="1">
      <c r="A27" s="312" t="s">
        <v>179</v>
      </c>
      <c r="B27" s="143">
        <v>3240</v>
      </c>
      <c r="C27" s="161"/>
      <c r="D27" s="161"/>
      <c r="E27" s="161"/>
      <c r="F27" s="161"/>
      <c r="G27" s="161"/>
      <c r="H27" s="161"/>
      <c r="I27" s="161"/>
    </row>
    <row r="28" spans="1:9" ht="20.100000000000001" customHeight="1">
      <c r="A28" s="157" t="s">
        <v>180</v>
      </c>
      <c r="B28" s="143">
        <v>3250</v>
      </c>
      <c r="C28" s="161"/>
      <c r="D28" s="161"/>
      <c r="E28" s="161"/>
      <c r="F28" s="161"/>
      <c r="G28" s="161"/>
      <c r="H28" s="161"/>
      <c r="I28" s="161"/>
    </row>
    <row r="29" spans="1:9" ht="20.100000000000001" customHeight="1">
      <c r="A29" s="312" t="s">
        <v>131</v>
      </c>
      <c r="B29" s="143">
        <v>3260</v>
      </c>
      <c r="C29" s="161"/>
      <c r="D29" s="161"/>
      <c r="E29" s="161"/>
      <c r="F29" s="161"/>
      <c r="G29" s="161"/>
      <c r="H29" s="161"/>
      <c r="I29" s="161"/>
    </row>
    <row r="30" spans="1:9" ht="20.100000000000001" customHeight="1">
      <c r="A30" s="159" t="s">
        <v>288</v>
      </c>
      <c r="B30" s="143"/>
      <c r="C30" s="161"/>
      <c r="D30" s="161"/>
      <c r="E30" s="161"/>
      <c r="F30" s="161"/>
      <c r="G30" s="161"/>
      <c r="H30" s="161"/>
      <c r="I30" s="161"/>
    </row>
    <row r="31" spans="1:9" ht="37.5">
      <c r="A31" s="312" t="s">
        <v>132</v>
      </c>
      <c r="B31" s="143">
        <v>3270</v>
      </c>
      <c r="C31" s="161"/>
      <c r="D31" s="161">
        <f>SUM(D32:D34)</f>
        <v>24502</v>
      </c>
      <c r="E31" s="161">
        <f t="shared" ref="E31:I31" si="3">SUM(E32:E34)</f>
        <v>22991</v>
      </c>
      <c r="F31" s="161">
        <f t="shared" si="3"/>
        <v>13883</v>
      </c>
      <c r="G31" s="161">
        <f t="shared" si="3"/>
        <v>26390</v>
      </c>
      <c r="H31" s="161">
        <f t="shared" si="3"/>
        <v>38391</v>
      </c>
      <c r="I31" s="161">
        <f t="shared" si="3"/>
        <v>40384</v>
      </c>
    </row>
    <row r="32" spans="1:9" ht="73.5" customHeight="1">
      <c r="A32" s="312" t="s">
        <v>472</v>
      </c>
      <c r="B32" s="143" t="s">
        <v>473</v>
      </c>
      <c r="C32" s="161"/>
      <c r="D32" s="161">
        <v>16137</v>
      </c>
      <c r="E32" s="161">
        <v>16137</v>
      </c>
      <c r="F32" s="161">
        <v>10224</v>
      </c>
      <c r="G32" s="161">
        <v>20448</v>
      </c>
      <c r="H32" s="161">
        <v>31087</v>
      </c>
      <c r="I32" s="161">
        <v>33080</v>
      </c>
    </row>
    <row r="33" spans="1:10" ht="58.5" customHeight="1">
      <c r="A33" s="312" t="s">
        <v>474</v>
      </c>
      <c r="B33" s="143" t="s">
        <v>476</v>
      </c>
      <c r="C33" s="161"/>
      <c r="D33" s="161">
        <v>4158</v>
      </c>
      <c r="E33" s="161">
        <v>2647</v>
      </c>
      <c r="F33" s="161"/>
      <c r="G33" s="161"/>
      <c r="H33" s="161"/>
      <c r="I33" s="161"/>
    </row>
    <row r="34" spans="1:10" ht="103.5" customHeight="1">
      <c r="A34" s="312" t="s">
        <v>475</v>
      </c>
      <c r="B34" s="143" t="s">
        <v>477</v>
      </c>
      <c r="C34" s="161"/>
      <c r="D34" s="161">
        <v>4207</v>
      </c>
      <c r="E34" s="161">
        <v>4207</v>
      </c>
      <c r="F34" s="161">
        <v>3659</v>
      </c>
      <c r="G34" s="161">
        <v>5942</v>
      </c>
      <c r="H34" s="161">
        <v>7304</v>
      </c>
      <c r="I34" s="161">
        <v>7304</v>
      </c>
    </row>
    <row r="35" spans="1:10" ht="20.100000000000001" customHeight="1">
      <c r="A35" s="312" t="s">
        <v>133</v>
      </c>
      <c r="B35" s="143">
        <v>3280</v>
      </c>
      <c r="C35" s="161"/>
      <c r="D35" s="161"/>
      <c r="E35" s="161"/>
      <c r="F35" s="161"/>
      <c r="G35" s="161"/>
      <c r="H35" s="161"/>
      <c r="I35" s="161"/>
    </row>
    <row r="36" spans="1:10" ht="37.5">
      <c r="A36" s="312" t="s">
        <v>134</v>
      </c>
      <c r="B36" s="143">
        <v>3290</v>
      </c>
      <c r="C36" s="161"/>
      <c r="D36" s="161">
        <f>SUM(D37:D40)</f>
        <v>8550</v>
      </c>
      <c r="E36" s="161">
        <f>SUM(E37:E40)</f>
        <v>9915</v>
      </c>
      <c r="F36" s="161">
        <f>SUM(F37:F40)</f>
        <v>0</v>
      </c>
      <c r="G36" s="161">
        <f t="shared" ref="G36:I36" si="4">SUM(G37:G40)</f>
        <v>0</v>
      </c>
      <c r="H36" s="161">
        <f t="shared" si="4"/>
        <v>0</v>
      </c>
      <c r="I36" s="161">
        <f t="shared" si="4"/>
        <v>0</v>
      </c>
    </row>
    <row r="37" spans="1:10" ht="93.75">
      <c r="A37" s="338" t="s">
        <v>479</v>
      </c>
      <c r="B37" s="143" t="s">
        <v>480</v>
      </c>
      <c r="C37" s="161"/>
      <c r="D37" s="161">
        <v>700</v>
      </c>
      <c r="E37" s="161">
        <v>693</v>
      </c>
      <c r="F37" s="161"/>
      <c r="G37" s="161"/>
      <c r="H37" s="161"/>
      <c r="I37" s="161"/>
      <c r="J37" s="1">
        <v>9</v>
      </c>
    </row>
    <row r="38" spans="1:10" ht="75.75" customHeight="1">
      <c r="A38" s="312" t="s">
        <v>478</v>
      </c>
      <c r="B38" s="143" t="s">
        <v>481</v>
      </c>
      <c r="C38" s="161"/>
      <c r="D38" s="161"/>
      <c r="E38" s="161">
        <v>1512</v>
      </c>
      <c r="F38" s="161"/>
      <c r="G38" s="161"/>
      <c r="H38" s="161"/>
      <c r="I38" s="161"/>
      <c r="J38" s="1">
        <v>10</v>
      </c>
    </row>
    <row r="39" spans="1:10" ht="112.5">
      <c r="A39" s="312" t="s">
        <v>483</v>
      </c>
      <c r="B39" s="143" t="s">
        <v>482</v>
      </c>
      <c r="C39" s="161"/>
      <c r="D39" s="161">
        <v>3750</v>
      </c>
      <c r="E39" s="161">
        <v>3700</v>
      </c>
      <c r="F39" s="161"/>
      <c r="G39" s="161"/>
      <c r="H39" s="161"/>
      <c r="I39" s="161"/>
      <c r="J39" s="1">
        <v>11</v>
      </c>
    </row>
    <row r="40" spans="1:10" ht="112.5">
      <c r="A40" s="338" t="s">
        <v>562</v>
      </c>
      <c r="B40" s="143" t="s">
        <v>484</v>
      </c>
      <c r="C40" s="161"/>
      <c r="D40" s="161">
        <v>4100</v>
      </c>
      <c r="E40" s="161">
        <v>4010</v>
      </c>
      <c r="F40" s="161"/>
      <c r="G40" s="161"/>
      <c r="H40" s="161"/>
      <c r="I40" s="161"/>
      <c r="J40" s="1">
        <v>13</v>
      </c>
    </row>
    <row r="41" spans="1:10" ht="20.100000000000001" customHeight="1">
      <c r="A41" s="312" t="s">
        <v>56</v>
      </c>
      <c r="B41" s="143">
        <v>3300</v>
      </c>
      <c r="C41" s="161"/>
      <c r="D41" s="161"/>
      <c r="E41" s="161"/>
      <c r="F41" s="161"/>
      <c r="G41" s="161"/>
      <c r="H41" s="161"/>
      <c r="I41" s="161"/>
    </row>
    <row r="42" spans="1:10" ht="20.100000000000001" customHeight="1">
      <c r="A42" s="312" t="s">
        <v>126</v>
      </c>
      <c r="B42" s="143">
        <v>3310</v>
      </c>
      <c r="C42" s="161"/>
      <c r="D42" s="161">
        <f>SUM(D43:D45)</f>
        <v>1000</v>
      </c>
      <c r="E42" s="161">
        <f t="shared" ref="E42:I42" si="5">SUM(E43:E45)</f>
        <v>9</v>
      </c>
      <c r="F42" s="161">
        <f t="shared" si="5"/>
        <v>2500</v>
      </c>
      <c r="G42" s="161">
        <f t="shared" si="5"/>
        <v>3500</v>
      </c>
      <c r="H42" s="161">
        <f t="shared" si="5"/>
        <v>5000</v>
      </c>
      <c r="I42" s="161">
        <f t="shared" si="5"/>
        <v>5000</v>
      </c>
    </row>
    <row r="43" spans="1:10" ht="53.25" customHeight="1">
      <c r="A43" s="312" t="s">
        <v>512</v>
      </c>
      <c r="B43" s="143" t="s">
        <v>486</v>
      </c>
      <c r="C43" s="161"/>
      <c r="D43" s="161"/>
      <c r="E43" s="161"/>
      <c r="F43" s="161">
        <v>2500</v>
      </c>
      <c r="G43" s="161">
        <v>3500</v>
      </c>
      <c r="H43" s="161">
        <v>5000</v>
      </c>
      <c r="I43" s="161">
        <v>5000</v>
      </c>
    </row>
    <row r="44" spans="1:10" ht="53.25" customHeight="1">
      <c r="A44" s="312" t="s">
        <v>485</v>
      </c>
      <c r="B44" s="143" t="s">
        <v>561</v>
      </c>
      <c r="C44" s="279"/>
      <c r="D44" s="279">
        <v>1000</v>
      </c>
      <c r="E44" s="279"/>
      <c r="F44" s="279"/>
      <c r="G44" s="279"/>
      <c r="H44" s="279"/>
      <c r="I44" s="279"/>
    </row>
    <row r="45" spans="1:10" ht="53.25" customHeight="1">
      <c r="A45" s="312" t="s">
        <v>576</v>
      </c>
      <c r="B45" s="143" t="s">
        <v>575</v>
      </c>
      <c r="C45" s="279"/>
      <c r="D45" s="279"/>
      <c r="E45" s="279">
        <v>9</v>
      </c>
      <c r="F45" s="279"/>
      <c r="G45" s="279"/>
      <c r="H45" s="279"/>
      <c r="I45" s="279"/>
    </row>
    <row r="46" spans="1:10" ht="37.5">
      <c r="A46" s="159" t="s">
        <v>174</v>
      </c>
      <c r="B46" s="185">
        <v>3320</v>
      </c>
      <c r="C46" s="336">
        <f t="shared" ref="C46:I46" si="6">(C22+C23+C24+C26+C27+C28+C29)-(C31+C35+C36+C41+C42)</f>
        <v>0</v>
      </c>
      <c r="D46" s="336">
        <f t="shared" si="6"/>
        <v>-34052</v>
      </c>
      <c r="E46" s="336">
        <f>(E22+E23+E24+E26+E27+E28+E29)-(E31+E35+E36+E41+E42)</f>
        <v>-32915</v>
      </c>
      <c r="F46" s="336">
        <f t="shared" si="6"/>
        <v>-16383</v>
      </c>
      <c r="G46" s="336">
        <f t="shared" si="6"/>
        <v>-29890</v>
      </c>
      <c r="H46" s="336">
        <f t="shared" si="6"/>
        <v>-43391</v>
      </c>
      <c r="I46" s="336">
        <f t="shared" si="6"/>
        <v>-45384</v>
      </c>
    </row>
    <row r="47" spans="1:10" ht="20.100000000000001" customHeight="1">
      <c r="A47" s="404" t="s">
        <v>175</v>
      </c>
      <c r="B47" s="405"/>
      <c r="C47" s="405"/>
      <c r="D47" s="405"/>
      <c r="E47" s="405"/>
      <c r="F47" s="405"/>
      <c r="G47" s="405"/>
      <c r="H47" s="405"/>
      <c r="I47" s="406"/>
    </row>
    <row r="48" spans="1:10" ht="20.100000000000001" customHeight="1">
      <c r="A48" s="159" t="s">
        <v>287</v>
      </c>
      <c r="B48" s="143"/>
      <c r="C48" s="161"/>
      <c r="D48" s="161"/>
      <c r="E48" s="161"/>
      <c r="F48" s="161"/>
      <c r="G48" s="161"/>
      <c r="H48" s="161"/>
      <c r="I48" s="161"/>
    </row>
    <row r="49" spans="1:11" ht="20.100000000000001" customHeight="1">
      <c r="A49" s="157" t="s">
        <v>181</v>
      </c>
      <c r="B49" s="143">
        <v>3400</v>
      </c>
      <c r="C49" s="161"/>
      <c r="D49" s="161"/>
      <c r="E49" s="161"/>
      <c r="F49" s="161"/>
      <c r="G49" s="161"/>
      <c r="H49" s="161"/>
      <c r="I49" s="161"/>
    </row>
    <row r="50" spans="1:11" ht="37.5">
      <c r="A50" s="312" t="s">
        <v>99</v>
      </c>
      <c r="B50" s="126"/>
      <c r="C50" s="161"/>
      <c r="D50" s="161"/>
      <c r="E50" s="161"/>
      <c r="F50" s="161"/>
      <c r="G50" s="161"/>
      <c r="H50" s="161"/>
      <c r="I50" s="161"/>
    </row>
    <row r="51" spans="1:11" ht="20.100000000000001" customHeight="1">
      <c r="A51" s="312" t="s">
        <v>98</v>
      </c>
      <c r="B51" s="143">
        <v>3410</v>
      </c>
      <c r="C51" s="161"/>
      <c r="D51" s="161"/>
      <c r="E51" s="161"/>
      <c r="F51" s="161"/>
      <c r="G51" s="161"/>
      <c r="H51" s="161"/>
      <c r="I51" s="161"/>
    </row>
    <row r="52" spans="1:11" ht="20.100000000000001" customHeight="1">
      <c r="A52" s="312" t="s">
        <v>103</v>
      </c>
      <c r="B52" s="314">
        <v>3420</v>
      </c>
      <c r="C52" s="161"/>
      <c r="D52" s="161"/>
      <c r="E52" s="161"/>
      <c r="F52" s="161"/>
      <c r="G52" s="161"/>
      <c r="H52" s="161"/>
      <c r="I52" s="161"/>
    </row>
    <row r="53" spans="1:11" ht="20.100000000000001" customHeight="1">
      <c r="A53" s="312" t="s">
        <v>135</v>
      </c>
      <c r="B53" s="143">
        <v>3430</v>
      </c>
      <c r="C53" s="161"/>
      <c r="D53" s="161"/>
      <c r="E53" s="161"/>
      <c r="F53" s="161"/>
      <c r="G53" s="161"/>
      <c r="H53" s="161"/>
      <c r="I53" s="161"/>
    </row>
    <row r="54" spans="1:11" ht="37.5">
      <c r="A54" s="312" t="s">
        <v>101</v>
      </c>
      <c r="B54" s="143"/>
      <c r="C54" s="161"/>
      <c r="D54" s="161"/>
      <c r="E54" s="161"/>
      <c r="F54" s="161"/>
      <c r="G54" s="161"/>
      <c r="H54" s="161"/>
      <c r="I54" s="161"/>
    </row>
    <row r="55" spans="1:11" ht="20.100000000000001" customHeight="1">
      <c r="A55" s="312" t="s">
        <v>98</v>
      </c>
      <c r="B55" s="314">
        <v>3440</v>
      </c>
      <c r="C55" s="161"/>
      <c r="D55" s="161"/>
      <c r="E55" s="161"/>
      <c r="F55" s="161"/>
      <c r="G55" s="161"/>
      <c r="H55" s="161"/>
      <c r="I55" s="161"/>
    </row>
    <row r="56" spans="1:11" ht="20.100000000000001" customHeight="1">
      <c r="A56" s="312" t="s">
        <v>103</v>
      </c>
      <c r="B56" s="314">
        <v>3450</v>
      </c>
      <c r="C56" s="161"/>
      <c r="D56" s="161"/>
      <c r="E56" s="161"/>
      <c r="F56" s="161"/>
      <c r="G56" s="161"/>
      <c r="H56" s="161"/>
      <c r="I56" s="161"/>
    </row>
    <row r="57" spans="1:11" ht="20.100000000000001" customHeight="1">
      <c r="A57" s="312" t="s">
        <v>135</v>
      </c>
      <c r="B57" s="314">
        <v>3460</v>
      </c>
      <c r="C57" s="161"/>
      <c r="D57" s="161"/>
      <c r="E57" s="161"/>
      <c r="F57" s="161"/>
      <c r="G57" s="161"/>
      <c r="H57" s="161"/>
      <c r="I57" s="161"/>
    </row>
    <row r="58" spans="1:11" ht="20.100000000000001" customHeight="1">
      <c r="A58" s="312" t="s">
        <v>130</v>
      </c>
      <c r="B58" s="314">
        <v>3470</v>
      </c>
      <c r="C58" s="161"/>
      <c r="D58" s="161"/>
      <c r="E58" s="161"/>
      <c r="F58" s="161"/>
      <c r="G58" s="161"/>
      <c r="H58" s="161"/>
      <c r="I58" s="161"/>
    </row>
    <row r="59" spans="1:11" ht="38.25" customHeight="1">
      <c r="A59" s="312" t="s">
        <v>423</v>
      </c>
      <c r="B59" s="314" t="s">
        <v>424</v>
      </c>
      <c r="C59" s="161"/>
      <c r="D59" s="161"/>
      <c r="E59" s="161"/>
      <c r="F59" s="161"/>
      <c r="G59" s="161"/>
      <c r="H59" s="161"/>
      <c r="I59" s="161"/>
    </row>
    <row r="60" spans="1:11" ht="20.100000000000001" customHeight="1">
      <c r="A60" s="312" t="s">
        <v>131</v>
      </c>
      <c r="B60" s="314">
        <v>3480</v>
      </c>
      <c r="C60" s="161">
        <f>C61</f>
        <v>32000</v>
      </c>
      <c r="D60" s="161">
        <f>D61</f>
        <v>5000</v>
      </c>
      <c r="E60" s="161">
        <f>E61</f>
        <v>7500</v>
      </c>
      <c r="F60" s="161">
        <f>F61</f>
        <v>14483</v>
      </c>
      <c r="G60" s="161">
        <f>G61</f>
        <v>28965</v>
      </c>
      <c r="H60" s="161">
        <f t="shared" ref="H60:I60" si="7">H61</f>
        <v>43447</v>
      </c>
      <c r="I60" s="161">
        <f t="shared" si="7"/>
        <v>46484</v>
      </c>
    </row>
    <row r="61" spans="1:11" ht="37.5">
      <c r="A61" s="312" t="s">
        <v>401</v>
      </c>
      <c r="B61" s="314" t="s">
        <v>400</v>
      </c>
      <c r="C61" s="161">
        <v>32000</v>
      </c>
      <c r="D61" s="161">
        <v>5000</v>
      </c>
      <c r="E61" s="161">
        <v>7500</v>
      </c>
      <c r="F61" s="161">
        <v>14483</v>
      </c>
      <c r="G61" s="161">
        <v>28965</v>
      </c>
      <c r="H61" s="161">
        <v>43447</v>
      </c>
      <c r="I61" s="161">
        <v>46484</v>
      </c>
      <c r="K61" s="1">
        <v>2500</v>
      </c>
    </row>
    <row r="62" spans="1:11" ht="20.100000000000001" customHeight="1">
      <c r="A62" s="159" t="s">
        <v>288</v>
      </c>
      <c r="B62" s="143"/>
      <c r="C62" s="161"/>
      <c r="D62" s="161"/>
      <c r="E62" s="161"/>
      <c r="F62" s="161"/>
      <c r="G62" s="161"/>
      <c r="H62" s="161"/>
      <c r="I62" s="161"/>
    </row>
    <row r="63" spans="1:11" ht="37.5">
      <c r="A63" s="312" t="s">
        <v>374</v>
      </c>
      <c r="B63" s="143">
        <v>3490</v>
      </c>
      <c r="C63" s="162">
        <f>'ІІ. Розр. з бюджетом'!C9</f>
        <v>0</v>
      </c>
      <c r="D63" s="162">
        <f>'ІІ. Розр. з бюджетом'!D9</f>
        <v>0</v>
      </c>
      <c r="E63" s="162">
        <f>'ІІ. Розр. з бюджетом'!E9</f>
        <v>0</v>
      </c>
      <c r="F63" s="162">
        <f>'ІІ. Розр. з бюджетом'!F9</f>
        <v>0</v>
      </c>
      <c r="G63" s="162">
        <f>'ІІ. Розр. з бюджетом'!G9</f>
        <v>0</v>
      </c>
      <c r="H63" s="162">
        <f>'ІІ. Розр. з бюджетом'!H9</f>
        <v>0</v>
      </c>
      <c r="I63" s="162">
        <f>'ІІ. Розр. з бюджетом'!I9</f>
        <v>0</v>
      </c>
    </row>
    <row r="64" spans="1:11" ht="112.5">
      <c r="A64" s="312" t="s">
        <v>375</v>
      </c>
      <c r="B64" s="143">
        <v>3500</v>
      </c>
      <c r="C64" s="162">
        <f>'ІІ. Розр. з бюджетом'!C10</f>
        <v>0</v>
      </c>
      <c r="D64" s="162">
        <f>'ІІ. Розр. з бюджетом'!D10</f>
        <v>0</v>
      </c>
      <c r="E64" s="162">
        <f>'ІІ. Розр. з бюджетом'!E10</f>
        <v>0</v>
      </c>
      <c r="F64" s="162">
        <f>'ІІ. Розр. з бюджетом'!F10</f>
        <v>0</v>
      </c>
      <c r="G64" s="162">
        <f>'ІІ. Розр. з бюджетом'!G10</f>
        <v>0</v>
      </c>
      <c r="H64" s="162">
        <f>'ІІ. Розр. з бюджетом'!H10</f>
        <v>0</v>
      </c>
      <c r="I64" s="162">
        <f>'ІІ. Розр. з бюджетом'!I10</f>
        <v>0</v>
      </c>
    </row>
    <row r="65" spans="1:9" ht="37.5">
      <c r="A65" s="312" t="s">
        <v>102</v>
      </c>
      <c r="B65" s="143"/>
      <c r="C65" s="161"/>
      <c r="D65" s="161"/>
      <c r="E65" s="161"/>
      <c r="F65" s="161"/>
      <c r="G65" s="161"/>
      <c r="H65" s="161"/>
      <c r="I65" s="161"/>
    </row>
    <row r="66" spans="1:9" ht="20.100000000000001" customHeight="1">
      <c r="A66" s="312" t="s">
        <v>98</v>
      </c>
      <c r="B66" s="314">
        <v>3510</v>
      </c>
      <c r="C66" s="161"/>
      <c r="D66" s="161"/>
      <c r="E66" s="161"/>
      <c r="F66" s="161"/>
      <c r="G66" s="161"/>
      <c r="H66" s="161"/>
      <c r="I66" s="161"/>
    </row>
    <row r="67" spans="1:9" ht="20.100000000000001" customHeight="1">
      <c r="A67" s="312" t="s">
        <v>103</v>
      </c>
      <c r="B67" s="314">
        <v>3520</v>
      </c>
      <c r="C67" s="161"/>
      <c r="D67" s="161"/>
      <c r="E67" s="161"/>
      <c r="F67" s="161"/>
      <c r="G67" s="161"/>
      <c r="H67" s="161"/>
      <c r="I67" s="161"/>
    </row>
    <row r="68" spans="1:9" ht="20.100000000000001" customHeight="1">
      <c r="A68" s="312" t="s">
        <v>135</v>
      </c>
      <c r="B68" s="314">
        <v>3530</v>
      </c>
      <c r="C68" s="161"/>
      <c r="D68" s="161"/>
      <c r="E68" s="161"/>
      <c r="F68" s="161"/>
      <c r="G68" s="161"/>
      <c r="H68" s="161"/>
      <c r="I68" s="161"/>
    </row>
    <row r="69" spans="1:9" ht="37.5">
      <c r="A69" s="312" t="s">
        <v>100</v>
      </c>
      <c r="B69" s="143"/>
      <c r="C69" s="161"/>
      <c r="D69" s="161"/>
      <c r="E69" s="161"/>
      <c r="F69" s="161"/>
      <c r="G69" s="161"/>
      <c r="H69" s="161"/>
      <c r="I69" s="161"/>
    </row>
    <row r="70" spans="1:9" ht="20.100000000000001" customHeight="1">
      <c r="A70" s="312" t="s">
        <v>98</v>
      </c>
      <c r="B70" s="314">
        <v>3540</v>
      </c>
      <c r="C70" s="161"/>
      <c r="D70" s="161"/>
      <c r="E70" s="161"/>
      <c r="F70" s="161"/>
      <c r="G70" s="161"/>
      <c r="H70" s="161"/>
      <c r="I70" s="161"/>
    </row>
    <row r="71" spans="1:9" ht="20.100000000000001" customHeight="1">
      <c r="A71" s="312" t="s">
        <v>103</v>
      </c>
      <c r="B71" s="314">
        <v>3550</v>
      </c>
      <c r="C71" s="161"/>
      <c r="D71" s="161"/>
      <c r="E71" s="161"/>
      <c r="F71" s="161"/>
      <c r="G71" s="161"/>
      <c r="H71" s="161"/>
      <c r="I71" s="161"/>
    </row>
    <row r="72" spans="1:9" ht="20.100000000000001" customHeight="1">
      <c r="A72" s="312" t="s">
        <v>135</v>
      </c>
      <c r="B72" s="314">
        <v>3560</v>
      </c>
      <c r="C72" s="161"/>
      <c r="D72" s="161"/>
      <c r="E72" s="161"/>
      <c r="F72" s="161"/>
      <c r="G72" s="161"/>
      <c r="H72" s="161"/>
      <c r="I72" s="161"/>
    </row>
    <row r="73" spans="1:9" ht="20.100000000000001" customHeight="1">
      <c r="A73" s="312" t="s">
        <v>126</v>
      </c>
      <c r="B73" s="314">
        <v>3570</v>
      </c>
      <c r="C73" s="161"/>
      <c r="D73" s="161"/>
      <c r="E73" s="161"/>
      <c r="F73" s="161"/>
      <c r="G73" s="161"/>
      <c r="H73" s="161"/>
      <c r="I73" s="161"/>
    </row>
    <row r="74" spans="1:9" ht="37.5">
      <c r="A74" s="53" t="s">
        <v>176</v>
      </c>
      <c r="B74" s="86">
        <v>3580</v>
      </c>
      <c r="C74" s="336">
        <f t="shared" ref="C74:I74" si="8">(C49+C51+C52+C53+C55+C56+C57+C58+C60)-(C63+C64+C66+C67+C68+C70+C71+C72+C73)</f>
        <v>32000</v>
      </c>
      <c r="D74" s="336">
        <f t="shared" si="8"/>
        <v>5000</v>
      </c>
      <c r="E74" s="336">
        <f>(E49+E51+E52+E53+E55+E56+E57+E58+E60)-(E63+E64+E66+E67+E68+E70+E71+E72+E73)</f>
        <v>7500</v>
      </c>
      <c r="F74" s="336">
        <f t="shared" si="8"/>
        <v>14483</v>
      </c>
      <c r="G74" s="336">
        <f t="shared" si="8"/>
        <v>28965</v>
      </c>
      <c r="H74" s="336">
        <f t="shared" si="8"/>
        <v>43447</v>
      </c>
      <c r="I74" s="336">
        <f t="shared" si="8"/>
        <v>46484</v>
      </c>
    </row>
    <row r="75" spans="1:9" s="12" customFormat="1" ht="20.100000000000001" customHeight="1">
      <c r="A75" s="8" t="s">
        <v>34</v>
      </c>
      <c r="B75" s="308"/>
      <c r="C75" s="162"/>
      <c r="D75" s="162"/>
      <c r="E75" s="162"/>
      <c r="F75" s="162"/>
      <c r="G75" s="162"/>
      <c r="H75" s="162"/>
      <c r="I75" s="162"/>
    </row>
    <row r="76" spans="1:9" s="12" customFormat="1" ht="20.100000000000001" customHeight="1">
      <c r="A76" s="9" t="s">
        <v>35</v>
      </c>
      <c r="B76" s="308">
        <v>3600</v>
      </c>
      <c r="C76" s="161">
        <v>0</v>
      </c>
      <c r="D76" s="161">
        <v>32000</v>
      </c>
      <c r="E76" s="162">
        <v>32000</v>
      </c>
      <c r="F76" s="162">
        <f>E78</f>
        <v>2918</v>
      </c>
      <c r="G76" s="162">
        <f>E78</f>
        <v>2918</v>
      </c>
      <c r="H76" s="162">
        <f>E78</f>
        <v>2918</v>
      </c>
      <c r="I76" s="162">
        <f>E78</f>
        <v>2918</v>
      </c>
    </row>
    <row r="77" spans="1:9" s="12" customFormat="1" ht="37.5">
      <c r="A77" s="312" t="s">
        <v>185</v>
      </c>
      <c r="B77" s="308">
        <v>3610</v>
      </c>
      <c r="C77" s="161"/>
      <c r="D77" s="161"/>
      <c r="E77" s="161"/>
      <c r="F77" s="161"/>
      <c r="G77" s="161"/>
      <c r="H77" s="161"/>
      <c r="I77" s="161"/>
    </row>
    <row r="78" spans="1:9" s="12" customFormat="1" ht="20.100000000000001" customHeight="1">
      <c r="A78" s="9" t="s">
        <v>57</v>
      </c>
      <c r="B78" s="308">
        <v>3620</v>
      </c>
      <c r="C78" s="336">
        <f>C76+C19+C46+C74</f>
        <v>32000</v>
      </c>
      <c r="D78" s="336">
        <f>D76+D19+D46+D74</f>
        <v>6</v>
      </c>
      <c r="E78" s="336">
        <f>E76+E19+E46+E74</f>
        <v>2918</v>
      </c>
      <c r="F78" s="336">
        <f>F76+F61+F46+F19</f>
        <v>31</v>
      </c>
      <c r="G78" s="336">
        <f>G76+G61+G46+G19</f>
        <v>51</v>
      </c>
      <c r="H78" s="336">
        <f>H76+H61+H46+H19</f>
        <v>15</v>
      </c>
      <c r="I78" s="336">
        <f>I76+I61+I46+I19</f>
        <v>18</v>
      </c>
    </row>
    <row r="79" spans="1:9" s="12" customFormat="1" ht="20.100000000000001" customHeight="1">
      <c r="A79" s="9" t="s">
        <v>36</v>
      </c>
      <c r="B79" s="308">
        <v>3630</v>
      </c>
      <c r="C79" s="336">
        <v>0</v>
      </c>
      <c r="D79" s="336">
        <f>SUM(D19,D46,D74)</f>
        <v>-31994</v>
      </c>
      <c r="E79" s="336">
        <f>SUM(E19,E46,E74)</f>
        <v>-29082</v>
      </c>
      <c r="F79" s="336">
        <f>-F46-F19</f>
        <v>17370</v>
      </c>
      <c r="G79" s="336">
        <f>-G46-G19</f>
        <v>31832</v>
      </c>
      <c r="H79" s="336">
        <f>-H46-H19</f>
        <v>46350</v>
      </c>
      <c r="I79" s="336">
        <f>-I46-I19</f>
        <v>49384</v>
      </c>
    </row>
    <row r="80" spans="1:9" s="12" customFormat="1" ht="20.100000000000001" customHeight="1">
      <c r="A80" s="126"/>
      <c r="B80" s="132"/>
      <c r="C80" s="133"/>
      <c r="D80" s="134"/>
      <c r="E80" s="134"/>
      <c r="F80" s="134"/>
      <c r="G80" s="134"/>
      <c r="H80" s="134"/>
      <c r="I80" s="134"/>
    </row>
    <row r="81" spans="1:9" s="12" customFormat="1" ht="20.100000000000001" customHeight="1">
      <c r="A81" s="126"/>
      <c r="B81" s="132"/>
      <c r="C81" s="133"/>
      <c r="D81" s="134"/>
      <c r="E81" s="134"/>
      <c r="F81" s="134"/>
      <c r="G81" s="134"/>
      <c r="H81" s="134"/>
      <c r="I81" s="134"/>
    </row>
    <row r="82" spans="1:9" s="12" customFormat="1" ht="20.100000000000001" customHeight="1">
      <c r="A82" s="126"/>
      <c r="B82" s="132"/>
      <c r="C82" s="133"/>
      <c r="D82" s="134"/>
      <c r="E82" s="134"/>
      <c r="F82" s="134"/>
      <c r="G82" s="134"/>
      <c r="H82" s="134"/>
      <c r="I82" s="134"/>
    </row>
    <row r="83" spans="1:9" s="310" customFormat="1">
      <c r="A83" s="118" t="s">
        <v>600</v>
      </c>
      <c r="B83" s="119"/>
      <c r="C83" s="369" t="s">
        <v>418</v>
      </c>
      <c r="D83" s="370"/>
      <c r="E83" s="370"/>
      <c r="F83" s="120"/>
      <c r="G83" s="408" t="s">
        <v>463</v>
      </c>
      <c r="H83" s="408"/>
      <c r="I83" s="408"/>
    </row>
    <row r="84" spans="1:9" ht="20.100000000000001" customHeight="1">
      <c r="A84" s="305" t="s">
        <v>385</v>
      </c>
      <c r="B84" s="303"/>
      <c r="C84" s="371" t="s">
        <v>83</v>
      </c>
      <c r="D84" s="371"/>
      <c r="E84" s="371"/>
      <c r="F84" s="306"/>
      <c r="G84" s="372" t="s">
        <v>114</v>
      </c>
      <c r="H84" s="372"/>
      <c r="I84" s="372"/>
    </row>
    <row r="85" spans="1:9">
      <c r="C85" s="4"/>
    </row>
    <row r="86" spans="1:9">
      <c r="C86" s="4"/>
    </row>
    <row r="87" spans="1:9">
      <c r="C87" s="4"/>
    </row>
    <row r="88" spans="1:9">
      <c r="C88" s="4"/>
    </row>
    <row r="89" spans="1:9">
      <c r="C89" s="4"/>
    </row>
    <row r="90" spans="1:9">
      <c r="C90" s="4"/>
    </row>
    <row r="91" spans="1:9">
      <c r="C91" s="4"/>
    </row>
    <row r="92" spans="1:9">
      <c r="C92" s="4"/>
    </row>
    <row r="93" spans="1:9">
      <c r="C93" s="4"/>
    </row>
    <row r="94" spans="1:9">
      <c r="C94" s="4"/>
    </row>
    <row r="95" spans="1:9">
      <c r="C95" s="4"/>
    </row>
    <row r="96" spans="1:9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  <row r="112" spans="3:3">
      <c r="C112" s="4"/>
    </row>
    <row r="113" spans="3:3">
      <c r="C113" s="4"/>
    </row>
  </sheetData>
  <sheetProtection formatCells="0" formatColumns="0" formatRows="0" insertRows="0"/>
  <mergeCells count="14">
    <mergeCell ref="C83:E83"/>
    <mergeCell ref="G83:I83"/>
    <mergeCell ref="C84:E84"/>
    <mergeCell ref="G84:I84"/>
    <mergeCell ref="A20:I20"/>
    <mergeCell ref="A6:I6"/>
    <mergeCell ref="A47:I47"/>
    <mergeCell ref="A1:I1"/>
    <mergeCell ref="A3:A4"/>
    <mergeCell ref="B3:B4"/>
    <mergeCell ref="C3:C4"/>
    <mergeCell ref="D3:D4"/>
    <mergeCell ref="E3:E4"/>
    <mergeCell ref="F3:I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3" orientation="portrait" horizontalDpi="4294967293" r:id="rId1"/>
  <headerFooter alignWithMargins="0"/>
  <rowBreaks count="2" manualBreakCount="2">
    <brk id="35" max="8" man="1"/>
    <brk id="6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P182"/>
  <sheetViews>
    <sheetView view="pageBreakPreview" zoomScale="80" zoomScaleNormal="75" zoomScaleSheetLayoutView="80" workbookViewId="0">
      <selection activeCell="I11" sqref="I11"/>
    </sheetView>
  </sheetViews>
  <sheetFormatPr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373" t="s">
        <v>230</v>
      </c>
      <c r="B1" s="373"/>
      <c r="C1" s="373"/>
      <c r="D1" s="373"/>
      <c r="E1" s="373"/>
      <c r="F1" s="373"/>
      <c r="G1" s="373"/>
      <c r="H1" s="373"/>
      <c r="I1" s="373"/>
    </row>
    <row r="2" spans="1:16">
      <c r="A2" s="416"/>
      <c r="B2" s="416"/>
      <c r="C2" s="416"/>
      <c r="D2" s="416"/>
      <c r="E2" s="416"/>
      <c r="F2" s="416"/>
      <c r="G2" s="416"/>
      <c r="H2" s="416"/>
      <c r="I2" s="416"/>
    </row>
    <row r="3" spans="1:16" ht="43.5" customHeight="1">
      <c r="A3" s="410" t="s">
        <v>271</v>
      </c>
      <c r="B3" s="413" t="s">
        <v>18</v>
      </c>
      <c r="C3" s="413" t="s">
        <v>31</v>
      </c>
      <c r="D3" s="413" t="s">
        <v>39</v>
      </c>
      <c r="E3" s="412" t="s">
        <v>182</v>
      </c>
      <c r="F3" s="413" t="s">
        <v>368</v>
      </c>
      <c r="G3" s="413"/>
      <c r="H3" s="413"/>
      <c r="I3" s="413"/>
    </row>
    <row r="4" spans="1:16" ht="56.25" customHeight="1">
      <c r="A4" s="410"/>
      <c r="B4" s="413"/>
      <c r="C4" s="413"/>
      <c r="D4" s="413"/>
      <c r="E4" s="412"/>
      <c r="F4" s="11" t="s">
        <v>377</v>
      </c>
      <c r="G4" s="11" t="s">
        <v>370</v>
      </c>
      <c r="H4" s="11" t="s">
        <v>371</v>
      </c>
      <c r="I4" s="11" t="s">
        <v>85</v>
      </c>
    </row>
    <row r="5" spans="1:16" ht="18" customHeight="1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342" customFormat="1" ht="42.75" customHeight="1">
      <c r="A6" s="8" t="s">
        <v>87</v>
      </c>
      <c r="B6" s="70">
        <v>4000</v>
      </c>
      <c r="C6" s="162">
        <f t="shared" ref="C6:I6" si="0">SUM(C7:C11)</f>
        <v>0</v>
      </c>
      <c r="D6" s="162">
        <f t="shared" si="0"/>
        <v>28376</v>
      </c>
      <c r="E6" s="162">
        <f t="shared" si="0"/>
        <v>32915</v>
      </c>
      <c r="F6" s="162">
        <f t="shared" si="0"/>
        <v>16383</v>
      </c>
      <c r="G6" s="162">
        <f t="shared" si="0"/>
        <v>29890</v>
      </c>
      <c r="H6" s="162">
        <f t="shared" si="0"/>
        <v>43391</v>
      </c>
      <c r="I6" s="162">
        <f t="shared" si="0"/>
        <v>45384</v>
      </c>
    </row>
    <row r="7" spans="1:16" ht="20.100000000000001" customHeight="1">
      <c r="A7" s="8" t="s">
        <v>1</v>
      </c>
      <c r="B7" s="71" t="s">
        <v>239</v>
      </c>
      <c r="C7" s="161"/>
      <c r="D7" s="161"/>
      <c r="E7" s="161"/>
      <c r="F7" s="161"/>
      <c r="G7" s="161"/>
      <c r="H7" s="161"/>
      <c r="I7" s="161"/>
    </row>
    <row r="8" spans="1:16" ht="37.5">
      <c r="A8" s="8" t="s">
        <v>2</v>
      </c>
      <c r="B8" s="70">
        <v>4020</v>
      </c>
      <c r="C8" s="161"/>
      <c r="D8" s="190">
        <v>20418</v>
      </c>
      <c r="E8" s="190">
        <f>'ІІІ. Рух грош. коштів'!E31</f>
        <v>22991</v>
      </c>
      <c r="F8" s="190">
        <f>'ІІІ. Рух грош. коштів'!F31</f>
        <v>13883</v>
      </c>
      <c r="G8" s="190">
        <f>'ІІІ. Рух грош. коштів'!G31</f>
        <v>26390</v>
      </c>
      <c r="H8" s="190">
        <f>'ІІІ. Рух грош. коштів'!H31</f>
        <v>38391</v>
      </c>
      <c r="I8" s="190">
        <f>'ІІІ. Рух грош. коштів'!I31</f>
        <v>40384</v>
      </c>
      <c r="P8" s="18"/>
    </row>
    <row r="9" spans="1:16" ht="37.5">
      <c r="A9" s="8" t="s">
        <v>30</v>
      </c>
      <c r="B9" s="71">
        <v>4030</v>
      </c>
      <c r="C9" s="161"/>
      <c r="D9" s="190"/>
      <c r="E9" s="190">
        <f>'ІІІ. Рух грош. коштів'!E42</f>
        <v>9</v>
      </c>
      <c r="F9" s="190"/>
      <c r="G9" s="190"/>
      <c r="H9" s="190"/>
      <c r="I9" s="190"/>
      <c r="O9" s="18"/>
    </row>
    <row r="10" spans="1:16" ht="37.5">
      <c r="A10" s="8" t="s">
        <v>3</v>
      </c>
      <c r="B10" s="70">
        <v>4040</v>
      </c>
      <c r="C10" s="161"/>
      <c r="D10" s="190">
        <v>7125</v>
      </c>
      <c r="E10" s="190">
        <f>'ІІІ. Рух грош. коштів'!E36</f>
        <v>9915</v>
      </c>
      <c r="F10" s="190">
        <f>'ІІІ. Рух грош. коштів'!F36</f>
        <v>0</v>
      </c>
      <c r="G10" s="190">
        <f>'ІІІ. Рух грош. коштів'!G36</f>
        <v>0</v>
      </c>
      <c r="H10" s="190">
        <f>'ІІІ. Рух грош. коштів'!H36</f>
        <v>0</v>
      </c>
      <c r="I10" s="190">
        <f>'ІІІ. Рух грош. коштів'!I36</f>
        <v>0</v>
      </c>
    </row>
    <row r="11" spans="1:16" ht="56.25">
      <c r="A11" s="8" t="s">
        <v>73</v>
      </c>
      <c r="B11" s="71">
        <v>4050</v>
      </c>
      <c r="C11" s="161"/>
      <c r="D11" s="190">
        <v>833</v>
      </c>
      <c r="E11" s="190"/>
      <c r="F11" s="190">
        <f>'ІІІ. Рух грош. коштів'!F42</f>
        <v>2500</v>
      </c>
      <c r="G11" s="190">
        <f>'ІІІ. Рух грош. коштів'!G42</f>
        <v>3500</v>
      </c>
      <c r="H11" s="190">
        <f>'ІІІ. Рух грош. коштів'!H42</f>
        <v>5000</v>
      </c>
      <c r="I11" s="190">
        <f>'ІІІ. Рух грош. коштів'!I42</f>
        <v>5000</v>
      </c>
    </row>
    <row r="12" spans="1:16" ht="20.100000000000001" customHeight="1">
      <c r="A12" s="99"/>
      <c r="B12" s="99"/>
      <c r="C12" s="99"/>
      <c r="D12" s="99"/>
      <c r="E12" s="99"/>
      <c r="F12" s="135"/>
      <c r="G12" s="135"/>
      <c r="H12" s="135"/>
      <c r="I12" s="135"/>
    </row>
    <row r="13" spans="1:16" ht="20.100000000000001" customHeight="1">
      <c r="A13" s="99"/>
      <c r="B13" s="99"/>
      <c r="C13" s="99"/>
      <c r="D13" s="99"/>
      <c r="E13" s="135"/>
      <c r="F13" s="135"/>
      <c r="G13" s="135"/>
      <c r="H13" s="135"/>
      <c r="I13" s="135"/>
    </row>
    <row r="14" spans="1:16" s="1" customFormat="1">
      <c r="A14" s="112"/>
      <c r="B14" s="126"/>
      <c r="C14" s="99"/>
      <c r="D14" s="99"/>
      <c r="E14" s="99"/>
      <c r="F14" s="99"/>
      <c r="G14" s="99"/>
      <c r="H14" s="99"/>
      <c r="I14" s="99"/>
      <c r="J14" s="2"/>
    </row>
    <row r="15" spans="1:16">
      <c r="A15" s="118" t="s">
        <v>592</v>
      </c>
      <c r="B15" s="119"/>
      <c r="C15" s="369" t="s">
        <v>118</v>
      </c>
      <c r="D15" s="370"/>
      <c r="E15" s="370"/>
      <c r="F15" s="120"/>
      <c r="G15" s="408" t="s">
        <v>462</v>
      </c>
      <c r="H15" s="408"/>
      <c r="I15" s="408"/>
    </row>
    <row r="16" spans="1:16" s="1" customFormat="1" ht="20.100000000000001" customHeight="1">
      <c r="A16" s="100" t="s">
        <v>82</v>
      </c>
      <c r="B16" s="99"/>
      <c r="C16" s="371" t="s">
        <v>83</v>
      </c>
      <c r="D16" s="371"/>
      <c r="E16" s="371"/>
      <c r="F16" s="121"/>
      <c r="G16" s="372" t="s">
        <v>114</v>
      </c>
      <c r="H16" s="372"/>
      <c r="I16" s="372"/>
    </row>
    <row r="17" spans="1:9">
      <c r="A17" s="136"/>
      <c r="B17" s="100"/>
      <c r="C17" s="100"/>
      <c r="D17" s="100"/>
      <c r="E17" s="100"/>
      <c r="F17" s="99"/>
      <c r="G17" s="99"/>
      <c r="H17" s="99"/>
      <c r="I17" s="99"/>
    </row>
    <row r="18" spans="1:9">
      <c r="A18" s="136"/>
      <c r="B18" s="100"/>
      <c r="C18" s="100"/>
      <c r="D18" s="100"/>
      <c r="E18" s="100"/>
      <c r="F18" s="99"/>
      <c r="G18" s="99"/>
      <c r="H18" s="99"/>
      <c r="I18" s="99"/>
    </row>
    <row r="19" spans="1:9">
      <c r="A19" s="46"/>
    </row>
    <row r="20" spans="1:9">
      <c r="A20" s="46"/>
    </row>
    <row r="21" spans="1:9">
      <c r="A21" s="46"/>
    </row>
    <row r="22" spans="1:9">
      <c r="A22" s="46"/>
    </row>
    <row r="23" spans="1:9">
      <c r="A23" s="46"/>
    </row>
    <row r="24" spans="1:9">
      <c r="A24" s="46"/>
    </row>
    <row r="25" spans="1:9">
      <c r="A25" s="46"/>
    </row>
    <row r="26" spans="1:9">
      <c r="A26" s="46"/>
    </row>
    <row r="27" spans="1:9">
      <c r="A27" s="46"/>
    </row>
    <row r="28" spans="1:9">
      <c r="A28" s="46"/>
    </row>
    <row r="29" spans="1:9">
      <c r="A29" s="46"/>
    </row>
    <row r="30" spans="1:9">
      <c r="A30" s="46"/>
    </row>
    <row r="31" spans="1:9">
      <c r="A31" s="46"/>
    </row>
    <row r="32" spans="1:9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6"/>
    </row>
    <row r="63" spans="1:1">
      <c r="A63" s="46"/>
    </row>
    <row r="64" spans="1:1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spans="1:1">
      <c r="A71" s="46"/>
    </row>
    <row r="72" spans="1:1">
      <c r="A72" s="46"/>
    </row>
    <row r="73" spans="1:1">
      <c r="A73" s="46"/>
    </row>
    <row r="74" spans="1:1">
      <c r="A74" s="46"/>
    </row>
    <row r="75" spans="1:1">
      <c r="A75" s="46"/>
    </row>
    <row r="76" spans="1:1">
      <c r="A76" s="46"/>
    </row>
    <row r="77" spans="1:1">
      <c r="A77" s="46"/>
    </row>
    <row r="78" spans="1:1">
      <c r="A78" s="46"/>
    </row>
    <row r="79" spans="1:1">
      <c r="A79" s="46"/>
    </row>
    <row r="80" spans="1:1">
      <c r="A80" s="46"/>
    </row>
    <row r="81" spans="1:1">
      <c r="A81" s="46"/>
    </row>
    <row r="82" spans="1:1">
      <c r="A82" s="46"/>
    </row>
    <row r="83" spans="1:1">
      <c r="A83" s="46"/>
    </row>
    <row r="84" spans="1:1">
      <c r="A84" s="46"/>
    </row>
    <row r="85" spans="1:1">
      <c r="A85" s="46"/>
    </row>
    <row r="86" spans="1:1">
      <c r="A86" s="46"/>
    </row>
    <row r="87" spans="1:1">
      <c r="A87" s="46"/>
    </row>
    <row r="88" spans="1:1">
      <c r="A88" s="46"/>
    </row>
    <row r="89" spans="1:1">
      <c r="A89" s="46"/>
    </row>
    <row r="90" spans="1:1">
      <c r="A90" s="46"/>
    </row>
    <row r="91" spans="1:1">
      <c r="A91" s="46"/>
    </row>
    <row r="92" spans="1:1">
      <c r="A92" s="46"/>
    </row>
    <row r="93" spans="1:1">
      <c r="A93" s="46"/>
    </row>
    <row r="94" spans="1:1">
      <c r="A94" s="46"/>
    </row>
    <row r="95" spans="1:1">
      <c r="A95" s="46"/>
    </row>
    <row r="96" spans="1:1">
      <c r="A96" s="46"/>
    </row>
    <row r="97" spans="1:1">
      <c r="A97" s="46"/>
    </row>
    <row r="98" spans="1:1">
      <c r="A98" s="46"/>
    </row>
    <row r="99" spans="1:1">
      <c r="A99" s="46"/>
    </row>
    <row r="100" spans="1:1">
      <c r="A100" s="46"/>
    </row>
    <row r="101" spans="1:1">
      <c r="A101" s="46"/>
    </row>
    <row r="102" spans="1:1">
      <c r="A102" s="46"/>
    </row>
    <row r="103" spans="1:1">
      <c r="A103" s="46"/>
    </row>
    <row r="104" spans="1:1">
      <c r="A104" s="46"/>
    </row>
    <row r="105" spans="1:1">
      <c r="A105" s="46"/>
    </row>
    <row r="106" spans="1:1">
      <c r="A106" s="46"/>
    </row>
    <row r="107" spans="1:1">
      <c r="A107" s="46"/>
    </row>
    <row r="108" spans="1:1">
      <c r="A108" s="46"/>
    </row>
    <row r="109" spans="1:1">
      <c r="A109" s="46"/>
    </row>
    <row r="110" spans="1:1">
      <c r="A110" s="46"/>
    </row>
    <row r="111" spans="1:1">
      <c r="A111" s="46"/>
    </row>
    <row r="112" spans="1:1">
      <c r="A112" s="46"/>
    </row>
    <row r="113" spans="1:1">
      <c r="A113" s="46"/>
    </row>
    <row r="114" spans="1:1">
      <c r="A114" s="46"/>
    </row>
    <row r="115" spans="1:1">
      <c r="A115" s="46"/>
    </row>
    <row r="116" spans="1:1">
      <c r="A116" s="46"/>
    </row>
    <row r="117" spans="1:1">
      <c r="A117" s="46"/>
    </row>
    <row r="118" spans="1:1">
      <c r="A118" s="46"/>
    </row>
    <row r="119" spans="1:1">
      <c r="A119" s="46"/>
    </row>
    <row r="120" spans="1:1">
      <c r="A120" s="46"/>
    </row>
    <row r="121" spans="1:1">
      <c r="A121" s="46"/>
    </row>
    <row r="122" spans="1:1">
      <c r="A122" s="46"/>
    </row>
    <row r="123" spans="1:1">
      <c r="A123" s="46"/>
    </row>
    <row r="124" spans="1:1">
      <c r="A124" s="46"/>
    </row>
    <row r="125" spans="1:1">
      <c r="A125" s="46"/>
    </row>
    <row r="126" spans="1:1">
      <c r="A126" s="46"/>
    </row>
    <row r="127" spans="1:1">
      <c r="A127" s="46"/>
    </row>
    <row r="128" spans="1:1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1">
      <c r="A145" s="46"/>
    </row>
    <row r="146" spans="1:1">
      <c r="A146" s="46"/>
    </row>
    <row r="147" spans="1:1">
      <c r="A147" s="46"/>
    </row>
    <row r="148" spans="1:1">
      <c r="A148" s="46"/>
    </row>
    <row r="149" spans="1:1">
      <c r="A149" s="46"/>
    </row>
    <row r="150" spans="1:1">
      <c r="A150" s="46"/>
    </row>
    <row r="151" spans="1:1">
      <c r="A151" s="46"/>
    </row>
    <row r="152" spans="1:1">
      <c r="A152" s="46"/>
    </row>
    <row r="153" spans="1:1">
      <c r="A153" s="46"/>
    </row>
    <row r="154" spans="1:1">
      <c r="A154" s="46"/>
    </row>
    <row r="155" spans="1:1">
      <c r="A155" s="46"/>
    </row>
    <row r="156" spans="1:1">
      <c r="A156" s="46"/>
    </row>
    <row r="157" spans="1:1">
      <c r="A157" s="46"/>
    </row>
    <row r="158" spans="1:1">
      <c r="A158" s="46"/>
    </row>
    <row r="159" spans="1:1">
      <c r="A159" s="46"/>
    </row>
    <row r="160" spans="1:1">
      <c r="A160" s="46"/>
    </row>
    <row r="161" spans="1:1">
      <c r="A161" s="46"/>
    </row>
    <row r="162" spans="1:1">
      <c r="A162" s="46"/>
    </row>
    <row r="163" spans="1:1">
      <c r="A163" s="46"/>
    </row>
    <row r="164" spans="1:1">
      <c r="A164" s="46"/>
    </row>
    <row r="165" spans="1:1">
      <c r="A165" s="46"/>
    </row>
    <row r="166" spans="1:1">
      <c r="A166" s="46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</sheetData>
  <sheetProtection password="C6FB" sheet="1" formatCells="0" formatColumns="0" formatRows="0"/>
  <mergeCells count="12">
    <mergeCell ref="C15:E15"/>
    <mergeCell ref="G15:I15"/>
    <mergeCell ref="C16:E16"/>
    <mergeCell ref="G16:I16"/>
    <mergeCell ref="A3:A4"/>
    <mergeCell ref="A1:I1"/>
    <mergeCell ref="B3:B4"/>
    <mergeCell ref="C3:C4"/>
    <mergeCell ref="D3:D4"/>
    <mergeCell ref="A2:I2"/>
    <mergeCell ref="F3:I3"/>
    <mergeCell ref="E3:E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0" firstPageNumber="9" orientation="portrait" useFirstPageNumber="1" horizontalDpi="4294967293" r:id="rId1"/>
  <headerFooter alignWithMargins="0"/>
  <ignoredErrors>
    <ignoredError sqref="B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J31"/>
  <sheetViews>
    <sheetView view="pageBreakPreview" zoomScale="75" zoomScaleNormal="75" zoomScaleSheetLayoutView="75" workbookViewId="0">
      <pane ySplit="5" topLeftCell="A6" activePane="bottomLeft" state="frozen"/>
      <selection pane="bottomLeft" activeCell="F22" sqref="F22"/>
    </sheetView>
  </sheetViews>
  <sheetFormatPr defaultRowHeight="12.75"/>
  <cols>
    <col min="1" max="1" width="61" style="29" customWidth="1"/>
    <col min="2" max="2" width="13.85546875" style="29" customWidth="1"/>
    <col min="3" max="3" width="17.42578125" style="29" customWidth="1"/>
    <col min="4" max="4" width="18.28515625" style="29" customWidth="1"/>
    <col min="5" max="5" width="19.7109375" style="29" customWidth="1"/>
    <col min="6" max="6" width="18.5703125" style="29" customWidth="1"/>
    <col min="7" max="7" width="18.85546875" style="29" customWidth="1"/>
    <col min="8" max="8" width="37.42578125" style="29" customWidth="1"/>
    <col min="9" max="9" width="9.5703125" style="29" customWidth="1"/>
    <col min="10" max="16384" width="9.140625" style="29"/>
  </cols>
  <sheetData>
    <row r="1" spans="1:8" ht="25.5" customHeight="1">
      <c r="A1" s="420" t="s">
        <v>232</v>
      </c>
      <c r="B1" s="420"/>
      <c r="C1" s="420"/>
      <c r="D1" s="420"/>
      <c r="E1" s="420"/>
      <c r="F1" s="420"/>
      <c r="G1" s="420"/>
      <c r="H1" s="420"/>
    </row>
    <row r="2" spans="1:8" ht="16.5" customHeight="1"/>
    <row r="3" spans="1:8" ht="45" customHeight="1">
      <c r="A3" s="421" t="s">
        <v>271</v>
      </c>
      <c r="B3" s="421" t="s">
        <v>0</v>
      </c>
      <c r="C3" s="421" t="s">
        <v>109</v>
      </c>
      <c r="D3" s="421" t="s">
        <v>31</v>
      </c>
      <c r="E3" s="421" t="s">
        <v>110</v>
      </c>
      <c r="F3" s="423" t="s">
        <v>182</v>
      </c>
      <c r="G3" s="421" t="s">
        <v>111</v>
      </c>
      <c r="H3" s="421" t="s">
        <v>112</v>
      </c>
    </row>
    <row r="4" spans="1:8" ht="52.5" customHeight="1">
      <c r="A4" s="422"/>
      <c r="B4" s="422"/>
      <c r="C4" s="422"/>
      <c r="D4" s="422"/>
      <c r="E4" s="422"/>
      <c r="F4" s="424"/>
      <c r="G4" s="422"/>
      <c r="H4" s="422"/>
    </row>
    <row r="5" spans="1:8" s="58" customFormat="1" ht="18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</row>
    <row r="6" spans="1:8" s="58" customFormat="1" ht="20.100000000000001" customHeight="1">
      <c r="A6" s="72" t="s">
        <v>204</v>
      </c>
      <c r="B6" s="57"/>
      <c r="C6" s="38"/>
      <c r="D6" s="38"/>
      <c r="E6" s="38"/>
      <c r="F6" s="38"/>
      <c r="G6" s="38"/>
      <c r="H6" s="38"/>
    </row>
    <row r="7" spans="1:8" ht="75">
      <c r="A7" s="8" t="s">
        <v>353</v>
      </c>
      <c r="B7" s="320">
        <v>5000</v>
      </c>
      <c r="C7" s="74" t="s">
        <v>340</v>
      </c>
      <c r="D7" s="164"/>
      <c r="E7" s="163"/>
      <c r="F7" s="164" t="e">
        <f>'Осн. фін. пок.'!F13*100/'Осн. фін. пок.'!F11</f>
        <v>#DIV/0!</v>
      </c>
      <c r="G7" s="164" t="e">
        <f>'Осн. фін. пок.'!E13*100/'Осн. фін. пок.'!E11</f>
        <v>#DIV/0!</v>
      </c>
      <c r="H7" s="82"/>
    </row>
    <row r="8" spans="1:8" ht="63.95" customHeight="1">
      <c r="A8" s="8" t="s">
        <v>354</v>
      </c>
      <c r="B8" s="320">
        <v>5010</v>
      </c>
      <c r="C8" s="74" t="s">
        <v>340</v>
      </c>
      <c r="D8" s="164"/>
      <c r="E8" s="163"/>
      <c r="F8" s="164" t="e">
        <f>'Осн. фін. пок.'!F18*100/'Осн. фін. пок.'!F11</f>
        <v>#DIV/0!</v>
      </c>
      <c r="G8" s="164" t="e">
        <f>'Осн. фін. пок.'!E18*100/'Осн. фін. пок.'!E11</f>
        <v>#DIV/0!</v>
      </c>
      <c r="H8" s="82"/>
    </row>
    <row r="9" spans="1:8" ht="56.25">
      <c r="A9" s="84" t="s">
        <v>360</v>
      </c>
      <c r="B9" s="320">
        <v>5020</v>
      </c>
      <c r="C9" s="74" t="s">
        <v>340</v>
      </c>
      <c r="D9" s="164"/>
      <c r="E9" s="163"/>
      <c r="F9" s="164">
        <f>'Осн. фін. пок.'!F24/'Осн. фін. пок.'!F50</f>
        <v>-0.10243385061962711</v>
      </c>
      <c r="G9" s="164">
        <f>'Осн. фін. пок.'!E24/'Осн. фін. пок.'!E50</f>
        <v>-5.7967661499704379E-2</v>
      </c>
      <c r="H9" s="82" t="s">
        <v>341</v>
      </c>
    </row>
    <row r="10" spans="1:8" ht="56.25">
      <c r="A10" s="84" t="s">
        <v>361</v>
      </c>
      <c r="B10" s="320">
        <v>5030</v>
      </c>
      <c r="C10" s="74" t="s">
        <v>340</v>
      </c>
      <c r="D10" s="164"/>
      <c r="E10" s="163"/>
      <c r="F10" s="164">
        <f>'Осн. фін. пок.'!F24/'Осн. фін. пок.'!F56</f>
        <v>-0.10243385061962711</v>
      </c>
      <c r="G10" s="164">
        <f>'Осн. фін. пок.'!E24/'Осн. фін. пок.'!E56</f>
        <v>-5.7967661499704379E-2</v>
      </c>
      <c r="H10" s="82"/>
    </row>
    <row r="11" spans="1:8" ht="75">
      <c r="A11" s="84" t="s">
        <v>362</v>
      </c>
      <c r="B11" s="320">
        <v>5040</v>
      </c>
      <c r="C11" s="74" t="s">
        <v>113</v>
      </c>
      <c r="D11" s="164"/>
      <c r="E11" s="163"/>
      <c r="F11" s="164" t="e">
        <f>'Осн. фін. пок.'!F24/'Осн. фін. пок.'!F11</f>
        <v>#DIV/0!</v>
      </c>
      <c r="G11" s="164" t="e">
        <f>'Осн. фін. пок.'!E24/'Осн. фін. пок.'!E11</f>
        <v>#DIV/0!</v>
      </c>
      <c r="H11" s="82" t="s">
        <v>342</v>
      </c>
    </row>
    <row r="12" spans="1:8" ht="20.100000000000001" customHeight="1">
      <c r="A12" s="72" t="s">
        <v>206</v>
      </c>
      <c r="B12" s="320"/>
      <c r="C12" s="75"/>
      <c r="D12" s="83"/>
      <c r="E12" s="137"/>
      <c r="F12" s="83"/>
      <c r="G12" s="83"/>
      <c r="H12" s="82"/>
    </row>
    <row r="13" spans="1:8" ht="63.95" customHeight="1">
      <c r="A13" s="73" t="s">
        <v>310</v>
      </c>
      <c r="B13" s="320">
        <v>5100</v>
      </c>
      <c r="C13" s="74"/>
      <c r="D13" s="164"/>
      <c r="E13" s="163"/>
      <c r="F13" s="164">
        <f>('Осн. фін. пок.'!F51+'Осн. фін. пок.'!F52)/'Осн. фін. пок.'!F18</f>
        <v>0</v>
      </c>
      <c r="G13" s="164">
        <f>('Осн. фін. пок.'!E51+'Осн. фін. пок.'!E52)/'Осн. фін. пок.'!E18</f>
        <v>0</v>
      </c>
      <c r="H13" s="82"/>
    </row>
    <row r="14" spans="1:8" s="58" customFormat="1" ht="75">
      <c r="A14" s="73" t="s">
        <v>311</v>
      </c>
      <c r="B14" s="320">
        <v>5110</v>
      </c>
      <c r="C14" s="74" t="s">
        <v>191</v>
      </c>
      <c r="D14" s="164">
        <v>0.2</v>
      </c>
      <c r="E14" s="163"/>
      <c r="F14" s="164"/>
      <c r="G14" s="164"/>
      <c r="H14" s="82" t="s">
        <v>343</v>
      </c>
    </row>
    <row r="15" spans="1:8" s="58" customFormat="1" ht="112.5">
      <c r="A15" s="73" t="s">
        <v>312</v>
      </c>
      <c r="B15" s="320">
        <v>5120</v>
      </c>
      <c r="C15" s="74" t="s">
        <v>191</v>
      </c>
      <c r="D15" s="164"/>
      <c r="E15" s="163"/>
      <c r="F15" s="164"/>
      <c r="G15" s="164"/>
      <c r="H15" s="82" t="s">
        <v>345</v>
      </c>
    </row>
    <row r="16" spans="1:8" ht="20.100000000000001" customHeight="1">
      <c r="A16" s="72" t="s">
        <v>205</v>
      </c>
      <c r="B16" s="320"/>
      <c r="C16" s="74"/>
      <c r="D16" s="164"/>
      <c r="E16" s="163"/>
      <c r="F16" s="164"/>
      <c r="G16" s="164"/>
      <c r="H16" s="82"/>
    </row>
    <row r="17" spans="1:10" ht="56.25">
      <c r="A17" s="73" t="s">
        <v>313</v>
      </c>
      <c r="B17" s="320">
        <v>5200</v>
      </c>
      <c r="C17" s="74"/>
      <c r="D17" s="164"/>
      <c r="E17" s="163"/>
      <c r="F17" s="164"/>
      <c r="G17" s="164">
        <f>'Осн. фін. пок.'!E41/'I. Фін результат'!I105</f>
        <v>88.988235294117644</v>
      </c>
      <c r="H17" s="82"/>
    </row>
    <row r="18" spans="1:10" ht="75">
      <c r="A18" s="73" t="s">
        <v>314</v>
      </c>
      <c r="B18" s="320">
        <v>5210</v>
      </c>
      <c r="C18" s="74"/>
      <c r="D18" s="164"/>
      <c r="E18" s="163"/>
      <c r="F18" s="164"/>
      <c r="G18" s="164" t="e">
        <f>'Осн. фін. пок.'!E41/'Осн. фін. пок.'!E11</f>
        <v>#DIV/0!</v>
      </c>
      <c r="H18" s="82"/>
    </row>
    <row r="19" spans="1:10" ht="63.95" customHeight="1">
      <c r="A19" s="73" t="s">
        <v>355</v>
      </c>
      <c r="B19" s="320">
        <v>5220</v>
      </c>
      <c r="C19" s="74" t="s">
        <v>340</v>
      </c>
      <c r="D19" s="163"/>
      <c r="E19" s="163"/>
      <c r="F19" s="163"/>
      <c r="G19" s="163"/>
      <c r="H19" s="82" t="s">
        <v>344</v>
      </c>
    </row>
    <row r="20" spans="1:10" ht="20.100000000000001" customHeight="1">
      <c r="A20" s="57" t="s">
        <v>289</v>
      </c>
      <c r="B20" s="320"/>
      <c r="C20" s="74"/>
      <c r="D20" s="164"/>
      <c r="E20" s="163"/>
      <c r="F20" s="164"/>
      <c r="G20" s="164"/>
      <c r="H20" s="82"/>
    </row>
    <row r="21" spans="1:10" ht="112.5">
      <c r="A21" s="84" t="s">
        <v>356</v>
      </c>
      <c r="B21" s="320">
        <v>5300</v>
      </c>
      <c r="C21" s="74"/>
      <c r="D21" s="163"/>
      <c r="E21" s="163"/>
      <c r="F21" s="163"/>
      <c r="G21" s="163"/>
      <c r="H21" s="138"/>
    </row>
    <row r="22" spans="1:10" ht="20.100000000000001" customHeight="1">
      <c r="A22" s="139"/>
      <c r="B22" s="139"/>
      <c r="C22" s="139"/>
      <c r="D22" s="139"/>
      <c r="E22" s="139"/>
      <c r="F22" s="139"/>
      <c r="G22" s="139"/>
      <c r="H22" s="139"/>
    </row>
    <row r="23" spans="1:10" ht="20.100000000000001" customHeight="1">
      <c r="A23" s="139"/>
      <c r="B23" s="139"/>
      <c r="C23" s="139"/>
      <c r="D23" s="139"/>
      <c r="E23" s="139"/>
      <c r="F23" s="139"/>
      <c r="G23" s="139"/>
      <c r="H23" s="139"/>
    </row>
    <row r="24" spans="1:10" ht="20.100000000000001" customHeight="1">
      <c r="A24" s="139"/>
      <c r="B24" s="139"/>
      <c r="C24" s="139"/>
      <c r="D24" s="139"/>
      <c r="E24" s="139"/>
      <c r="F24" s="139"/>
      <c r="G24" s="139"/>
      <c r="H24" s="139"/>
    </row>
    <row r="25" spans="1:10" s="322" customFormat="1" ht="37.5" customHeight="1">
      <c r="A25" s="193" t="s">
        <v>593</v>
      </c>
      <c r="B25" s="118"/>
      <c r="C25" s="119"/>
      <c r="D25" s="419"/>
      <c r="E25" s="419"/>
      <c r="F25" s="192"/>
      <c r="G25" s="418" t="s">
        <v>461</v>
      </c>
      <c r="H25" s="418"/>
      <c r="I25" s="321"/>
      <c r="J25" s="321"/>
    </row>
    <row r="26" spans="1:10" s="1" customFormat="1" ht="20.100000000000001" customHeight="1">
      <c r="A26" s="318" t="s">
        <v>420</v>
      </c>
      <c r="B26" s="323"/>
      <c r="C26" s="321"/>
      <c r="D26" s="417" t="s">
        <v>83</v>
      </c>
      <c r="E26" s="417"/>
      <c r="F26" s="321"/>
      <c r="G26" s="372" t="s">
        <v>421</v>
      </c>
      <c r="H26" s="372"/>
      <c r="I26" s="55"/>
      <c r="J26" s="55"/>
    </row>
    <row r="27" spans="1:10">
      <c r="A27" s="139"/>
      <c r="B27" s="139"/>
      <c r="C27" s="139"/>
      <c r="D27" s="139"/>
      <c r="E27" s="139"/>
      <c r="F27" s="139"/>
      <c r="G27" s="139"/>
      <c r="H27" s="139"/>
    </row>
    <row r="28" spans="1:10">
      <c r="A28" s="139"/>
      <c r="B28" s="139"/>
      <c r="C28" s="139"/>
      <c r="D28" s="139"/>
      <c r="E28" s="139"/>
      <c r="F28" s="139"/>
      <c r="G28" s="139"/>
      <c r="H28" s="139"/>
    </row>
    <row r="29" spans="1:10">
      <c r="A29" s="139"/>
      <c r="B29" s="139"/>
      <c r="C29" s="139"/>
      <c r="D29" s="139"/>
      <c r="E29" s="139"/>
      <c r="F29" s="139"/>
      <c r="G29" s="139"/>
      <c r="H29" s="139"/>
    </row>
    <row r="30" spans="1:10">
      <c r="A30" s="139"/>
      <c r="B30" s="139"/>
      <c r="C30" s="139"/>
      <c r="D30" s="139"/>
      <c r="E30" s="139"/>
      <c r="F30" s="139"/>
      <c r="G30" s="139"/>
      <c r="H30" s="139"/>
    </row>
    <row r="31" spans="1:10">
      <c r="A31" s="139"/>
      <c r="B31" s="139"/>
      <c r="C31" s="139"/>
      <c r="D31" s="139"/>
      <c r="E31" s="139"/>
      <c r="F31" s="139"/>
      <c r="G31" s="139"/>
      <c r="H31" s="139"/>
    </row>
  </sheetData>
  <sheetProtection formatCells="0" formatColumns="0" formatRows="0"/>
  <mergeCells count="13">
    <mergeCell ref="D26:E26"/>
    <mergeCell ref="G25:H25"/>
    <mergeCell ref="G26:H26"/>
    <mergeCell ref="D25:E25"/>
    <mergeCell ref="A1:H1"/>
    <mergeCell ref="H3:H4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3"/>
  </sheetPr>
  <dimension ref="A1:O95"/>
  <sheetViews>
    <sheetView topLeftCell="A7" zoomScale="85" zoomScaleNormal="85" zoomScaleSheetLayoutView="75" workbookViewId="0">
      <selection activeCell="A37" sqref="A37:O37"/>
    </sheetView>
  </sheetViews>
  <sheetFormatPr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467" t="s">
        <v>136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</row>
    <row r="2" spans="1:15">
      <c r="A2" s="467" t="s">
        <v>454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</row>
    <row r="3" spans="1:15">
      <c r="A3" s="468" t="s">
        <v>464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</row>
    <row r="4" spans="1:15" ht="20.100000000000001" customHeight="1">
      <c r="A4" s="469" t="s">
        <v>147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</row>
    <row r="5" spans="1:15" ht="21.95" customHeight="1">
      <c r="A5" s="470" t="s">
        <v>97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</row>
    <row r="6" spans="1:15" ht="10.5" customHeigh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ht="16.5" customHeight="1">
      <c r="A7" s="471" t="s">
        <v>346</v>
      </c>
      <c r="B7" s="471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</row>
    <row r="8" spans="1:15" ht="10.5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5" s="322" customFormat="1" ht="40.5" customHeight="1">
      <c r="A9" s="389" t="s">
        <v>271</v>
      </c>
      <c r="B9" s="389"/>
      <c r="C9" s="389"/>
      <c r="D9" s="390" t="s">
        <v>149</v>
      </c>
      <c r="E9" s="390"/>
      <c r="F9" s="390" t="s">
        <v>31</v>
      </c>
      <c r="G9" s="390"/>
      <c r="H9" s="390" t="s">
        <v>69</v>
      </c>
      <c r="I9" s="390"/>
      <c r="J9" s="390" t="s">
        <v>150</v>
      </c>
      <c r="K9" s="390"/>
      <c r="L9" s="390" t="s">
        <v>292</v>
      </c>
      <c r="M9" s="390"/>
      <c r="N9" s="390" t="s">
        <v>293</v>
      </c>
      <c r="O9" s="390"/>
    </row>
    <row r="10" spans="1:15" s="322" customFormat="1" ht="18" customHeight="1">
      <c r="A10" s="389">
        <v>1</v>
      </c>
      <c r="B10" s="389"/>
      <c r="C10" s="389"/>
      <c r="D10" s="390">
        <v>2</v>
      </c>
      <c r="E10" s="390"/>
      <c r="F10" s="390">
        <v>3</v>
      </c>
      <c r="G10" s="390"/>
      <c r="H10" s="390">
        <v>4</v>
      </c>
      <c r="I10" s="390"/>
      <c r="J10" s="390">
        <v>5</v>
      </c>
      <c r="K10" s="390"/>
      <c r="L10" s="390">
        <v>6</v>
      </c>
      <c r="M10" s="390"/>
      <c r="N10" s="390">
        <v>7</v>
      </c>
      <c r="O10" s="390"/>
    </row>
    <row r="11" spans="1:15" s="322" customFormat="1" ht="20.100000000000001" customHeight="1">
      <c r="A11" s="366" t="s">
        <v>148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  <c r="L11" s="430"/>
      <c r="M11" s="431"/>
      <c r="N11" s="430"/>
      <c r="O11" s="431"/>
    </row>
    <row r="12" spans="1:15" s="322" customFormat="1" ht="20.100000000000001" customHeight="1">
      <c r="A12" s="425" t="s">
        <v>315</v>
      </c>
      <c r="B12" s="425"/>
      <c r="C12" s="425"/>
      <c r="D12" s="426"/>
      <c r="E12" s="427"/>
      <c r="F12" s="434"/>
      <c r="G12" s="434"/>
      <c r="H12" s="434">
        <v>4</v>
      </c>
      <c r="I12" s="434"/>
      <c r="J12" s="434">
        <v>4</v>
      </c>
      <c r="K12" s="434"/>
      <c r="L12" s="430">
        <f>J12/H12*100%</f>
        <v>1</v>
      </c>
      <c r="M12" s="431"/>
      <c r="N12" s="430"/>
      <c r="O12" s="431"/>
    </row>
    <row r="13" spans="1:15" s="322" customFormat="1" ht="20.100000000000001" customHeight="1">
      <c r="A13" s="425" t="s">
        <v>316</v>
      </c>
      <c r="B13" s="425"/>
      <c r="C13" s="425"/>
      <c r="D13" s="426"/>
      <c r="E13" s="427"/>
      <c r="F13" s="434"/>
      <c r="G13" s="434"/>
      <c r="H13" s="434">
        <v>8</v>
      </c>
      <c r="I13" s="434"/>
      <c r="J13" s="434">
        <v>8</v>
      </c>
      <c r="K13" s="434"/>
      <c r="L13" s="430">
        <f t="shared" ref="L13:L33" si="0">J13/H13*100%</f>
        <v>1</v>
      </c>
      <c r="M13" s="431"/>
      <c r="N13" s="430"/>
      <c r="O13" s="431"/>
    </row>
    <row r="14" spans="1:15" s="322" customFormat="1" ht="20.100000000000001" customHeight="1">
      <c r="A14" s="425" t="s">
        <v>317</v>
      </c>
      <c r="B14" s="425"/>
      <c r="C14" s="425"/>
      <c r="D14" s="426"/>
      <c r="E14" s="427"/>
      <c r="F14" s="434"/>
      <c r="G14" s="434"/>
      <c r="H14" s="434">
        <v>4</v>
      </c>
      <c r="I14" s="434"/>
      <c r="J14" s="434">
        <v>4</v>
      </c>
      <c r="K14" s="434"/>
      <c r="L14" s="430">
        <f t="shared" ref="L14" si="1">J14/H14*100%</f>
        <v>1</v>
      </c>
      <c r="M14" s="431"/>
      <c r="N14" s="430"/>
      <c r="O14" s="431"/>
    </row>
    <row r="15" spans="1:15" s="322" customFormat="1" ht="20.100000000000001" customHeight="1">
      <c r="A15" s="425" t="s">
        <v>318</v>
      </c>
      <c r="B15" s="425"/>
      <c r="C15" s="425"/>
      <c r="D15" s="426"/>
      <c r="E15" s="427"/>
      <c r="F15" s="434"/>
      <c r="G15" s="434"/>
      <c r="H15" s="434"/>
      <c r="I15" s="434"/>
      <c r="J15" s="434"/>
      <c r="K15" s="434"/>
      <c r="L15" s="430"/>
      <c r="M15" s="431"/>
      <c r="N15" s="430"/>
      <c r="O15" s="431"/>
    </row>
    <row r="16" spans="1:15" s="322" customFormat="1" ht="20.100000000000001" customHeight="1">
      <c r="A16" s="425" t="s">
        <v>319</v>
      </c>
      <c r="B16" s="425"/>
      <c r="C16" s="425"/>
      <c r="D16" s="426"/>
      <c r="E16" s="427"/>
      <c r="F16" s="434"/>
      <c r="G16" s="434"/>
      <c r="H16" s="434"/>
      <c r="I16" s="434"/>
      <c r="J16" s="434"/>
      <c r="K16" s="434"/>
      <c r="L16" s="428" t="e">
        <f t="shared" si="0"/>
        <v>#DIV/0!</v>
      </c>
      <c r="M16" s="429"/>
      <c r="N16" s="430"/>
      <c r="O16" s="431"/>
    </row>
    <row r="17" spans="1:15" s="322" customFormat="1" ht="20.100000000000001" customHeight="1">
      <c r="A17" s="425" t="s">
        <v>320</v>
      </c>
      <c r="B17" s="425"/>
      <c r="C17" s="425"/>
      <c r="D17" s="426"/>
      <c r="E17" s="427"/>
      <c r="F17" s="434"/>
      <c r="G17" s="434"/>
      <c r="H17" s="434"/>
      <c r="I17" s="434"/>
      <c r="J17" s="434"/>
      <c r="K17" s="434"/>
      <c r="L17" s="430"/>
      <c r="M17" s="431"/>
      <c r="N17" s="430"/>
      <c r="O17" s="431"/>
    </row>
    <row r="18" spans="1:15" s="322" customFormat="1" ht="20.100000000000001" customHeight="1">
      <c r="A18" s="366" t="s">
        <v>290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68"/>
      <c r="L18" s="430"/>
      <c r="M18" s="431"/>
      <c r="N18" s="430"/>
      <c r="O18" s="431"/>
    </row>
    <row r="19" spans="1:15" s="322" customFormat="1" ht="23.25" customHeight="1">
      <c r="A19" s="425" t="s">
        <v>269</v>
      </c>
      <c r="B19" s="425"/>
      <c r="C19" s="425"/>
      <c r="D19" s="426"/>
      <c r="E19" s="427"/>
      <c r="F19" s="426"/>
      <c r="G19" s="427"/>
      <c r="H19" s="426">
        <v>192</v>
      </c>
      <c r="I19" s="427"/>
      <c r="J19" s="426">
        <f>'штатка '!M50/1000</f>
        <v>219.24</v>
      </c>
      <c r="K19" s="427"/>
      <c r="L19" s="430">
        <f t="shared" si="0"/>
        <v>1.141875</v>
      </c>
      <c r="M19" s="431"/>
      <c r="N19" s="430"/>
      <c r="O19" s="431"/>
    </row>
    <row r="20" spans="1:15" s="322" customFormat="1" ht="20.100000000000001" customHeight="1">
      <c r="A20" s="425" t="s">
        <v>294</v>
      </c>
      <c r="B20" s="425"/>
      <c r="C20" s="425"/>
      <c r="D20" s="426"/>
      <c r="E20" s="427"/>
      <c r="F20" s="426"/>
      <c r="G20" s="427"/>
      <c r="H20" s="426">
        <v>1943</v>
      </c>
      <c r="I20" s="427"/>
      <c r="J20" s="426">
        <f>'штатка '!M51/1000</f>
        <v>2856.7139999999999</v>
      </c>
      <c r="K20" s="427"/>
      <c r="L20" s="430">
        <f t="shared" si="0"/>
        <v>1.4702593926917138</v>
      </c>
      <c r="M20" s="431"/>
      <c r="N20" s="430"/>
      <c r="O20" s="431"/>
    </row>
    <row r="21" spans="1:15" s="322" customFormat="1" ht="20.100000000000001" customHeight="1">
      <c r="A21" s="425" t="s">
        <v>270</v>
      </c>
      <c r="B21" s="425"/>
      <c r="C21" s="425"/>
      <c r="D21" s="426"/>
      <c r="E21" s="427"/>
      <c r="F21" s="426"/>
      <c r="G21" s="427"/>
      <c r="H21" s="426"/>
      <c r="I21" s="427"/>
      <c r="J21" s="426"/>
      <c r="K21" s="427"/>
      <c r="L21" s="428" t="e">
        <f t="shared" si="0"/>
        <v>#DIV/0!</v>
      </c>
      <c r="M21" s="429"/>
      <c r="N21" s="430"/>
      <c r="O21" s="431"/>
    </row>
    <row r="22" spans="1:15" s="322" customFormat="1" ht="20.100000000000001" customHeight="1">
      <c r="A22" s="366" t="s">
        <v>291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  <c r="L22" s="430"/>
      <c r="M22" s="431"/>
      <c r="N22" s="430"/>
      <c r="O22" s="431"/>
    </row>
    <row r="23" spans="1:15" s="322" customFormat="1" ht="20.100000000000001" customHeight="1">
      <c r="A23" s="425" t="s">
        <v>269</v>
      </c>
      <c r="B23" s="425"/>
      <c r="C23" s="425"/>
      <c r="D23" s="426"/>
      <c r="E23" s="427"/>
      <c r="F23" s="434"/>
      <c r="G23" s="434"/>
      <c r="H23" s="426">
        <f>H19+(H19*0.22)</f>
        <v>234.24</v>
      </c>
      <c r="I23" s="427"/>
      <c r="J23" s="426">
        <f>'штатка '!M55/1000</f>
        <v>267.47280000000001</v>
      </c>
      <c r="K23" s="427"/>
      <c r="L23" s="430">
        <f t="shared" si="0"/>
        <v>1.141875</v>
      </c>
      <c r="M23" s="431"/>
      <c r="N23" s="430"/>
      <c r="O23" s="431"/>
    </row>
    <row r="24" spans="1:15" s="322" customFormat="1" ht="20.100000000000001" customHeight="1">
      <c r="A24" s="425" t="s">
        <v>294</v>
      </c>
      <c r="B24" s="425"/>
      <c r="C24" s="425"/>
      <c r="D24" s="426"/>
      <c r="E24" s="427"/>
      <c r="F24" s="434"/>
      <c r="G24" s="434"/>
      <c r="H24" s="426">
        <f>H20+(H20*0.22)-3</f>
        <v>2367.46</v>
      </c>
      <c r="I24" s="427"/>
      <c r="J24" s="426">
        <f>'штатка '!M56/1000</f>
        <v>3468.7447881600001</v>
      </c>
      <c r="K24" s="427"/>
      <c r="L24" s="430">
        <f t="shared" si="0"/>
        <v>1.4651756685054869</v>
      </c>
      <c r="M24" s="431"/>
      <c r="N24" s="430"/>
      <c r="O24" s="431"/>
    </row>
    <row r="25" spans="1:15" s="322" customFormat="1" ht="20.100000000000001" customHeight="1">
      <c r="A25" s="425" t="s">
        <v>270</v>
      </c>
      <c r="B25" s="425"/>
      <c r="C25" s="425"/>
      <c r="D25" s="426"/>
      <c r="E25" s="427"/>
      <c r="F25" s="434"/>
      <c r="G25" s="434"/>
      <c r="H25" s="426">
        <f t="shared" ref="H25" si="2">H21</f>
        <v>0</v>
      </c>
      <c r="I25" s="427"/>
      <c r="J25" s="426"/>
      <c r="K25" s="427"/>
      <c r="L25" s="428" t="e">
        <f t="shared" si="0"/>
        <v>#DIV/0!</v>
      </c>
      <c r="M25" s="429"/>
      <c r="N25" s="430"/>
      <c r="O25" s="431"/>
    </row>
    <row r="26" spans="1:15" s="322" customFormat="1" ht="38.25" customHeight="1">
      <c r="A26" s="366" t="s">
        <v>321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8"/>
      <c r="L26" s="430"/>
      <c r="M26" s="431"/>
      <c r="N26" s="430"/>
      <c r="O26" s="431"/>
    </row>
    <row r="27" spans="1:15" s="322" customFormat="1" ht="20.100000000000001" customHeight="1">
      <c r="A27" s="425" t="s">
        <v>269</v>
      </c>
      <c r="B27" s="425"/>
      <c r="C27" s="425"/>
      <c r="D27" s="426"/>
      <c r="E27" s="427"/>
      <c r="F27" s="432"/>
      <c r="G27" s="433"/>
      <c r="H27" s="426">
        <v>16034</v>
      </c>
      <c r="I27" s="427"/>
      <c r="J27" s="426">
        <f>'штатка '!M60</f>
        <v>18270</v>
      </c>
      <c r="K27" s="427"/>
      <c r="L27" s="430">
        <f t="shared" si="0"/>
        <v>1.1394536609704378</v>
      </c>
      <c r="M27" s="431"/>
      <c r="N27" s="430"/>
      <c r="O27" s="431"/>
    </row>
    <row r="28" spans="1:15" s="322" customFormat="1" ht="20.100000000000001" customHeight="1">
      <c r="A28" s="425" t="s">
        <v>294</v>
      </c>
      <c r="B28" s="425"/>
      <c r="C28" s="425"/>
      <c r="D28" s="426"/>
      <c r="E28" s="427"/>
      <c r="F28" s="432"/>
      <c r="G28" s="433"/>
      <c r="H28" s="426">
        <v>5505</v>
      </c>
      <c r="I28" s="427"/>
      <c r="J28" s="426">
        <f>'штатка '!M61</f>
        <v>10854.866666666667</v>
      </c>
      <c r="K28" s="427"/>
      <c r="L28" s="430">
        <f t="shared" si="0"/>
        <v>1.9718195579775961</v>
      </c>
      <c r="M28" s="431"/>
      <c r="N28" s="430"/>
      <c r="O28" s="431"/>
    </row>
    <row r="29" spans="1:15" s="322" customFormat="1" ht="20.100000000000001" customHeight="1">
      <c r="A29" s="425" t="s">
        <v>270</v>
      </c>
      <c r="B29" s="425"/>
      <c r="C29" s="425"/>
      <c r="D29" s="426"/>
      <c r="E29" s="427"/>
      <c r="F29" s="432"/>
      <c r="G29" s="433"/>
      <c r="H29" s="426">
        <f>H21/12/37*1000</f>
        <v>0</v>
      </c>
      <c r="I29" s="427"/>
      <c r="J29" s="426"/>
      <c r="K29" s="427"/>
      <c r="L29" s="428" t="e">
        <f t="shared" si="0"/>
        <v>#DIV/0!</v>
      </c>
      <c r="M29" s="429"/>
      <c r="N29" s="430"/>
      <c r="O29" s="431"/>
    </row>
    <row r="30" spans="1:15" s="322" customFormat="1" ht="20.100000000000001" customHeight="1">
      <c r="A30" s="366" t="s">
        <v>322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  <c r="L30" s="430"/>
      <c r="M30" s="431"/>
      <c r="N30" s="430"/>
      <c r="O30" s="431"/>
    </row>
    <row r="31" spans="1:15" s="322" customFormat="1" ht="20.100000000000001" customHeight="1">
      <c r="A31" s="425" t="s">
        <v>269</v>
      </c>
      <c r="B31" s="425"/>
      <c r="C31" s="425"/>
      <c r="D31" s="426"/>
      <c r="E31" s="427"/>
      <c r="F31" s="426">
        <f>F27</f>
        <v>0</v>
      </c>
      <c r="G31" s="427"/>
      <c r="H31" s="426">
        <f>H27</f>
        <v>16034</v>
      </c>
      <c r="I31" s="427"/>
      <c r="J31" s="426">
        <f>'штатка '!M65</f>
        <v>18270</v>
      </c>
      <c r="K31" s="427"/>
      <c r="L31" s="430">
        <f t="shared" si="0"/>
        <v>1.1394536609704378</v>
      </c>
      <c r="M31" s="431"/>
      <c r="N31" s="430"/>
      <c r="O31" s="431"/>
    </row>
    <row r="32" spans="1:15" s="322" customFormat="1" ht="20.100000000000001" customHeight="1">
      <c r="A32" s="425" t="s">
        <v>294</v>
      </c>
      <c r="B32" s="425"/>
      <c r="C32" s="425"/>
      <c r="D32" s="426"/>
      <c r="E32" s="427"/>
      <c r="F32" s="426">
        <f t="shared" ref="F32:F33" si="3">F28</f>
        <v>0</v>
      </c>
      <c r="G32" s="427"/>
      <c r="H32" s="426">
        <v>10794</v>
      </c>
      <c r="I32" s="427"/>
      <c r="J32" s="426">
        <f>'штатка '!M66</f>
        <v>16282.3</v>
      </c>
      <c r="K32" s="427"/>
      <c r="L32" s="430">
        <f t="shared" si="0"/>
        <v>1.5084584028163794</v>
      </c>
      <c r="M32" s="431"/>
      <c r="N32" s="430"/>
      <c r="O32" s="431"/>
    </row>
    <row r="33" spans="1:15" s="322" customFormat="1" ht="20.100000000000001" customHeight="1">
      <c r="A33" s="425" t="s">
        <v>270</v>
      </c>
      <c r="B33" s="425"/>
      <c r="C33" s="425"/>
      <c r="D33" s="426"/>
      <c r="E33" s="427"/>
      <c r="F33" s="426">
        <f t="shared" si="3"/>
        <v>0</v>
      </c>
      <c r="G33" s="427"/>
      <c r="H33" s="426">
        <f t="shared" ref="H33" si="4">H29</f>
        <v>0</v>
      </c>
      <c r="I33" s="427"/>
      <c r="J33" s="426">
        <f t="shared" ref="J33" si="5">J29</f>
        <v>0</v>
      </c>
      <c r="K33" s="427"/>
      <c r="L33" s="428" t="e">
        <f t="shared" si="0"/>
        <v>#DIV/0!</v>
      </c>
      <c r="M33" s="429"/>
      <c r="N33" s="430"/>
      <c r="O33" s="431"/>
    </row>
    <row r="34" spans="1:15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0.100000000000001" customHeight="1">
      <c r="A35" s="466" t="s">
        <v>323</v>
      </c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</row>
    <row r="36" spans="1:15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15" ht="21.95" customHeight="1">
      <c r="A37" s="449" t="s">
        <v>324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</row>
    <row r="38" spans="1:15" ht="10.5" customHeight="1"/>
    <row r="39" spans="1:15" ht="60" customHeight="1">
      <c r="A39" s="325" t="s">
        <v>151</v>
      </c>
      <c r="B39" s="453" t="s">
        <v>325</v>
      </c>
      <c r="C39" s="454"/>
      <c r="D39" s="454"/>
      <c r="E39" s="454"/>
      <c r="F39" s="410" t="s">
        <v>91</v>
      </c>
      <c r="G39" s="410"/>
      <c r="H39" s="410"/>
      <c r="I39" s="410"/>
      <c r="J39" s="410"/>
      <c r="K39" s="410"/>
      <c r="L39" s="410"/>
      <c r="M39" s="410"/>
      <c r="N39" s="410"/>
      <c r="O39" s="410"/>
    </row>
    <row r="40" spans="1:15" ht="18" customHeight="1">
      <c r="A40" s="325">
        <v>1</v>
      </c>
      <c r="B40" s="453">
        <v>2</v>
      </c>
      <c r="C40" s="454"/>
      <c r="D40" s="454"/>
      <c r="E40" s="454"/>
      <c r="F40" s="410">
        <v>3</v>
      </c>
      <c r="G40" s="410"/>
      <c r="H40" s="410"/>
      <c r="I40" s="410"/>
      <c r="J40" s="410"/>
      <c r="K40" s="410"/>
      <c r="L40" s="410"/>
      <c r="M40" s="410"/>
      <c r="N40" s="410"/>
      <c r="O40" s="410"/>
    </row>
    <row r="41" spans="1:15" ht="20.100000000000001" customHeight="1">
      <c r="A41" s="332"/>
      <c r="B41" s="458"/>
      <c r="C41" s="459"/>
      <c r="D41" s="459"/>
      <c r="E41" s="459"/>
      <c r="F41" s="461"/>
      <c r="G41" s="461"/>
      <c r="H41" s="461"/>
      <c r="I41" s="461"/>
      <c r="J41" s="461"/>
      <c r="K41" s="461"/>
      <c r="L41" s="461"/>
      <c r="M41" s="461"/>
      <c r="N41" s="461"/>
      <c r="O41" s="461"/>
    </row>
    <row r="42" spans="1:15" ht="20.100000000000001" customHeight="1">
      <c r="A42" s="332"/>
      <c r="B42" s="458"/>
      <c r="C42" s="459"/>
      <c r="D42" s="459"/>
      <c r="E42" s="459"/>
      <c r="F42" s="461"/>
      <c r="G42" s="461"/>
      <c r="H42" s="461"/>
      <c r="I42" s="461"/>
      <c r="J42" s="461"/>
      <c r="K42" s="461"/>
      <c r="L42" s="461"/>
      <c r="M42" s="461"/>
      <c r="N42" s="461"/>
      <c r="O42" s="461"/>
    </row>
    <row r="43" spans="1:15" ht="20.100000000000001" customHeight="1">
      <c r="A43" s="332"/>
      <c r="B43" s="458"/>
      <c r="C43" s="459"/>
      <c r="D43" s="459"/>
      <c r="E43" s="459"/>
      <c r="F43" s="461"/>
      <c r="G43" s="461"/>
      <c r="H43" s="461"/>
      <c r="I43" s="461"/>
      <c r="J43" s="461"/>
      <c r="K43" s="461"/>
      <c r="L43" s="461"/>
      <c r="M43" s="461"/>
      <c r="N43" s="461"/>
      <c r="O43" s="461"/>
    </row>
    <row r="44" spans="1:15" ht="20.100000000000001" customHeight="1">
      <c r="A44" s="332"/>
      <c r="B44" s="458"/>
      <c r="C44" s="459"/>
      <c r="D44" s="459"/>
      <c r="E44" s="459"/>
      <c r="F44" s="461"/>
      <c r="G44" s="461"/>
      <c r="H44" s="461"/>
      <c r="I44" s="461"/>
      <c r="J44" s="461"/>
      <c r="K44" s="461"/>
      <c r="L44" s="461"/>
      <c r="M44" s="461"/>
      <c r="N44" s="461"/>
      <c r="O44" s="461"/>
    </row>
    <row r="45" spans="1:15" ht="20.100000000000001" customHeight="1">
      <c r="A45" s="332"/>
      <c r="B45" s="458"/>
      <c r="C45" s="459"/>
      <c r="D45" s="459"/>
      <c r="E45" s="459"/>
      <c r="F45" s="461"/>
      <c r="G45" s="461"/>
      <c r="H45" s="461"/>
      <c r="I45" s="461"/>
      <c r="J45" s="461"/>
      <c r="K45" s="461"/>
      <c r="L45" s="461"/>
      <c r="M45" s="461"/>
      <c r="N45" s="461"/>
      <c r="O45" s="461"/>
    </row>
    <row r="46" spans="1:15" ht="20.100000000000001" customHeight="1">
      <c r="A46" s="332"/>
      <c r="B46" s="458"/>
      <c r="C46" s="459"/>
      <c r="D46" s="459"/>
      <c r="E46" s="459"/>
      <c r="F46" s="461"/>
      <c r="G46" s="461"/>
      <c r="H46" s="461"/>
      <c r="I46" s="461"/>
      <c r="J46" s="461"/>
      <c r="K46" s="461"/>
      <c r="L46" s="461"/>
      <c r="M46" s="461"/>
      <c r="N46" s="461"/>
      <c r="O46" s="461"/>
    </row>
    <row r="47" spans="1:15" ht="20.100000000000001" customHeight="1">
      <c r="A47" s="332"/>
      <c r="B47" s="458"/>
      <c r="C47" s="459"/>
      <c r="D47" s="459"/>
      <c r="E47" s="459"/>
      <c r="F47" s="461"/>
      <c r="G47" s="461"/>
      <c r="H47" s="461"/>
      <c r="I47" s="461"/>
      <c r="J47" s="461"/>
      <c r="K47" s="461"/>
      <c r="L47" s="461"/>
      <c r="M47" s="461"/>
      <c r="N47" s="461"/>
      <c r="O47" s="461"/>
    </row>
    <row r="48" spans="1:15" ht="20.100000000000001" customHeight="1">
      <c r="A48" s="332"/>
      <c r="B48" s="458"/>
      <c r="C48" s="459"/>
      <c r="D48" s="459"/>
      <c r="E48" s="459"/>
      <c r="F48" s="458"/>
      <c r="G48" s="459"/>
      <c r="H48" s="459"/>
      <c r="I48" s="459"/>
      <c r="J48" s="459"/>
      <c r="K48" s="459"/>
      <c r="L48" s="459"/>
      <c r="M48" s="459"/>
      <c r="N48" s="459"/>
      <c r="O48" s="460"/>
    </row>
    <row r="49" spans="1:15" ht="20.100000000000001" customHeight="1">
      <c r="A49" s="332"/>
      <c r="B49" s="458"/>
      <c r="C49" s="459"/>
      <c r="D49" s="459"/>
      <c r="E49" s="460"/>
      <c r="F49" s="458"/>
      <c r="G49" s="459"/>
      <c r="H49" s="459"/>
      <c r="I49" s="459"/>
      <c r="J49" s="459"/>
      <c r="K49" s="459"/>
      <c r="L49" s="459"/>
      <c r="M49" s="459"/>
      <c r="N49" s="459"/>
      <c r="O49" s="460"/>
    </row>
    <row r="50" spans="1:15" ht="20.100000000000001" customHeight="1">
      <c r="A50" s="67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462" t="s">
        <v>253</v>
      </c>
      <c r="B51" s="462"/>
      <c r="C51" s="462"/>
      <c r="D51" s="462"/>
      <c r="E51" s="462"/>
      <c r="F51" s="462"/>
      <c r="G51" s="462"/>
      <c r="H51" s="462"/>
      <c r="I51" s="462"/>
      <c r="J51" s="462"/>
    </row>
    <row r="52" spans="1:15" ht="20.100000000000001" customHeight="1">
      <c r="A52" s="16"/>
    </row>
    <row r="53" spans="1:15" ht="63.95" customHeight="1">
      <c r="A53" s="413" t="s">
        <v>271</v>
      </c>
      <c r="B53" s="413" t="s">
        <v>326</v>
      </c>
      <c r="C53" s="413"/>
      <c r="D53" s="448" t="s">
        <v>455</v>
      </c>
      <c r="E53" s="448"/>
      <c r="F53" s="448"/>
      <c r="G53" s="448" t="s">
        <v>456</v>
      </c>
      <c r="H53" s="448"/>
      <c r="I53" s="448"/>
      <c r="J53" s="463" t="s">
        <v>457</v>
      </c>
      <c r="K53" s="464"/>
      <c r="L53" s="465"/>
      <c r="M53" s="448" t="s">
        <v>458</v>
      </c>
      <c r="N53" s="448"/>
      <c r="O53" s="448"/>
    </row>
    <row r="54" spans="1:15" ht="168.75">
      <c r="A54" s="413"/>
      <c r="B54" s="320" t="s">
        <v>77</v>
      </c>
      <c r="C54" s="320" t="s">
        <v>78</v>
      </c>
      <c r="D54" s="320" t="s">
        <v>327</v>
      </c>
      <c r="E54" s="320" t="s">
        <v>328</v>
      </c>
      <c r="F54" s="320" t="s">
        <v>329</v>
      </c>
      <c r="G54" s="320" t="s">
        <v>327</v>
      </c>
      <c r="H54" s="320" t="s">
        <v>328</v>
      </c>
      <c r="I54" s="320" t="s">
        <v>329</v>
      </c>
      <c r="J54" s="320" t="s">
        <v>327</v>
      </c>
      <c r="K54" s="320" t="s">
        <v>328</v>
      </c>
      <c r="L54" s="320" t="s">
        <v>329</v>
      </c>
      <c r="M54" s="320" t="s">
        <v>327</v>
      </c>
      <c r="N54" s="320" t="s">
        <v>328</v>
      </c>
      <c r="O54" s="320" t="s">
        <v>329</v>
      </c>
    </row>
    <row r="55" spans="1:15" ht="18" customHeight="1">
      <c r="A55" s="320">
        <v>1</v>
      </c>
      <c r="B55" s="320">
        <v>2</v>
      </c>
      <c r="C55" s="320">
        <v>3</v>
      </c>
      <c r="D55" s="320">
        <v>4</v>
      </c>
      <c r="E55" s="320">
        <v>5</v>
      </c>
      <c r="F55" s="320">
        <v>6</v>
      </c>
      <c r="G55" s="320">
        <v>7</v>
      </c>
      <c r="H55" s="319">
        <v>8</v>
      </c>
      <c r="I55" s="319">
        <v>9</v>
      </c>
      <c r="J55" s="319">
        <v>10</v>
      </c>
      <c r="K55" s="319">
        <v>11</v>
      </c>
      <c r="L55" s="319">
        <v>12</v>
      </c>
      <c r="M55" s="319">
        <v>13</v>
      </c>
      <c r="N55" s="319">
        <v>14</v>
      </c>
      <c r="O55" s="319">
        <v>15</v>
      </c>
    </row>
    <row r="56" spans="1:15" ht="37.5">
      <c r="A56" s="140" t="s">
        <v>404</v>
      </c>
      <c r="B56" s="327">
        <v>0</v>
      </c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</row>
    <row r="57" spans="1:15" ht="20.100000000000001" customHeight="1">
      <c r="A57" s="141" t="s">
        <v>59</v>
      </c>
      <c r="B57" s="199">
        <f>B56</f>
        <v>0</v>
      </c>
      <c r="C57" s="199">
        <f t="shared" ref="C57:O57" si="6">C56</f>
        <v>0</v>
      </c>
      <c r="D57" s="199">
        <f t="shared" si="6"/>
        <v>0</v>
      </c>
      <c r="E57" s="199">
        <f t="shared" si="6"/>
        <v>0</v>
      </c>
      <c r="F57" s="199">
        <f t="shared" si="6"/>
        <v>0</v>
      </c>
      <c r="G57" s="199">
        <f t="shared" si="6"/>
        <v>0</v>
      </c>
      <c r="H57" s="199">
        <f t="shared" si="6"/>
        <v>0</v>
      </c>
      <c r="I57" s="199">
        <f t="shared" si="6"/>
        <v>0</v>
      </c>
      <c r="J57" s="199">
        <f t="shared" si="6"/>
        <v>0</v>
      </c>
      <c r="K57" s="199">
        <f t="shared" si="6"/>
        <v>0</v>
      </c>
      <c r="L57" s="199">
        <f t="shared" si="6"/>
        <v>0</v>
      </c>
      <c r="M57" s="199">
        <f t="shared" si="6"/>
        <v>0</v>
      </c>
      <c r="N57" s="199">
        <f t="shared" si="6"/>
        <v>0</v>
      </c>
      <c r="O57" s="199">
        <f t="shared" si="6"/>
        <v>0</v>
      </c>
    </row>
    <row r="58" spans="1:15" ht="20.100000000000001" customHeight="1">
      <c r="A58" s="18"/>
      <c r="B58" s="19"/>
      <c r="C58" s="19"/>
      <c r="D58" s="19"/>
      <c r="E58" s="19"/>
      <c r="F58" s="317"/>
      <c r="G58" s="317"/>
      <c r="H58" s="317"/>
      <c r="I58" s="324"/>
      <c r="J58" s="324"/>
      <c r="K58" s="324"/>
      <c r="L58" s="324"/>
      <c r="M58" s="324"/>
      <c r="N58" s="324"/>
      <c r="O58" s="324"/>
    </row>
    <row r="59" spans="1:15" ht="21.95" customHeight="1">
      <c r="A59" s="449" t="s">
        <v>79</v>
      </c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49"/>
    </row>
    <row r="60" spans="1:15" ht="20.100000000000001" customHeight="1">
      <c r="A60" s="16"/>
    </row>
    <row r="61" spans="1:15" ht="63.95" customHeight="1">
      <c r="A61" s="320" t="s">
        <v>140</v>
      </c>
      <c r="B61" s="413" t="s">
        <v>76</v>
      </c>
      <c r="C61" s="413"/>
      <c r="D61" s="413" t="s">
        <v>71</v>
      </c>
      <c r="E61" s="413"/>
      <c r="F61" s="413" t="s">
        <v>72</v>
      </c>
      <c r="G61" s="413"/>
      <c r="H61" s="413" t="s">
        <v>330</v>
      </c>
      <c r="I61" s="413"/>
      <c r="J61" s="413"/>
      <c r="K61" s="451" t="s">
        <v>92</v>
      </c>
      <c r="L61" s="452"/>
      <c r="M61" s="451" t="s">
        <v>37</v>
      </c>
      <c r="N61" s="345"/>
      <c r="O61" s="452"/>
    </row>
    <row r="62" spans="1:15" ht="18" customHeight="1">
      <c r="A62" s="319">
        <v>1</v>
      </c>
      <c r="B62" s="410">
        <v>2</v>
      </c>
      <c r="C62" s="410"/>
      <c r="D62" s="410">
        <v>3</v>
      </c>
      <c r="E62" s="410"/>
      <c r="F62" s="456">
        <v>4</v>
      </c>
      <c r="G62" s="456"/>
      <c r="H62" s="410">
        <v>5</v>
      </c>
      <c r="I62" s="410"/>
      <c r="J62" s="410"/>
      <c r="K62" s="410">
        <v>6</v>
      </c>
      <c r="L62" s="410"/>
      <c r="M62" s="453">
        <v>7</v>
      </c>
      <c r="N62" s="454"/>
      <c r="O62" s="455"/>
    </row>
    <row r="63" spans="1:15" ht="20.100000000000001" customHeight="1">
      <c r="A63" s="140"/>
      <c r="B63" s="442"/>
      <c r="C63" s="442"/>
      <c r="D63" s="442"/>
      <c r="E63" s="442"/>
      <c r="F63" s="442"/>
      <c r="G63" s="442"/>
      <c r="H63" s="442"/>
      <c r="I63" s="442"/>
      <c r="J63" s="442"/>
      <c r="K63" s="443"/>
      <c r="L63" s="444"/>
      <c r="M63" s="442"/>
      <c r="N63" s="442"/>
      <c r="O63" s="442"/>
    </row>
    <row r="64" spans="1:15" ht="20.100000000000001" customHeight="1">
      <c r="A64" s="140"/>
      <c r="B64" s="443"/>
      <c r="C64" s="444"/>
      <c r="D64" s="443"/>
      <c r="E64" s="444"/>
      <c r="F64" s="443"/>
      <c r="G64" s="444"/>
      <c r="H64" s="443"/>
      <c r="I64" s="457"/>
      <c r="J64" s="444"/>
      <c r="K64" s="443"/>
      <c r="L64" s="444"/>
      <c r="M64" s="443"/>
      <c r="N64" s="457"/>
      <c r="O64" s="444"/>
    </row>
    <row r="65" spans="1:15" ht="20.100000000000001" customHeight="1">
      <c r="A65" s="140"/>
      <c r="B65" s="442"/>
      <c r="C65" s="442"/>
      <c r="D65" s="442"/>
      <c r="E65" s="442"/>
      <c r="F65" s="442"/>
      <c r="G65" s="442"/>
      <c r="H65" s="442"/>
      <c r="I65" s="442"/>
      <c r="J65" s="442"/>
      <c r="K65" s="443"/>
      <c r="L65" s="444"/>
      <c r="M65" s="442"/>
      <c r="N65" s="442"/>
      <c r="O65" s="442"/>
    </row>
    <row r="66" spans="1:15" ht="20.100000000000001" customHeight="1">
      <c r="A66" s="141" t="s">
        <v>59</v>
      </c>
      <c r="B66" s="447" t="s">
        <v>38</v>
      </c>
      <c r="C66" s="447"/>
      <c r="D66" s="447" t="s">
        <v>38</v>
      </c>
      <c r="E66" s="447"/>
      <c r="F66" s="447" t="s">
        <v>38</v>
      </c>
      <c r="G66" s="447"/>
      <c r="H66" s="442"/>
      <c r="I66" s="442"/>
      <c r="J66" s="442"/>
      <c r="K66" s="445">
        <f>SUM(K63:L65)</f>
        <v>0</v>
      </c>
      <c r="L66" s="446"/>
      <c r="M66" s="442"/>
      <c r="N66" s="442"/>
      <c r="O66" s="442"/>
    </row>
    <row r="67" spans="1:15" ht="20.100000000000001" customHeight="1">
      <c r="A67" s="317"/>
      <c r="B67" s="22"/>
      <c r="C67" s="22"/>
      <c r="D67" s="22"/>
      <c r="E67" s="22"/>
      <c r="F67" s="22"/>
      <c r="G67" s="22"/>
      <c r="H67" s="22"/>
      <c r="I67" s="22"/>
      <c r="J67" s="22"/>
      <c r="K67" s="322"/>
      <c r="L67" s="322"/>
      <c r="M67" s="322"/>
      <c r="N67" s="322"/>
      <c r="O67" s="322"/>
    </row>
    <row r="68" spans="1:15" ht="21.95" customHeight="1">
      <c r="A68" s="449" t="s">
        <v>80</v>
      </c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</row>
    <row r="69" spans="1:15" ht="20.100000000000001" customHeight="1">
      <c r="A69" s="324"/>
      <c r="B69" s="14"/>
      <c r="C69" s="324"/>
      <c r="D69" s="324"/>
      <c r="E69" s="324"/>
      <c r="F69" s="324"/>
      <c r="G69" s="324"/>
      <c r="H69" s="324"/>
      <c r="I69" s="13"/>
    </row>
    <row r="70" spans="1:15" ht="63.95" customHeight="1">
      <c r="A70" s="448" t="s">
        <v>70</v>
      </c>
      <c r="B70" s="448"/>
      <c r="C70" s="448"/>
      <c r="D70" s="448" t="s">
        <v>93</v>
      </c>
      <c r="E70" s="448"/>
      <c r="F70" s="448"/>
      <c r="G70" s="448" t="s">
        <v>357</v>
      </c>
      <c r="H70" s="448"/>
      <c r="I70" s="448"/>
      <c r="J70" s="448" t="s">
        <v>351</v>
      </c>
      <c r="K70" s="448"/>
      <c r="L70" s="448"/>
      <c r="M70" s="448" t="s">
        <v>94</v>
      </c>
      <c r="N70" s="448"/>
      <c r="O70" s="448"/>
    </row>
    <row r="71" spans="1:15" ht="18" customHeight="1">
      <c r="A71" s="448">
        <v>1</v>
      </c>
      <c r="B71" s="448"/>
      <c r="C71" s="448"/>
      <c r="D71" s="448">
        <v>2</v>
      </c>
      <c r="E71" s="448"/>
      <c r="F71" s="448"/>
      <c r="G71" s="448">
        <v>3</v>
      </c>
      <c r="H71" s="448"/>
      <c r="I71" s="448"/>
      <c r="J71" s="450">
        <v>4</v>
      </c>
      <c r="K71" s="450"/>
      <c r="L71" s="450"/>
      <c r="M71" s="450">
        <v>5</v>
      </c>
      <c r="N71" s="450"/>
      <c r="O71" s="450"/>
    </row>
    <row r="72" spans="1:15" ht="20.100000000000001" customHeight="1">
      <c r="A72" s="435" t="s">
        <v>331</v>
      </c>
      <c r="B72" s="435"/>
      <c r="C72" s="435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</row>
    <row r="73" spans="1:15" ht="20.100000000000001" customHeight="1">
      <c r="A73" s="435" t="s">
        <v>115</v>
      </c>
      <c r="B73" s="435"/>
      <c r="C73" s="435"/>
      <c r="D73" s="439"/>
      <c r="E73" s="439"/>
      <c r="F73" s="439"/>
      <c r="G73" s="439"/>
      <c r="H73" s="439"/>
      <c r="I73" s="439"/>
      <c r="J73" s="439"/>
      <c r="K73" s="439"/>
      <c r="L73" s="439"/>
      <c r="M73" s="439"/>
      <c r="N73" s="439"/>
      <c r="O73" s="439"/>
    </row>
    <row r="74" spans="1:15" ht="20.100000000000001" customHeight="1">
      <c r="A74" s="435"/>
      <c r="B74" s="435"/>
      <c r="C74" s="435"/>
      <c r="D74" s="426"/>
      <c r="E74" s="441"/>
      <c r="F74" s="427"/>
      <c r="G74" s="426"/>
      <c r="H74" s="441"/>
      <c r="I74" s="427"/>
      <c r="J74" s="426"/>
      <c r="K74" s="441"/>
      <c r="L74" s="427"/>
      <c r="M74" s="426"/>
      <c r="N74" s="441"/>
      <c r="O74" s="427"/>
    </row>
    <row r="75" spans="1:15" ht="20.100000000000001" customHeight="1">
      <c r="A75" s="435" t="s">
        <v>332</v>
      </c>
      <c r="B75" s="435"/>
      <c r="C75" s="435"/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</row>
    <row r="76" spans="1:15" ht="20.100000000000001" customHeight="1">
      <c r="A76" s="435" t="s">
        <v>116</v>
      </c>
      <c r="B76" s="435"/>
      <c r="C76" s="435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</row>
    <row r="77" spans="1:15" ht="20.100000000000001" customHeight="1">
      <c r="A77" s="435"/>
      <c r="B77" s="435"/>
      <c r="C77" s="435"/>
      <c r="D77" s="426"/>
      <c r="E77" s="441"/>
      <c r="F77" s="427"/>
      <c r="G77" s="426"/>
      <c r="H77" s="441"/>
      <c r="I77" s="427"/>
      <c r="J77" s="426"/>
      <c r="K77" s="441"/>
      <c r="L77" s="427"/>
      <c r="M77" s="426"/>
      <c r="N77" s="441"/>
      <c r="O77" s="427"/>
    </row>
    <row r="78" spans="1:15" ht="20.100000000000001" customHeight="1">
      <c r="A78" s="435" t="s">
        <v>333</v>
      </c>
      <c r="B78" s="435"/>
      <c r="C78" s="435"/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</row>
    <row r="79" spans="1:15" ht="20.100000000000001" customHeight="1">
      <c r="A79" s="435" t="s">
        <v>115</v>
      </c>
      <c r="B79" s="435"/>
      <c r="C79" s="435"/>
      <c r="D79" s="439"/>
      <c r="E79" s="439"/>
      <c r="F79" s="439"/>
      <c r="G79" s="439"/>
      <c r="H79" s="439"/>
      <c r="I79" s="439"/>
      <c r="J79" s="439"/>
      <c r="K79" s="439"/>
      <c r="L79" s="439"/>
      <c r="M79" s="439"/>
      <c r="N79" s="439"/>
      <c r="O79" s="439"/>
    </row>
    <row r="80" spans="1:15" ht="20.100000000000001" customHeight="1">
      <c r="A80" s="436"/>
      <c r="B80" s="437"/>
      <c r="C80" s="438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39"/>
      <c r="O80" s="439"/>
    </row>
    <row r="81" spans="1:15" ht="20.100000000000001" customHeight="1">
      <c r="A81" s="436" t="s">
        <v>59</v>
      </c>
      <c r="B81" s="437"/>
      <c r="C81" s="438"/>
      <c r="D81" s="440"/>
      <c r="E81" s="440"/>
      <c r="F81" s="440"/>
      <c r="G81" s="440"/>
      <c r="H81" s="440"/>
      <c r="I81" s="440"/>
      <c r="J81" s="439"/>
      <c r="K81" s="439"/>
      <c r="L81" s="439"/>
      <c r="M81" s="439"/>
      <c r="N81" s="439"/>
      <c r="O81" s="439"/>
    </row>
    <row r="82" spans="1:15">
      <c r="C82" s="28"/>
      <c r="D82" s="28"/>
      <c r="E82" s="28"/>
    </row>
    <row r="83" spans="1:15">
      <c r="C83" s="28"/>
      <c r="D83" s="28"/>
      <c r="E83" s="28"/>
    </row>
    <row r="84" spans="1:15">
      <c r="C84" s="28"/>
      <c r="D84" s="28"/>
      <c r="E84" s="28"/>
    </row>
    <row r="85" spans="1:15">
      <c r="C85" s="28"/>
      <c r="D85" s="28"/>
      <c r="E85" s="28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</sheetData>
  <sheetProtection insertColumns="0" insertRows="0"/>
  <mergeCells count="290"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B64:C64"/>
    <mergeCell ref="D64:E64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4:G64"/>
    <mergeCell ref="H64:J64"/>
    <mergeCell ref="A71:C71"/>
    <mergeCell ref="M72:O72"/>
    <mergeCell ref="J71:L71"/>
    <mergeCell ref="K64:L64"/>
    <mergeCell ref="F63:G63"/>
    <mergeCell ref="M61:O61"/>
    <mergeCell ref="K62:L62"/>
    <mergeCell ref="M62:O62"/>
    <mergeCell ref="A59:O59"/>
    <mergeCell ref="B61:C61"/>
    <mergeCell ref="D61:E61"/>
    <mergeCell ref="F61:G61"/>
    <mergeCell ref="H61:J61"/>
    <mergeCell ref="K61:L61"/>
    <mergeCell ref="M63:O63"/>
    <mergeCell ref="B62:C62"/>
    <mergeCell ref="F62:G62"/>
    <mergeCell ref="H62:J62"/>
    <mergeCell ref="B63:C63"/>
    <mergeCell ref="H63:J63"/>
    <mergeCell ref="K63:L63"/>
    <mergeCell ref="D62:E62"/>
    <mergeCell ref="D63:E63"/>
    <mergeCell ref="M64:O64"/>
    <mergeCell ref="A73:C73"/>
    <mergeCell ref="D73:F73"/>
    <mergeCell ref="G73:I73"/>
    <mergeCell ref="J72:L72"/>
    <mergeCell ref="B66:C66"/>
    <mergeCell ref="D66:E66"/>
    <mergeCell ref="F66:G66"/>
    <mergeCell ref="B65:C65"/>
    <mergeCell ref="A74:C74"/>
    <mergeCell ref="D74:F74"/>
    <mergeCell ref="A72:C72"/>
    <mergeCell ref="D72:F72"/>
    <mergeCell ref="G74:I74"/>
    <mergeCell ref="J74:L74"/>
    <mergeCell ref="D71:F71"/>
    <mergeCell ref="A68:O68"/>
    <mergeCell ref="A70:C70"/>
    <mergeCell ref="D70:F70"/>
    <mergeCell ref="G70:I70"/>
    <mergeCell ref="J70:L70"/>
    <mergeCell ref="M71:O71"/>
    <mergeCell ref="M70:O70"/>
    <mergeCell ref="G71:I71"/>
    <mergeCell ref="J73:L73"/>
    <mergeCell ref="D65:E65"/>
    <mergeCell ref="H65:J65"/>
    <mergeCell ref="H66:J66"/>
    <mergeCell ref="F65:G65"/>
    <mergeCell ref="J78:L78"/>
    <mergeCell ref="J80:L80"/>
    <mergeCell ref="M78:O78"/>
    <mergeCell ref="J76:L76"/>
    <mergeCell ref="M76:O76"/>
    <mergeCell ref="M77:O77"/>
    <mergeCell ref="J77:L77"/>
    <mergeCell ref="D80:F80"/>
    <mergeCell ref="K65:L65"/>
    <mergeCell ref="M65:O65"/>
    <mergeCell ref="K66:L66"/>
    <mergeCell ref="M66:O66"/>
    <mergeCell ref="G72:I72"/>
    <mergeCell ref="G75:I75"/>
    <mergeCell ref="M75:O75"/>
    <mergeCell ref="J75:L75"/>
    <mergeCell ref="M73:O73"/>
    <mergeCell ref="M74:O74"/>
    <mergeCell ref="J81:L81"/>
    <mergeCell ref="M80:O80"/>
    <mergeCell ref="J79:L79"/>
    <mergeCell ref="M81:O81"/>
    <mergeCell ref="M79:O79"/>
    <mergeCell ref="G77:I77"/>
    <mergeCell ref="D77:F77"/>
    <mergeCell ref="D76:F76"/>
    <mergeCell ref="G76:I76"/>
    <mergeCell ref="A79:C79"/>
    <mergeCell ref="A80:C80"/>
    <mergeCell ref="G80:I80"/>
    <mergeCell ref="D75:F75"/>
    <mergeCell ref="G79:I79"/>
    <mergeCell ref="A75:C75"/>
    <mergeCell ref="D79:F79"/>
    <mergeCell ref="A81:C81"/>
    <mergeCell ref="D81:F81"/>
    <mergeCell ref="G81:I81"/>
    <mergeCell ref="A78:C78"/>
    <mergeCell ref="D78:F78"/>
    <mergeCell ref="G78:I78"/>
    <mergeCell ref="A77:C77"/>
    <mergeCell ref="A76:C76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0" orientation="landscape" horizontalDpi="4294967293" verticalDpi="1200" r:id="rId1"/>
  <headerFooter alignWithMargins="0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14</vt:i4>
      </vt:variant>
    </vt:vector>
  </HeadingPairs>
  <TitlesOfParts>
    <vt:vector size="26" baseType="lpstr">
      <vt:lpstr>Лист1</vt:lpstr>
      <vt:lpstr>тітул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Поясн</vt:lpstr>
      <vt:lpstr>штатка 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  <vt:lpstr>тітул!Область_печати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1235</cp:lastModifiedBy>
  <cp:lastPrinted>2018-12-27T13:13:49Z</cp:lastPrinted>
  <dcterms:created xsi:type="dcterms:W3CDTF">2003-03-13T16:00:22Z</dcterms:created>
  <dcterms:modified xsi:type="dcterms:W3CDTF">2019-01-08T12:45:08Z</dcterms:modified>
</cp:coreProperties>
</file>