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19 2021 год\ФИН ПЛАН 2022\І півріччя 2022\"/>
    </mc:Choice>
  </mc:AlternateContent>
  <xr:revisionPtr revIDLastSave="0" documentId="13_ncr:1_{BBE90BAB-F9CA-416E-9C23-212BDA20DE18}" xr6:coauthVersionLast="47" xr6:coauthVersionMax="47" xr10:uidLastSave="{00000000-0000-0000-0000-000000000000}"/>
  <bookViews>
    <workbookView xWindow="9530" yWindow="4550" windowWidth="25220" windowHeight="16770" tabRatio="909" xr2:uid="{00000000-000D-0000-FFFF-FFFF00000000}"/>
  </bookViews>
  <sheets>
    <sheet name="фінплан - зведені показники" sheetId="14" r:id="rId1"/>
    <sheet name="1. Фін результат" sheetId="2" r:id="rId2"/>
    <sheet name="2. Розрахунки з бюджетом" sheetId="19" r:id="rId3"/>
    <sheet name="3. Рух грошових коштів" sheetId="18" r:id="rId4"/>
    <sheet name="4. Кап. інвестиції" sheetId="3" r:id="rId5"/>
    <sheet name=" 5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CPIb">[10]попер_роз!#REF!</definedName>
    <definedName name="dPPIb">[10]попер_роз!#REF!</definedName>
    <definedName name="ds">'[11]7  Інші витрати'!#REF!</definedName>
    <definedName name="Fact_Type_ID">#REF!</definedName>
    <definedName name="G">'[12]МТР Газ України'!$B$1</definedName>
    <definedName name="ij1sssss">'[13]7  Інші витрати'!#REF!</definedName>
    <definedName name="LastItem">[14]Лист1!$A$1</definedName>
    <definedName name="Load">'[15]МТР Газ України'!$B$4</definedName>
    <definedName name="Load_ID">'[16]МТР Газ України'!$B$4</definedName>
    <definedName name="Load_ID_10">'[17]7  Інші витрати'!#REF!</definedName>
    <definedName name="Load_ID_11">'[18]МТР Газ України'!$B$4</definedName>
    <definedName name="Load_ID_12">'[18]МТР Газ України'!$B$4</definedName>
    <definedName name="Load_ID_13">'[18]МТР Газ України'!$B$4</definedName>
    <definedName name="Load_ID_14">'[18]МТР Газ України'!$B$4</definedName>
    <definedName name="Load_ID_15">'[18]МТР Газ України'!$B$4</definedName>
    <definedName name="Load_ID_16">'[18]МТР Газ України'!$B$4</definedName>
    <definedName name="Load_ID_17">'[18]МТР Газ України'!$B$4</definedName>
    <definedName name="Load_ID_18">'[19]МТР Газ України'!$B$4</definedName>
    <definedName name="Load_ID_19">'[20]МТР Газ України'!$B$4</definedName>
    <definedName name="Load_ID_20">'[19]МТР Газ України'!$B$4</definedName>
    <definedName name="Load_ID_200">'[15]МТР Газ України'!$B$4</definedName>
    <definedName name="Load_ID_21">'[21]МТР Газ України'!$B$4</definedName>
    <definedName name="Load_ID_23">'[20]МТР Газ України'!$B$4</definedName>
    <definedName name="Load_ID_25">'[21]МТР Газ України'!$B$4</definedName>
    <definedName name="Load_ID_542">'[22]МТР Газ України'!$B$4</definedName>
    <definedName name="Load_ID_6">'[18]МТР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[23]Inform!$E$5</definedName>
    <definedName name="qw">[5]Inform!$E$5</definedName>
    <definedName name="qwert">[5]Inform!$G$2</definedName>
    <definedName name="qwerty">'[4]МТР Газ України'!$B$4</definedName>
    <definedName name="ShowFil">[14]!ShowFil</definedName>
    <definedName name="SU_ID">#REF!</definedName>
    <definedName name="Time_ID">'[16]МТР Газ України'!$B$1</definedName>
    <definedName name="Time_ID_10">'[17]7  Інші витрати'!#REF!</definedName>
    <definedName name="Time_ID_11">'[18]МТР Газ України'!$B$1</definedName>
    <definedName name="Time_ID_12">'[18]МТР Газ України'!$B$1</definedName>
    <definedName name="Time_ID_13">'[18]МТР Газ України'!$B$1</definedName>
    <definedName name="Time_ID_14">'[18]МТР Газ України'!$B$1</definedName>
    <definedName name="Time_ID_15">'[18]МТР Газ України'!$B$1</definedName>
    <definedName name="Time_ID_16">'[18]МТР Газ України'!$B$1</definedName>
    <definedName name="Time_ID_17">'[18]МТР Газ України'!$B$1</definedName>
    <definedName name="Time_ID_18">'[19]МТР Газ України'!$B$1</definedName>
    <definedName name="Time_ID_19">'[20]МТР Газ України'!$B$1</definedName>
    <definedName name="Time_ID_20">'[19]МТР Газ України'!$B$1</definedName>
    <definedName name="Time_ID_21">'[21]МТР Газ України'!$B$1</definedName>
    <definedName name="Time_ID_23">'[20]МТР Газ України'!$B$1</definedName>
    <definedName name="Time_ID_25">'[21]МТР Газ України'!$B$1</definedName>
    <definedName name="Time_ID_6">'[18]МТР Газ України'!$B$1</definedName>
    <definedName name="Time_ID0">'[16]МТР Газ України'!$F$1</definedName>
    <definedName name="Time_ID0_10">'[17]7  Інші витрати'!#REF!</definedName>
    <definedName name="Time_ID0_11">'[18]МТР Газ України'!$F$1</definedName>
    <definedName name="Time_ID0_12">'[18]МТР Газ України'!$F$1</definedName>
    <definedName name="Time_ID0_13">'[18]МТР Газ України'!$F$1</definedName>
    <definedName name="Time_ID0_14">'[18]МТР Газ України'!$F$1</definedName>
    <definedName name="Time_ID0_15">'[18]МТР Газ України'!$F$1</definedName>
    <definedName name="Time_ID0_16">'[18]МТР Газ України'!$F$1</definedName>
    <definedName name="Time_ID0_17">'[18]МТР Газ України'!$F$1</definedName>
    <definedName name="Time_ID0_18">'[19]МТР Газ України'!$F$1</definedName>
    <definedName name="Time_ID0_19">'[20]МТР Газ України'!$F$1</definedName>
    <definedName name="Time_ID0_20">'[19]МТР Газ України'!$F$1</definedName>
    <definedName name="Time_ID0_21">'[21]МТР Газ України'!$F$1</definedName>
    <definedName name="Time_ID0_23">'[20]МТР Газ України'!$F$1</definedName>
    <definedName name="Time_ID0_25">'[21]МТР Газ України'!$F$1</definedName>
    <definedName name="Time_ID0_6">'[18]МТР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'[24]МТР Газ України'!$B$4</definedName>
    <definedName name="wr">'[24]МТР Газ України'!$B$4</definedName>
    <definedName name="yyyy">#REF!</definedName>
    <definedName name="zx">'[4]МТР Газ України'!$F$1</definedName>
    <definedName name="zxc">[5]Inform!$E$38</definedName>
    <definedName name="а">'[13]7  Інші витрати'!#REF!</definedName>
    <definedName name="ав">#REF!</definedName>
    <definedName name="аен">'[24]МТР Газ України'!$B$4</definedName>
    <definedName name="_xlnm.Database">'[25]Ener '!$A$1:$G$2645</definedName>
    <definedName name="в">'[26]МТР Газ України'!$F$1</definedName>
    <definedName name="ватт">'[27]БАЗА  '!#REF!</definedName>
    <definedName name="Д">'[15]МТР Газ України'!$B$4</definedName>
    <definedName name="е">#REF!</definedName>
    <definedName name="є">#REF!</definedName>
    <definedName name="_xlnm.Print_Titles" localSheetId="5">' 5. Коефіцієнти'!$5:$5</definedName>
    <definedName name="_xlnm.Print_Titles" localSheetId="1">'1. Фін результат'!$7:$7</definedName>
    <definedName name="_xlnm.Print_Titles" localSheetId="2">'2. Розрахунки з бюджетом'!$6:$6</definedName>
    <definedName name="_xlnm.Print_Titles" localSheetId="3">'3. Рух грошових коштів'!$7:$7</definedName>
    <definedName name="_xlnm.Print_Titles" localSheetId="0">'фінплан - зведені показники'!$29:$29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'[12]МТР Газ України'!$B$1</definedName>
    <definedName name="іцу">[23]Inform!$G$2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5. Коефіцієнти'!$A$1:$F$27</definedName>
    <definedName name="_xlnm.Print_Area" localSheetId="1">'1. Фін результат'!$A$1:$H$186</definedName>
    <definedName name="_xlnm.Print_Area" localSheetId="2">'2. Розрахунки з бюджетом'!$A$2:$P$42</definedName>
    <definedName name="_xlnm.Print_Area" localSheetId="3">'3. Рух грошових коштів'!$A$1:$O$95</definedName>
    <definedName name="_xlnm.Print_Area" localSheetId="4">'4. Кап. інвестиції'!$A$1:$G$19</definedName>
    <definedName name="_xlnm.Print_Area" localSheetId="6">'6.1. Інша інфо_1'!$A$1:$T$78</definedName>
    <definedName name="_xlnm.Print_Area" localSheetId="7">'6.2. Інша інфо_2'!$A$1:$AF$61</definedName>
    <definedName name="_xlnm.Print_Area" localSheetId="0">'фінплан - зведені показники'!$A$1:$G$82</definedName>
    <definedName name="п">'[13]7  Інші витрати'!#REF!</definedName>
    <definedName name="пдв">'[15]МТР Газ України'!$B$4</definedName>
    <definedName name="пдв_утг">'[15]МТР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'[15]МТР Газ України'!$B$4</definedName>
    <definedName name="фів">'[24]МТР Газ України'!$B$4</definedName>
    <definedName name="фіваіф">'[30]7  Інші витрати'!#REF!</definedName>
    <definedName name="фф">'[26]МТР Газ України'!$F$1</definedName>
    <definedName name="ц">'[13]7  Інші витрати'!#REF!</definedName>
    <definedName name="ччч">'[35]БАЗА  '!#REF!</definedName>
    <definedName name="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7" i="19" l="1"/>
  <c r="G37" i="19" s="1"/>
  <c r="E18" i="18"/>
  <c r="E14" i="18"/>
  <c r="E28" i="18"/>
  <c r="E9" i="2"/>
  <c r="J28" i="10" l="1"/>
  <c r="H20" i="10"/>
  <c r="E177" i="2"/>
  <c r="E29" i="19"/>
  <c r="E50" i="10" l="1"/>
  <c r="E179" i="2"/>
  <c r="E18" i="2"/>
  <c r="E17" i="2"/>
  <c r="E178" i="2" s="1"/>
  <c r="E80" i="2"/>
  <c r="E20" i="2" s="1"/>
  <c r="E180" i="2" s="1"/>
  <c r="E79" i="2"/>
  <c r="E78" i="2"/>
  <c r="J21" i="10" s="1"/>
  <c r="J29" i="10" s="1"/>
  <c r="E71" i="2"/>
  <c r="AA9" i="9"/>
  <c r="E19" i="11"/>
  <c r="E25" i="18"/>
  <c r="E82" i="18"/>
  <c r="E24" i="18"/>
  <c r="E23" i="18"/>
  <c r="E20" i="18"/>
  <c r="E17" i="18"/>
  <c r="E14" i="2"/>
  <c r="E176" i="2" s="1"/>
  <c r="E175" i="2" s="1"/>
  <c r="E99" i="2"/>
  <c r="E92" i="2" s="1"/>
  <c r="E97" i="2"/>
  <c r="E84" i="2"/>
  <c r="E32" i="2"/>
  <c r="E31" i="2"/>
  <c r="E23" i="2"/>
  <c r="D67" i="14"/>
  <c r="J22" i="10" l="1"/>
  <c r="J30" i="10" s="1"/>
  <c r="J26" i="10"/>
  <c r="D19" i="11"/>
  <c r="C68" i="18"/>
  <c r="C28" i="18"/>
  <c r="C25" i="18" s="1"/>
  <c r="C24" i="18"/>
  <c r="C23" i="18"/>
  <c r="C180" i="2"/>
  <c r="C169" i="2" s="1"/>
  <c r="C179" i="2"/>
  <c r="C37" i="19" s="1"/>
  <c r="C178" i="2"/>
  <c r="C177" i="2"/>
  <c r="C176" i="2"/>
  <c r="C113" i="2"/>
  <c r="C21" i="2"/>
  <c r="D72" i="14"/>
  <c r="D71" i="14"/>
  <c r="D70" i="14"/>
  <c r="D68" i="14"/>
  <c r="E49" i="10" l="1"/>
  <c r="H28" i="10"/>
  <c r="H22" i="10"/>
  <c r="H30" i="10" s="1"/>
  <c r="H24" i="10"/>
  <c r="H21" i="10"/>
  <c r="H29" i="10" s="1"/>
  <c r="D113" i="2"/>
  <c r="D70" i="2"/>
  <c r="C92" i="2"/>
  <c r="C70" i="2" s="1"/>
  <c r="D21" i="2"/>
  <c r="J24" i="10"/>
  <c r="J25" i="10" s="1"/>
  <c r="H26" i="10" l="1"/>
  <c r="D76" i="14"/>
  <c r="E73" i="14"/>
  <c r="E70" i="14"/>
  <c r="E10" i="3" l="1"/>
  <c r="E6" i="3" s="1"/>
  <c r="E49" i="18"/>
  <c r="E55" i="18" s="1"/>
  <c r="E141" i="2" l="1"/>
  <c r="E113" i="2"/>
  <c r="E108" i="2" s="1"/>
  <c r="F133" i="2"/>
  <c r="G133" i="2"/>
  <c r="E59" i="2"/>
  <c r="E21" i="2"/>
  <c r="E13" i="2" s="1"/>
  <c r="E162" i="2" l="1"/>
  <c r="E11" i="18"/>
  <c r="J13" i="2"/>
  <c r="D15" i="11"/>
  <c r="E15" i="18" l="1"/>
  <c r="D14" i="11"/>
  <c r="C44" i="18"/>
  <c r="C145" i="2"/>
  <c r="C141" i="2"/>
  <c r="C108" i="2"/>
  <c r="C13" i="2"/>
  <c r="H34" i="10" l="1"/>
  <c r="H33" i="10"/>
  <c r="D68" i="18"/>
  <c r="D25" i="18"/>
  <c r="D175" i="2"/>
  <c r="D182" i="2" s="1"/>
  <c r="D169" i="2"/>
  <c r="D145" i="2"/>
  <c r="D141" i="2"/>
  <c r="D13" i="2"/>
  <c r="H25" i="10" l="1"/>
  <c r="E68" i="18" l="1"/>
  <c r="C175" i="2" l="1"/>
  <c r="D17" i="18" l="1"/>
  <c r="C20" i="18" l="1"/>
  <c r="C17" i="18"/>
  <c r="J32" i="10" l="1"/>
  <c r="G175" i="2"/>
  <c r="G14" i="2"/>
  <c r="E169" i="2"/>
  <c r="F169" i="2" s="1"/>
  <c r="V35" i="9"/>
  <c r="E145" i="2"/>
  <c r="E164" i="2" s="1"/>
  <c r="E41" i="14" s="1"/>
  <c r="G67" i="2"/>
  <c r="F67" i="2"/>
  <c r="F31" i="2"/>
  <c r="G50" i="2"/>
  <c r="G51" i="2"/>
  <c r="F51" i="2"/>
  <c r="G51" i="10"/>
  <c r="G50" i="10"/>
  <c r="I50" i="10" s="1"/>
  <c r="N49" i="10"/>
  <c r="D108" i="2"/>
  <c r="C34" i="14"/>
  <c r="D59" i="2"/>
  <c r="F59" i="2" s="1"/>
  <c r="F43" i="2"/>
  <c r="G43" i="2"/>
  <c r="E15" i="11"/>
  <c r="C164" i="2"/>
  <c r="C41" i="14" s="1"/>
  <c r="C59" i="2"/>
  <c r="C65" i="14"/>
  <c r="C10" i="3"/>
  <c r="C6" i="3" s="1"/>
  <c r="C11" i="18"/>
  <c r="C15" i="18" s="1"/>
  <c r="C29" i="19"/>
  <c r="G29" i="19"/>
  <c r="C9" i="2"/>
  <c r="G49" i="10"/>
  <c r="I49" i="10" s="1"/>
  <c r="F92" i="2"/>
  <c r="U36" i="9"/>
  <c r="K50" i="10"/>
  <c r="D49" i="10"/>
  <c r="F49" i="10" s="1"/>
  <c r="D32" i="10"/>
  <c r="D24" i="10"/>
  <c r="D14" i="18"/>
  <c r="F50" i="18"/>
  <c r="F51" i="18"/>
  <c r="F49" i="18"/>
  <c r="F87" i="18"/>
  <c r="G87" i="18"/>
  <c r="G8" i="19"/>
  <c r="F8" i="19"/>
  <c r="E58" i="14"/>
  <c r="E54" i="14"/>
  <c r="E49" i="14"/>
  <c r="E14" i="11"/>
  <c r="E65" i="14" s="1"/>
  <c r="F10" i="3"/>
  <c r="N8" i="9"/>
  <c r="F57" i="2"/>
  <c r="F49" i="2"/>
  <c r="F50" i="2"/>
  <c r="F56" i="2"/>
  <c r="G76" i="14"/>
  <c r="F72" i="14"/>
  <c r="D6" i="3"/>
  <c r="D61" i="14" s="1"/>
  <c r="D55" i="18"/>
  <c r="D56" i="14" s="1"/>
  <c r="C73" i="14"/>
  <c r="G84" i="2"/>
  <c r="G23" i="2"/>
  <c r="D54" i="14"/>
  <c r="D51" i="14"/>
  <c r="D49" i="14"/>
  <c r="K49" i="10"/>
  <c r="D50" i="10"/>
  <c r="J50" i="10" s="1"/>
  <c r="D35" i="19"/>
  <c r="D26" i="19" s="1"/>
  <c r="D164" i="2"/>
  <c r="D9" i="2"/>
  <c r="D58" i="2" s="1"/>
  <c r="C70" i="14"/>
  <c r="D58" i="14"/>
  <c r="F15" i="2"/>
  <c r="G57" i="2"/>
  <c r="F41" i="2"/>
  <c r="F47" i="2"/>
  <c r="G36" i="2"/>
  <c r="G38" i="2"/>
  <c r="G39" i="2"/>
  <c r="F42" i="2"/>
  <c r="G42" i="2"/>
  <c r="F44" i="2"/>
  <c r="G44" i="2"/>
  <c r="F45" i="2"/>
  <c r="G45" i="2"/>
  <c r="F46" i="2"/>
  <c r="C55" i="18"/>
  <c r="C18" i="18" s="1"/>
  <c r="C35" i="19"/>
  <c r="D51" i="10"/>
  <c r="AC32" i="9"/>
  <c r="AC33" i="9"/>
  <c r="AC36" i="9" s="1"/>
  <c r="M37" i="9" s="1"/>
  <c r="L13" i="10"/>
  <c r="N13" i="10"/>
  <c r="L14" i="10"/>
  <c r="N14" i="10"/>
  <c r="L15" i="10"/>
  <c r="N15" i="10"/>
  <c r="L16" i="10"/>
  <c r="N16" i="10"/>
  <c r="L17" i="10"/>
  <c r="N17" i="10"/>
  <c r="L18" i="10"/>
  <c r="N18" i="10"/>
  <c r="N20" i="10"/>
  <c r="D33" i="10"/>
  <c r="D34" i="10"/>
  <c r="D11" i="18"/>
  <c r="F24" i="19"/>
  <c r="G24" i="19"/>
  <c r="F30" i="19"/>
  <c r="G30" i="19"/>
  <c r="E35" i="19"/>
  <c r="F36" i="19"/>
  <c r="G36" i="19"/>
  <c r="F37" i="19"/>
  <c r="F10" i="2"/>
  <c r="G10" i="2"/>
  <c r="G11" i="2"/>
  <c r="F12" i="2"/>
  <c r="G15" i="2"/>
  <c r="F16" i="2"/>
  <c r="F22" i="2"/>
  <c r="G22" i="2"/>
  <c r="F23" i="2"/>
  <c r="F24" i="2"/>
  <c r="G24" i="2"/>
  <c r="F25" i="2"/>
  <c r="G25" i="2"/>
  <c r="F26" i="2"/>
  <c r="F27" i="2"/>
  <c r="G27" i="2"/>
  <c r="F28" i="2"/>
  <c r="G28" i="2"/>
  <c r="F29" i="2"/>
  <c r="G29" i="2"/>
  <c r="F30" i="2"/>
  <c r="G30" i="2"/>
  <c r="G31" i="2"/>
  <c r="F33" i="2"/>
  <c r="G33" i="2"/>
  <c r="F36" i="2"/>
  <c r="F37" i="2"/>
  <c r="F38" i="2"/>
  <c r="F39" i="2"/>
  <c r="F40" i="2"/>
  <c r="G40" i="2"/>
  <c r="F60" i="2"/>
  <c r="G60" i="2"/>
  <c r="F68" i="2"/>
  <c r="F76" i="2"/>
  <c r="G76" i="2"/>
  <c r="F77" i="2"/>
  <c r="G77" i="2"/>
  <c r="F79" i="2"/>
  <c r="F85" i="2"/>
  <c r="G85" i="2"/>
  <c r="F91" i="2"/>
  <c r="F93" i="2"/>
  <c r="G93" i="2"/>
  <c r="F94" i="2"/>
  <c r="G94" i="2"/>
  <c r="F95" i="2"/>
  <c r="G95" i="2"/>
  <c r="F96" i="2"/>
  <c r="G96" i="2"/>
  <c r="G97" i="2"/>
  <c r="F99" i="2"/>
  <c r="F115" i="2"/>
  <c r="G115" i="2"/>
  <c r="F127" i="2"/>
  <c r="F129" i="2"/>
  <c r="G129" i="2"/>
  <c r="F151" i="2"/>
  <c r="G151" i="2"/>
  <c r="C163" i="2"/>
  <c r="D163" i="2"/>
  <c r="E163" i="2"/>
  <c r="F177" i="2"/>
  <c r="G177" i="2"/>
  <c r="F179" i="2"/>
  <c r="G179" i="2"/>
  <c r="F180" i="2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47" i="14"/>
  <c r="B48" i="14"/>
  <c r="C49" i="14"/>
  <c r="B50" i="14"/>
  <c r="B51" i="14"/>
  <c r="C51" i="14"/>
  <c r="E51" i="14"/>
  <c r="B52" i="14"/>
  <c r="B54" i="14"/>
  <c r="C54" i="14"/>
  <c r="B55" i="14"/>
  <c r="B56" i="14"/>
  <c r="B57" i="14"/>
  <c r="B58" i="14"/>
  <c r="C58" i="14"/>
  <c r="B59" i="14"/>
  <c r="B61" i="14"/>
  <c r="B63" i="14"/>
  <c r="B64" i="14"/>
  <c r="B65" i="14"/>
  <c r="F67" i="14"/>
  <c r="G67" i="14"/>
  <c r="F68" i="14"/>
  <c r="G68" i="14"/>
  <c r="F71" i="14"/>
  <c r="G72" i="14"/>
  <c r="F76" i="14"/>
  <c r="D22" i="19"/>
  <c r="D73" i="18" s="1"/>
  <c r="F97" i="2"/>
  <c r="G32" i="2"/>
  <c r="F14" i="2"/>
  <c r="F84" i="2"/>
  <c r="F80" i="2"/>
  <c r="G80" i="2"/>
  <c r="G79" i="2"/>
  <c r="G71" i="2"/>
  <c r="F71" i="2"/>
  <c r="F32" i="2"/>
  <c r="L20" i="10"/>
  <c r="G71" i="14"/>
  <c r="C31" i="14"/>
  <c r="F113" i="2"/>
  <c r="G113" i="2"/>
  <c r="N50" i="10"/>
  <c r="D32" i="14"/>
  <c r="N21" i="10"/>
  <c r="L21" i="10"/>
  <c r="F17" i="2"/>
  <c r="F78" i="2"/>
  <c r="G78" i="2"/>
  <c r="F175" i="2"/>
  <c r="F29" i="19"/>
  <c r="E26" i="19"/>
  <c r="G145" i="2"/>
  <c r="G17" i="2"/>
  <c r="G12" i="2"/>
  <c r="F11" i="2"/>
  <c r="G52" i="10"/>
  <c r="J51" i="10" l="1"/>
  <c r="E165" i="2"/>
  <c r="J9" i="2"/>
  <c r="F50" i="10"/>
  <c r="L50" i="10" s="1"/>
  <c r="M51" i="10"/>
  <c r="F51" i="14"/>
  <c r="G59" i="2"/>
  <c r="F35" i="19"/>
  <c r="G35" i="19"/>
  <c r="N9" i="9"/>
  <c r="M50" i="10"/>
  <c r="E31" i="14"/>
  <c r="E18" i="11" s="1"/>
  <c r="E58" i="2"/>
  <c r="E7" i="11" s="1"/>
  <c r="F49" i="14"/>
  <c r="F9" i="2"/>
  <c r="G9" i="2"/>
  <c r="F145" i="2"/>
  <c r="G92" i="2"/>
  <c r="G169" i="2"/>
  <c r="E50" i="14"/>
  <c r="D31" i="14"/>
  <c r="D33" i="14" s="1"/>
  <c r="C165" i="2"/>
  <c r="C58" i="2"/>
  <c r="D165" i="2"/>
  <c r="G165" i="2" s="1"/>
  <c r="J49" i="10"/>
  <c r="G11" i="18"/>
  <c r="G180" i="2"/>
  <c r="G176" i="2"/>
  <c r="F176" i="2"/>
  <c r="C56" i="14"/>
  <c r="C14" i="18"/>
  <c r="C162" i="2"/>
  <c r="C36" i="14" s="1"/>
  <c r="C26" i="19"/>
  <c r="C50" i="14" s="1"/>
  <c r="M49" i="10"/>
  <c r="E70" i="2"/>
  <c r="J70" i="2" s="1"/>
  <c r="F15" i="18"/>
  <c r="F54" i="14"/>
  <c r="D50" i="14"/>
  <c r="F26" i="19"/>
  <c r="Q37" i="9"/>
  <c r="D73" i="14"/>
  <c r="F73" i="14" s="1"/>
  <c r="D36" i="14"/>
  <c r="G21" i="2"/>
  <c r="G26" i="19"/>
  <c r="G51" i="14"/>
  <c r="G54" i="14"/>
  <c r="F55" i="18"/>
  <c r="E56" i="14"/>
  <c r="F56" i="14" s="1"/>
  <c r="G70" i="14"/>
  <c r="F70" i="14"/>
  <c r="G18" i="2"/>
  <c r="F18" i="2"/>
  <c r="D41" i="14"/>
  <c r="F164" i="2"/>
  <c r="G164" i="2"/>
  <c r="G108" i="2"/>
  <c r="F108" i="2"/>
  <c r="C32" i="14"/>
  <c r="C33" i="14" s="1"/>
  <c r="D34" i="14"/>
  <c r="L28" i="10"/>
  <c r="H32" i="10"/>
  <c r="N32" i="10" s="1"/>
  <c r="F20" i="2"/>
  <c r="G20" i="2"/>
  <c r="N29" i="10"/>
  <c r="J33" i="10"/>
  <c r="L29" i="10"/>
  <c r="D52" i="10"/>
  <c r="N22" i="10"/>
  <c r="N28" i="10"/>
  <c r="G49" i="14"/>
  <c r="F52" i="10"/>
  <c r="F11" i="18"/>
  <c r="D17" i="11"/>
  <c r="D18" i="11"/>
  <c r="C61" i="14"/>
  <c r="E61" i="14"/>
  <c r="F61" i="14" s="1"/>
  <c r="E17" i="11"/>
  <c r="F6" i="3"/>
  <c r="I52" i="10"/>
  <c r="V34" i="9"/>
  <c r="W34" i="9" s="1"/>
  <c r="V33" i="9"/>
  <c r="V36" i="9" s="1"/>
  <c r="F50" i="14" l="1"/>
  <c r="F165" i="2"/>
  <c r="F31" i="14"/>
  <c r="G70" i="2"/>
  <c r="E166" i="2"/>
  <c r="G31" i="14"/>
  <c r="G73" i="14"/>
  <c r="G50" i="14"/>
  <c r="F21" i="2"/>
  <c r="F178" i="2"/>
  <c r="G178" i="2"/>
  <c r="L22" i="10"/>
  <c r="N26" i="10"/>
  <c r="L26" i="10"/>
  <c r="F70" i="2"/>
  <c r="E34" i="14"/>
  <c r="G34" i="14" s="1"/>
  <c r="G15" i="18"/>
  <c r="D65" i="14"/>
  <c r="F65" i="14" s="1"/>
  <c r="D168" i="2"/>
  <c r="D173" i="2" s="1"/>
  <c r="D38" i="14" s="1"/>
  <c r="D39" i="14" s="1"/>
  <c r="D37" i="14"/>
  <c r="D154" i="2"/>
  <c r="L32" i="10"/>
  <c r="N24" i="10"/>
  <c r="L24" i="10"/>
  <c r="N25" i="10"/>
  <c r="L25" i="10"/>
  <c r="G41" i="14"/>
  <c r="F41" i="14"/>
  <c r="L49" i="10"/>
  <c r="N33" i="10"/>
  <c r="L33" i="10"/>
  <c r="D7" i="11"/>
  <c r="C136" i="2"/>
  <c r="F162" i="2"/>
  <c r="E36" i="14"/>
  <c r="G162" i="2"/>
  <c r="W36" i="9"/>
  <c r="AD33" i="9"/>
  <c r="AD36" i="9" s="1"/>
  <c r="E181" i="2" l="1"/>
  <c r="E182" i="2" s="1"/>
  <c r="E32" i="14"/>
  <c r="F32" i="14" s="1"/>
  <c r="F13" i="2"/>
  <c r="G13" i="2"/>
  <c r="G65" i="14"/>
  <c r="J34" i="10"/>
  <c r="N30" i="10"/>
  <c r="L30" i="10"/>
  <c r="F34" i="14"/>
  <c r="G14" i="18"/>
  <c r="F14" i="18"/>
  <c r="E136" i="2"/>
  <c r="F58" i="2"/>
  <c r="G58" i="2"/>
  <c r="F36" i="14"/>
  <c r="G36" i="14"/>
  <c r="C37" i="14"/>
  <c r="C168" i="2"/>
  <c r="C173" i="2" s="1"/>
  <c r="C154" i="2"/>
  <c r="D155" i="2"/>
  <c r="D157" i="2" s="1"/>
  <c r="D42" i="14"/>
  <c r="D9" i="18"/>
  <c r="E33" i="14" l="1"/>
  <c r="G33" i="14" s="1"/>
  <c r="G32" i="14"/>
  <c r="D19" i="18"/>
  <c r="D30" i="18" s="1"/>
  <c r="N34" i="10"/>
  <c r="L34" i="10"/>
  <c r="D158" i="2"/>
  <c r="D44" i="14"/>
  <c r="D63" i="14" s="1"/>
  <c r="D10" i="19"/>
  <c r="D159" i="2"/>
  <c r="C9" i="18"/>
  <c r="C19" i="18" s="1"/>
  <c r="C30" i="18" s="1"/>
  <c r="C42" i="14"/>
  <c r="C155" i="2"/>
  <c r="C166" i="2" s="1"/>
  <c r="C181" i="2" s="1"/>
  <c r="C182" i="2" s="1"/>
  <c r="G136" i="2"/>
  <c r="E37" i="14"/>
  <c r="E168" i="2"/>
  <c r="F136" i="2"/>
  <c r="E154" i="2"/>
  <c r="E9" i="18" s="1"/>
  <c r="D31" i="18"/>
  <c r="D43" i="14"/>
  <c r="D23" i="19"/>
  <c r="D48" i="14" s="1"/>
  <c r="C38" i="14"/>
  <c r="D13" i="11" s="1"/>
  <c r="D8" i="11"/>
  <c r="E19" i="18" l="1"/>
  <c r="E30" i="18" s="1"/>
  <c r="F33" i="14"/>
  <c r="D32" i="18"/>
  <c r="D55" i="14" s="1"/>
  <c r="C157" i="2"/>
  <c r="D9" i="11" s="1"/>
  <c r="C63" i="14" s="1"/>
  <c r="F37" i="14"/>
  <c r="G37" i="14"/>
  <c r="C39" i="14"/>
  <c r="F154" i="2"/>
  <c r="E42" i="14"/>
  <c r="E157" i="2"/>
  <c r="G154" i="2"/>
  <c r="G168" i="2"/>
  <c r="E173" i="2"/>
  <c r="E8" i="11" s="1"/>
  <c r="F168" i="2"/>
  <c r="C31" i="18"/>
  <c r="C32" i="18" s="1"/>
  <c r="C23" i="19"/>
  <c r="C48" i="14" s="1"/>
  <c r="C43" i="14"/>
  <c r="D9" i="19"/>
  <c r="D21" i="19"/>
  <c r="D45" i="14"/>
  <c r="D64" i="14"/>
  <c r="E159" i="2" l="1"/>
  <c r="D10" i="11"/>
  <c r="C64" i="14" s="1"/>
  <c r="E11" i="11"/>
  <c r="E10" i="11"/>
  <c r="E64" i="14" s="1"/>
  <c r="G64" i="14" s="1"/>
  <c r="E9" i="11"/>
  <c r="E63" i="14" s="1"/>
  <c r="C159" i="2"/>
  <c r="D11" i="11"/>
  <c r="C45" i="14" s="1"/>
  <c r="C44" i="14"/>
  <c r="C158" i="2"/>
  <c r="C10" i="19"/>
  <c r="C11" i="19" s="1"/>
  <c r="C22" i="19" s="1"/>
  <c r="C73" i="18" s="1"/>
  <c r="G157" i="2"/>
  <c r="E45" i="14"/>
  <c r="F45" i="14" s="1"/>
  <c r="E158" i="2"/>
  <c r="F157" i="2"/>
  <c r="E44" i="14"/>
  <c r="D72" i="18"/>
  <c r="D85" i="18" s="1"/>
  <c r="D20" i="19"/>
  <c r="D38" i="19" s="1"/>
  <c r="C55" i="14"/>
  <c r="E38" i="14"/>
  <c r="E13" i="11" s="1"/>
  <c r="F173" i="2"/>
  <c r="G173" i="2"/>
  <c r="F9" i="18"/>
  <c r="G9" i="18"/>
  <c r="E31" i="18"/>
  <c r="E32" i="18" s="1"/>
  <c r="F155" i="2"/>
  <c r="E43" i="14"/>
  <c r="F42" i="14"/>
  <c r="G42" i="14"/>
  <c r="C9" i="19" l="1"/>
  <c r="C18" i="19" s="1"/>
  <c r="C21" i="19"/>
  <c r="C20" i="19" s="1"/>
  <c r="F181" i="2"/>
  <c r="G181" i="2"/>
  <c r="F64" i="14"/>
  <c r="E22" i="19"/>
  <c r="E73" i="18"/>
  <c r="F11" i="19"/>
  <c r="G11" i="19"/>
  <c r="F166" i="2"/>
  <c r="G166" i="2"/>
  <c r="F31" i="18"/>
  <c r="G31" i="18"/>
  <c r="D47" i="14"/>
  <c r="D52" i="14"/>
  <c r="F63" i="14"/>
  <c r="G63" i="14"/>
  <c r="E48" i="14"/>
  <c r="F48" i="14" s="1"/>
  <c r="F23" i="19"/>
  <c r="G19" i="18"/>
  <c r="F19" i="18"/>
  <c r="E39" i="14"/>
  <c r="F39" i="14" s="1"/>
  <c r="G38" i="14"/>
  <c r="F38" i="14"/>
  <c r="D57" i="14"/>
  <c r="D89" i="18"/>
  <c r="D59" i="14" s="1"/>
  <c r="D69" i="14" s="1"/>
  <c r="D90" i="18"/>
  <c r="G44" i="14"/>
  <c r="F44" i="14"/>
  <c r="G10" i="19"/>
  <c r="E72" i="18"/>
  <c r="E85" i="18" s="1"/>
  <c r="E89" i="18" s="1"/>
  <c r="E21" i="19"/>
  <c r="E9" i="19"/>
  <c r="E18" i="19" s="1"/>
  <c r="F10" i="19"/>
  <c r="G158" i="2"/>
  <c r="F158" i="2"/>
  <c r="C72" i="18" l="1"/>
  <c r="C85" i="18" s="1"/>
  <c r="C89" i="18" s="1"/>
  <c r="F182" i="2"/>
  <c r="G182" i="2"/>
  <c r="F21" i="19"/>
  <c r="G21" i="19"/>
  <c r="E20" i="19"/>
  <c r="E38" i="19" s="1"/>
  <c r="G69" i="14"/>
  <c r="F69" i="14"/>
  <c r="F30" i="18"/>
  <c r="G30" i="18"/>
  <c r="C47" i="14"/>
  <c r="C38" i="19"/>
  <c r="C52" i="14" s="1"/>
  <c r="F73" i="18"/>
  <c r="G73" i="18"/>
  <c r="G9" i="19"/>
  <c r="F9" i="19"/>
  <c r="G72" i="18"/>
  <c r="F72" i="18"/>
  <c r="F22" i="19"/>
  <c r="G22" i="19"/>
  <c r="C90" i="18" l="1"/>
  <c r="C57" i="14"/>
  <c r="C59" i="14"/>
  <c r="E90" i="18"/>
  <c r="E57" i="14"/>
  <c r="G85" i="18"/>
  <c r="F85" i="18"/>
  <c r="G18" i="19"/>
  <c r="F18" i="19"/>
  <c r="G32" i="18"/>
  <c r="E55" i="14"/>
  <c r="F32" i="18"/>
  <c r="E47" i="14"/>
  <c r="G20" i="19"/>
  <c r="F20" i="19"/>
  <c r="G38" i="19" l="1"/>
  <c r="F38" i="19"/>
  <c r="E52" i="14"/>
  <c r="F90" i="18"/>
  <c r="G90" i="18"/>
  <c r="F47" i="14"/>
  <c r="G47" i="14"/>
  <c r="E59" i="14"/>
  <c r="F89" i="18"/>
  <c r="G89" i="18"/>
  <c r="G55" i="14"/>
  <c r="F55" i="14"/>
  <c r="G57" i="14"/>
  <c r="F57" i="14"/>
  <c r="G59" i="14" l="1"/>
  <c r="F59" i="14"/>
  <c r="G52" i="14"/>
  <c r="F52" i="14"/>
</calcChain>
</file>

<file path=xl/sharedStrings.xml><?xml version="1.0" encoding="utf-8"?>
<sst xmlns="http://schemas.openxmlformats.org/spreadsheetml/2006/main" count="803" uniqueCount="622">
  <si>
    <t>Код рядка</t>
  </si>
  <si>
    <t>капітальне будівництво</t>
  </si>
  <si>
    <t>придбання (виготовлення) основних засобів</t>
  </si>
  <si>
    <t>придбання (створення) нематеріальних активів</t>
  </si>
  <si>
    <t>Фінансовий результат від операційної діяльності</t>
  </si>
  <si>
    <t>Витрати на оплату праці</t>
  </si>
  <si>
    <t>Відрахування на соціальні заходи</t>
  </si>
  <si>
    <t>Амортизація</t>
  </si>
  <si>
    <t>за ЗКГНГ</t>
  </si>
  <si>
    <t>за СПОДУ</t>
  </si>
  <si>
    <t xml:space="preserve">за  КВЕД  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</si>
  <si>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</si>
  <si>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</si>
  <si>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</si>
  <si>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Підприємство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</si>
  <si>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</si>
  <si>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</si>
  <si>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</si>
  <si>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</si>
  <si>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Територія</t>
  </si>
  <si>
    <t>Форма власності</t>
  </si>
  <si>
    <t>витрати на страхові послуги</t>
  </si>
  <si>
    <t>витрати на аудиторські послуги</t>
  </si>
  <si>
    <t>Валовий прибуток (збиток)</t>
  </si>
  <si>
    <t xml:space="preserve">прибуток </t>
  </si>
  <si>
    <t>збиток</t>
  </si>
  <si>
    <t>Резервний фонд</t>
  </si>
  <si>
    <t>неустойки (штрафи, пені)</t>
  </si>
  <si>
    <t>витрати на паливо та енергію</t>
  </si>
  <si>
    <t>Інші операційні витрати</t>
  </si>
  <si>
    <t>придбання (виготовлення) інших необоротних матеріальних активів</t>
  </si>
  <si>
    <t>Факт минулого року</t>
  </si>
  <si>
    <t>Виручка від реалізації основних фондів</t>
  </si>
  <si>
    <t xml:space="preserve">Виручка від реалізації нематеріальних активів </t>
  </si>
  <si>
    <t>на початок періоду</t>
  </si>
  <si>
    <t>Чистий грошовий потік</t>
  </si>
  <si>
    <t>Забезпечення</t>
  </si>
  <si>
    <t>х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</si>
  <si>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</si>
  <si>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</si>
  <si>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</si>
  <si>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</si>
  <si>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</si>
  <si>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</si>
  <si>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</si>
  <si>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</si>
  <si>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</si>
  <si>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</si>
  <si>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</si>
  <si>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</si>
  <si>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</si>
  <si>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поліпшення основних фондів</t>
  </si>
  <si>
    <t>відрахування до резерву сумнівних боргів</t>
  </si>
  <si>
    <t>№ з/п</t>
  </si>
  <si>
    <t xml:space="preserve">Надходження від продажу акцій та облігацій </t>
  </si>
  <si>
    <t xml:space="preserve">Придбання акцій та облігацій  </t>
  </si>
  <si>
    <t>на кінець періоду</t>
  </si>
  <si>
    <t>Залучення кредитних коштів</t>
  </si>
  <si>
    <t>Усього</t>
  </si>
  <si>
    <t>Відсоток</t>
  </si>
  <si>
    <t>Залишок нерозподіленого прибутку (непокритого збитку) на початок звітного періоду</t>
  </si>
  <si>
    <t>Залишок нерозподіленого прибутку (непокритого збитку) на кінець звітного періоду</t>
  </si>
  <si>
    <t>витрати на консалтингові послуги</t>
  </si>
  <si>
    <t>амортизація основних засобів і нематеріальних активів</t>
  </si>
  <si>
    <t>витрати на електроенергію</t>
  </si>
  <si>
    <t xml:space="preserve">витрати на паливо </t>
  </si>
  <si>
    <t>консультаційні та інформаційні послуги</t>
  </si>
  <si>
    <t>Зобов'язання</t>
  </si>
  <si>
    <t xml:space="preserve">Сума, валюта за договорами </t>
  </si>
  <si>
    <t>Процентна ставка</t>
  </si>
  <si>
    <t>модернізація, модифікація (добудова, дообладнання, реконструкція) основних засобів</t>
  </si>
  <si>
    <t>Розвиток виробництва</t>
  </si>
  <si>
    <t>витрати на благодійну допомогу</t>
  </si>
  <si>
    <t xml:space="preserve">Вид кредитного продукту та цільове призначення </t>
  </si>
  <si>
    <t xml:space="preserve">      4. Діючі фінансові зобов'язання підприємства</t>
  </si>
  <si>
    <t xml:space="preserve">      5. Інформація щодо отримання та повернення залучених коштів</t>
  </si>
  <si>
    <t>витрати на утримання основних фондів, інших необоротних активів загальногосподарського використання,  у тому числі:</t>
  </si>
  <si>
    <t>(посада)</t>
  </si>
  <si>
    <t>(підпис)</t>
  </si>
  <si>
    <t>витрати на рекламу</t>
  </si>
  <si>
    <t>Інші операційні витрати, усього, у тому числі:</t>
  </si>
  <si>
    <t>Капітальні інвестиції, усього,
у тому числі:</t>
  </si>
  <si>
    <t>податок на доходи фізичних осіб</t>
  </si>
  <si>
    <t xml:space="preserve">Єдиний внесок на загальнообов'язкове державне соціальне страхування                              </t>
  </si>
  <si>
    <t>акцизний податок</t>
  </si>
  <si>
    <t>Вид діяльності</t>
  </si>
  <si>
    <t>Заборгованість на останню дату</t>
  </si>
  <si>
    <t>Бюджетне фінансування</t>
  </si>
  <si>
    <t>інші платежі (розшифрувати)</t>
  </si>
  <si>
    <t>Дата видачі / погашення (графік)</t>
  </si>
  <si>
    <t>кредити</t>
  </si>
  <si>
    <t>Отримання коштів  за довгостроковими зобов'язаннями, у тому числі:</t>
  </si>
  <si>
    <t>Повернення коштів за короткостроковими зобов'язаннями, у тому числі:</t>
  </si>
  <si>
    <t>Отримання коштів за короткостроковими зобов'язаннями, у тому числі:</t>
  </si>
  <si>
    <t>Повернення коштів  за довгостроковими зобов'язаннями, у тому числі:</t>
  </si>
  <si>
    <t xml:space="preserve">позики </t>
  </si>
  <si>
    <t>Фінансовий результат до оподаткування</t>
  </si>
  <si>
    <t>Чистий  фінансовий результат, у тому числі:</t>
  </si>
  <si>
    <t>І. Формування фінансових результатів</t>
  </si>
  <si>
    <t>плата за користування надрами</t>
  </si>
  <si>
    <t>Оптимальне значення</t>
  </si>
  <si>
    <t>&gt; 0</t>
  </si>
  <si>
    <t xml:space="preserve">         (ініціали, прізвище)    </t>
  </si>
  <si>
    <t>у тому числі:</t>
  </si>
  <si>
    <t>рентна плата за транспортування</t>
  </si>
  <si>
    <t>Середньооблікова кількість штатних працівників</t>
  </si>
  <si>
    <t>витрати, пов'язані з використанням власних службових автомобілів</t>
  </si>
  <si>
    <t>Чистий дохід від реалізації продукції (товарів, робіт, послуг) (розшифрувати)</t>
  </si>
  <si>
    <t>Дохід від участі в капіталі (розшифрувати)</t>
  </si>
  <si>
    <t>Інші фінансові доходи (розшифрувати)</t>
  </si>
  <si>
    <t>інші адміністративні витрати (розшифрувати)</t>
  </si>
  <si>
    <t>Фінансові витрати (розшифрувати)</t>
  </si>
  <si>
    <t>Втрати від участі в капіталі (розшифрувати)</t>
  </si>
  <si>
    <t>Інші витрати (розшифрувати)</t>
  </si>
  <si>
    <t>Інші фонди (розшифрувати)</t>
  </si>
  <si>
    <t>Інші цілі (розшифрувати)</t>
  </si>
  <si>
    <t>місцеві податки та збори (розшифрувати)</t>
  </si>
  <si>
    <t>Цільове фінансування  (розшифрувати)</t>
  </si>
  <si>
    <t xml:space="preserve">Інші надходження (розшифрувати) </t>
  </si>
  <si>
    <t xml:space="preserve">Придбання (створення) основних засобів (розшифрувати) </t>
  </si>
  <si>
    <t xml:space="preserve">Капітальне будівництво (розшифрувати) </t>
  </si>
  <si>
    <t xml:space="preserve">Придбання (створення) нематеріальних активів (розшифрувати) </t>
  </si>
  <si>
    <t>облігації</t>
  </si>
  <si>
    <t>інші витрати (розшифрувати)</t>
  </si>
  <si>
    <t>інші витрати на збут (розшифрувати)</t>
  </si>
  <si>
    <t>Собівартість реалізованої продукції (товарів, робіт, послуг) (розшифрувати)</t>
  </si>
  <si>
    <t>Найменування  банку</t>
  </si>
  <si>
    <t>Інші джерела (розшифрувати)</t>
  </si>
  <si>
    <t>(ініціали, прізвище)</t>
  </si>
  <si>
    <t>за КОАТУУ</t>
  </si>
  <si>
    <t>за КОПФГ</t>
  </si>
  <si>
    <t xml:space="preserve">за ЄДРПОУ </t>
  </si>
  <si>
    <t>у тому числі за основними видами діяльності за КВЕД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</si>
  <si>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</si>
  <si>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(найменування підприємства)</t>
  </si>
  <si>
    <t>Середньооблікова чисельність осіб, у тому числі:</t>
  </si>
  <si>
    <t>План минулого року</t>
  </si>
  <si>
    <t>Код за ЄДРПОУ</t>
  </si>
  <si>
    <t>Рік</t>
  </si>
  <si>
    <t>Витрати на збут</t>
  </si>
  <si>
    <t>Витрати (дохід) з податку на прибуток</t>
  </si>
  <si>
    <t xml:space="preserve">Прибуток (збиток) від  припиненої діяльності після оподаткування </t>
  </si>
  <si>
    <t>Адміністративні витрати</t>
  </si>
  <si>
    <t>Інші операційні доходи/витрати</t>
  </si>
  <si>
    <t>EBITDA</t>
  </si>
  <si>
    <t>Доходи/витрати від фінансової та інвестиційної діяльності</t>
  </si>
  <si>
    <t>Грошові кошти на початок періоду</t>
  </si>
  <si>
    <t>Чистий рух грошових коштів від операційної діяльності</t>
  </si>
  <si>
    <t>Чистий рух грошових коштів від фінансової діяльності</t>
  </si>
  <si>
    <t>Грошові кошти на кінець періоду</t>
  </si>
  <si>
    <t>Необоротні активи</t>
  </si>
  <si>
    <t>Оборотні активи</t>
  </si>
  <si>
    <t>Власний капітал</t>
  </si>
  <si>
    <t>Розподіл чистого прибутку</t>
  </si>
  <si>
    <t xml:space="preserve">Нараховані до сплати обов'язкові платежі підприємства до бюджету та єдиний внесок на загальнообов'язкове державне соціальне страхування </t>
  </si>
  <si>
    <t>ІІІ. Рух грошових коштів</t>
  </si>
  <si>
    <t>Податок на прибуток підприємств</t>
  </si>
  <si>
    <t>IІ. Розрахунки з бюджетом</t>
  </si>
  <si>
    <t>Чистий рух грошових коштів операційної діяльності</t>
  </si>
  <si>
    <t>І. Рух коштів у результаті операційної діяльності</t>
  </si>
  <si>
    <t>II. Рух коштів у результаті інвестиційної діяльності</t>
  </si>
  <si>
    <t>Чистий рух коштів від інвестиційної діяльності </t>
  </si>
  <si>
    <t>III. Рух коштів у результаті фінансової діяльності</t>
  </si>
  <si>
    <t>Чистий рух коштів від фінансової діяльності </t>
  </si>
  <si>
    <t>Надходження від отриманих:</t>
  </si>
  <si>
    <t>відсотків </t>
  </si>
  <si>
    <t>дивідендів </t>
  </si>
  <si>
    <t>Надходження від деривативів</t>
  </si>
  <si>
    <t>Власного капіталу </t>
  </si>
  <si>
    <t>Розрахунок показника EBITDA</t>
  </si>
  <si>
    <t>Коефіцієнт рентабельності власного капіталу</t>
  </si>
  <si>
    <t xml:space="preserve">Вплив зміни валютних курсів на залишок коштів </t>
  </si>
  <si>
    <t>Довгострокові зобов'язання і забезпечення</t>
  </si>
  <si>
    <t>Поточні зобов'язання і забезпечення</t>
  </si>
  <si>
    <t>Коефіцієнт рентабельності активів</t>
  </si>
  <si>
    <t>погашення податкового боргу, у тому числі:</t>
  </si>
  <si>
    <t>Собівартість реалізованої продукції (товарів, робіт, послуг)</t>
  </si>
  <si>
    <t>&gt; 1</t>
  </si>
  <si>
    <t xml:space="preserve">Прибуток (збиток) від звичайної діяльності до оподаткування </t>
  </si>
  <si>
    <t>Коригування на:</t>
  </si>
  <si>
    <t>Грошові кошти від операційної діяльності</t>
  </si>
  <si>
    <t>Сплачений податок на прибуток</t>
  </si>
  <si>
    <t>амортизацію необоротних активів</t>
  </si>
  <si>
    <t xml:space="preserve">збільшення (зменшення) забезпечень  </t>
  </si>
  <si>
    <t xml:space="preserve">збиток (прибуток) від нереалізованих курсових різниць </t>
  </si>
  <si>
    <t>збиток (прибуток) від неопераційної діяльності та інших негрошових операцій (розшифрувати)</t>
  </si>
  <si>
    <t>Зменшення (збільшення) оборотних активів (розшифрувати)</t>
  </si>
  <si>
    <t>Збільшення (зменшення) поточних зобов’язань (розшифрувати)</t>
  </si>
  <si>
    <t>транспортні витрати</t>
  </si>
  <si>
    <t>витрати на зберігання та упаковку</t>
  </si>
  <si>
    <t>Коефіцієнти рентабельності та прибутковості</t>
  </si>
  <si>
    <t>Аналіз капітальних інвестицій</t>
  </si>
  <si>
    <t>Коефіцієнти фінансової стійкості та ліквідності</t>
  </si>
  <si>
    <t>Стандарти звітності П(с)БОУ</t>
  </si>
  <si>
    <t>Стандарти звітності МСФЗ</t>
  </si>
  <si>
    <t>Перенесено з додаткового капіталу</t>
  </si>
  <si>
    <t>Марка</t>
  </si>
  <si>
    <t>Рік придбання</t>
  </si>
  <si>
    <t>Витрати, усього</t>
  </si>
  <si>
    <t>матеріальні витрати</t>
  </si>
  <si>
    <t>оплата праці</t>
  </si>
  <si>
    <t>амортизація</t>
  </si>
  <si>
    <t>інші витрати</t>
  </si>
  <si>
    <t>Договір</t>
  </si>
  <si>
    <t>Дата початку оренди</t>
  </si>
  <si>
    <t>Сума орендної плати</t>
  </si>
  <si>
    <t>Основні фінансові показники</t>
  </si>
  <si>
    <t>Чистий дохід від реалізації продукції (товарів, робіт, послуг)</t>
  </si>
  <si>
    <t>Відрахування частини чистого прибутку, усього, у тому числі:</t>
  </si>
  <si>
    <t>витрати на оренду службових автомобілів</t>
  </si>
  <si>
    <t>№</t>
  </si>
  <si>
    <t>Загальна кошторисна вартість</t>
  </si>
  <si>
    <t>Первісна балансова вартість введених потужностей на початок планового року</t>
  </si>
  <si>
    <t>Капітальні інвестиції</t>
  </si>
  <si>
    <t>IV. Капітальні інвестиції</t>
  </si>
  <si>
    <t>VI. Звіт про фінансовий стан</t>
  </si>
  <si>
    <t>V. Коефіцієнтний аналіз</t>
  </si>
  <si>
    <t>8. Джерела капітальних інвестицій</t>
  </si>
  <si>
    <t>Інші операційні доходи (розшифрувати), у тому числі:</t>
  </si>
  <si>
    <t>курсові різниці</t>
  </si>
  <si>
    <t>Інші доходи (розшифрувати), у тому числі:</t>
  </si>
  <si>
    <t>Інші витрати (розшифрувати), у тому числі:</t>
  </si>
  <si>
    <t>2145/1</t>
  </si>
  <si>
    <t>2145/2</t>
  </si>
  <si>
    <t>4010</t>
  </si>
  <si>
    <t>Таблиця 1</t>
  </si>
  <si>
    <t>Таблиця 2</t>
  </si>
  <si>
    <t>Таблиця 3</t>
  </si>
  <si>
    <t>Адміністративні витрати, у тому числі:</t>
  </si>
  <si>
    <t>Витрати на збут, у тому числі:</t>
  </si>
  <si>
    <t>Рентабельність EBITDA</t>
  </si>
  <si>
    <t>Чистий  фінансовий результат</t>
  </si>
  <si>
    <t>Коефіцієнт рентабельності діяльності</t>
  </si>
  <si>
    <t>Коефіцієнт фінансової стійкості</t>
  </si>
  <si>
    <t>Інші доходи/витрати</t>
  </si>
  <si>
    <t>Чистий рух грошових коштів від інвестиційної діяльності</t>
  </si>
  <si>
    <t>Елементи операційних витрат</t>
  </si>
  <si>
    <t>тис. гривень (без ПДВ)</t>
  </si>
  <si>
    <t>Факт</t>
  </si>
  <si>
    <t>Додаток 3</t>
  </si>
  <si>
    <t>ЗВІТ</t>
  </si>
  <si>
    <t>Продовження додатка 3</t>
  </si>
  <si>
    <t>План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</si>
  <si>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</si>
  <si>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</si>
  <si>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Заборгованість за кредитами на початок звітного періоду</t>
  </si>
  <si>
    <t>Отримано залучених коштів за звітний період</t>
  </si>
  <si>
    <t>план</t>
  </si>
  <si>
    <t>факт</t>
  </si>
  <si>
    <t>Повернено залучених коштів  за звітний період</t>
  </si>
  <si>
    <t>Заборгованість на кінець звітного періоду</t>
  </si>
  <si>
    <t xml:space="preserve">      3. Інформація про бізнес підприємства (код рядка 1000 фінансового плану)</t>
  </si>
  <si>
    <t>6. Витрати, пов'язані з використанням власних службових автомобілів (у складі адміністративних витрат, рядок 1041)</t>
  </si>
  <si>
    <t>7. Витрати на оренду службових автомобілів (у складі адміністративних витрат, рядок 1042)</t>
  </si>
  <si>
    <t>Найменування об’єкта</t>
  </si>
  <si>
    <t>9. Капітальне будівництво (рядок 4010 таблиці 4)</t>
  </si>
  <si>
    <t>Прибуток (збиток) від операційної діяльності до змін в оборотному капіталі</t>
  </si>
  <si>
    <t>Інші поточні податки, збори, обов'язкові платежі до державного та місцевих бюджетів, у тому числі:</t>
  </si>
  <si>
    <t>Сплата інших податків, зборів, обов'язкових платежів до державного та місцевих бюджетів</t>
  </si>
  <si>
    <t xml:space="preserve">          </t>
  </si>
  <si>
    <t>Коди</t>
  </si>
  <si>
    <t>Таблиця 6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</si>
  <si>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</si>
  <si>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інші операційні витрати (розшифрувати)</t>
  </si>
  <si>
    <t>Неконтрольована частка</t>
  </si>
  <si>
    <t xml:space="preserve">план </t>
  </si>
  <si>
    <t>Валовий прибуток/збиток</t>
  </si>
  <si>
    <t>Усього виплат на користь держави</t>
  </si>
  <si>
    <t>Усього активи</t>
  </si>
  <si>
    <t>Усього зобов'язання і забезпечення</t>
  </si>
  <si>
    <t>у тому числі грошові кошти та їх еквіваленти</t>
  </si>
  <si>
    <t>у тому числі державні гранти і субсидії</t>
  </si>
  <si>
    <t>у тому числі фінансові запозичення</t>
  </si>
  <si>
    <t>Доходи і витрати (деталізація)</t>
  </si>
  <si>
    <t xml:space="preserve">пояснення та обґрунтування відхилення від запланованого рівня доходів/витрат                               </t>
  </si>
  <si>
    <t>відхилення,  +/–</t>
  </si>
  <si>
    <t>виконання, %</t>
  </si>
  <si>
    <t>Доходи і витрати (узагальнені показники)</t>
  </si>
  <si>
    <t>Інші операційні доходи/витрати
(рядок 1030 - рядок 1080)</t>
  </si>
  <si>
    <t>Доходи/витрати від фінансової та інвестиційної діяльності
(рядок 1110 + рядок 1120 - рядок 1130 - рядок 1140)</t>
  </si>
  <si>
    <t>Інші доходи/витрати
(рядок 1150 - рядок 1160)</t>
  </si>
  <si>
    <t>Фінансовий результат від операційної діяльності, рядок 1100</t>
  </si>
  <si>
    <t>плюс амортизація, рядок 1530</t>
  </si>
  <si>
    <t>мінус операційні доходи від курсових різниць, рядок 1031</t>
  </si>
  <si>
    <t>плюс операційні витрати від курсових різниць, рядок 1084</t>
  </si>
  <si>
    <t>Матеріальні витрати, у тому числі:</t>
  </si>
  <si>
    <t>витрати на сировину та основні матеріали</t>
  </si>
  <si>
    <t>Найменування показника</t>
  </si>
  <si>
    <t xml:space="preserve">Надходження </t>
  </si>
  <si>
    <t>Витрати</t>
  </si>
  <si>
    <t xml:space="preserve">вплив зміни валютних курсів на залишок коштів </t>
  </si>
  <si>
    <t>Продовження  таблиці 6</t>
  </si>
  <si>
    <t>Відхилення,  +/–</t>
  </si>
  <si>
    <t>Виконання, %</t>
  </si>
  <si>
    <t>керівники</t>
  </si>
  <si>
    <t>професіонали</t>
  </si>
  <si>
    <t>фахівці</t>
  </si>
  <si>
    <t>технічні службовці</t>
  </si>
  <si>
    <t>робітники</t>
  </si>
  <si>
    <t>інші категорії</t>
  </si>
  <si>
    <t>адміністративно-управлінський персонал</t>
  </si>
  <si>
    <t>працівники</t>
  </si>
  <si>
    <t>Середньомісячна заробітна плата одного працівника, гривень</t>
  </si>
  <si>
    <t>Середньомісячний дохід одного працівника, гривень</t>
  </si>
  <si>
    <t>У тому числі за їх видами</t>
  </si>
  <si>
    <t>освоєння капітальних вкладень</t>
  </si>
  <si>
    <t>власні кошти</t>
  </si>
  <si>
    <t>кредитні кошти</t>
  </si>
  <si>
    <t>інші джерела (зазначити джерело)</t>
  </si>
  <si>
    <t>усього на рік</t>
  </si>
  <si>
    <t>фінансування капітальних інвестицій (оплата грошовими коштами), усього</t>
  </si>
  <si>
    <t xml:space="preserve">у тому числі </t>
  </si>
  <si>
    <t>Власні кошти (розшифрувати)</t>
  </si>
  <si>
    <t xml:space="preserve">Довгострокові зобов'язання, усього </t>
  </si>
  <si>
    <t>Короткострокові зобов'язання, усього</t>
  </si>
  <si>
    <t>Інші фінансові зобов'язання, усього</t>
  </si>
  <si>
    <t>Зміна ціни одиниці  (вартості продукції/     наданих послуг)</t>
  </si>
  <si>
    <t>ціна одиниці     (вартість  продукції/     наданих послуг), гривень</t>
  </si>
  <si>
    <t>кількість продукції/             наданих послуг, одиниця виміру</t>
  </si>
  <si>
    <t>чистий дохід  від реалізації продукції (товарів, робіт, послуг),     тис. гривень</t>
  </si>
  <si>
    <t>2120/2130</t>
  </si>
  <si>
    <t>Грошові кошти</t>
  </si>
  <si>
    <t>Примітки</t>
  </si>
  <si>
    <t>Плановий рік, усього</t>
  </si>
  <si>
    <t>План звітного періоду</t>
  </si>
  <si>
    <t>Факт звітного періоду</t>
  </si>
  <si>
    <t xml:space="preserve">(ініціали, прізвище)    </t>
  </si>
  <si>
    <t>Одиниця виміру, тис. гривень</t>
  </si>
  <si>
    <t>мінус/плюс значні нетипові операційні доходи/витрати (розшифрувати)</t>
  </si>
  <si>
    <t>Коефіцієнт фінансової стійкості
(власний капітал, рядок 6090 / довгострокові зобов'язання, рядок 6040 + поточні зобов'язання, рядок 6050)</t>
  </si>
  <si>
    <t>Коефіцієнт поточної ліквідності (покриття)
(оборотні активи, рядок 6010 / поточні зобов'язання, рядок 6050)</t>
  </si>
  <si>
    <t>Коефіцієнт відношення капітальних інвестицій до амортизації
(рядок 4000 / рядок 1530)</t>
  </si>
  <si>
    <t>Ковенанти/обмежувальні коефіцієнти</t>
  </si>
  <si>
    <t>Коефіцієнт відношення боргу до EBITDA
(довгострокові зобов'язання, рядок 6040 + поточні зобов'язання,                                                рядок 6050 / EBITDA, рядок 1410)</t>
  </si>
  <si>
    <t>Витрати на оплату праці,                                         тис. гривень, у тому числі:</t>
  </si>
  <si>
    <t xml:space="preserve">Найменування об’єкта 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</si>
  <si>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</si>
  <si>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 із зазначенням органу, який його погодив</t>
  </si>
  <si>
    <t>Податок на додану вартість, нарахований до сплати до державного бюджету за підсумками звітного періоду</t>
  </si>
  <si>
    <t>Податок на додану вартість, що підлягає відшкодуванню з державного бюджету за підсумками звітного періоду</t>
  </si>
  <si>
    <t>Збільшення</t>
  </si>
  <si>
    <t>Характеризує ефективність використання активів підприємства</t>
  </si>
  <si>
    <t>Характеризує ефективність господарської діяльності підприємства</t>
  </si>
  <si>
    <t>Характеризує співвідношення власних та позикових коштів і залежність підприємства від зовнішніх фінансових джерел</t>
  </si>
  <si>
    <t>Характеризує інвестиційну політику підприємства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</si>
  <si>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</si>
  <si>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Мета використання</t>
  </si>
  <si>
    <t xml:space="preserve">У разі збільшення витрат  на оплату праці в плановому році порівняно до запланованих та порівняно з попереднім роком обов'язково надаються відповідні обґрунтування. </t>
  </si>
  <si>
    <t>Податок на додану вартість нарахований/до відшкодування                            (з мінусом)</t>
  </si>
  <si>
    <t>Валова рентабельність
(валовий прибуток, рядок 1020 / чистий дохід від реалізації продукції (товарів, робіт, послуг), рядок 1000, %)</t>
  </si>
  <si>
    <t>Рентабельність EBITDA
(EBITDA, рядок 1410 / чистий дохід від реалізації продукції (товарів, робіт, послуг), рядок 1000, %)</t>
  </si>
  <si>
    <t>Коефіцієнт зносу основних засобів 
(сума зносу / первісна вартість основних засобів) 
(форма 1, рядок 1012 / форма 1, рядок 1011)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</si>
  <si>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</si>
  <si>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Звітний період</t>
  </si>
  <si>
    <t>(І квартал, півріччя, 9 місяців, рік)</t>
  </si>
  <si>
    <t>Минулий рік (аналогічний період)</t>
  </si>
  <si>
    <t>до Порядку складання, затвердження та контролю виконання фінансових планів підприємств комунальної власності територіальної громади міста Дніпропетровська</t>
  </si>
  <si>
    <t>Відрахування частини чистого прибутку</t>
  </si>
  <si>
    <t xml:space="preserve">Усього виплат </t>
  </si>
  <si>
    <t>внесок 15 % чистого прибутку до загального фонду міського бюджету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</si>
  <si>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15 % чистого прибутку до загального фонду міського бюджету</t>
  </si>
  <si>
    <t xml:space="preserve">     (ініціали, прізвище)    </t>
  </si>
  <si>
    <t>Коефіцієнт відношення капітальних інвестицій до чистого доходу (виручки) від реалізації продукції (товарів, робіт, послуг) (рядок 4000 / рядок 1000)</t>
  </si>
  <si>
    <r>
      <t>у тому числі:</t>
    </r>
    <r>
      <rPr>
        <i/>
        <sz val="16"/>
        <rFont val="Times New Roman"/>
        <family val="1"/>
        <charset val="204"/>
      </rPr>
      <t xml:space="preserve"> </t>
    </r>
  </si>
  <si>
    <t>Фонд оплати праці, тис. гривень,  у тому числі:</t>
  </si>
  <si>
    <t>Плановий  період</t>
  </si>
  <si>
    <t>відхи-лення,  +/–</t>
  </si>
  <si>
    <t>вико-нання, %</t>
  </si>
  <si>
    <t>Рік початку        і закінчення будів-
ництва</t>
  </si>
  <si>
    <t>Незавер-
шене будівництво на початок планового року</t>
  </si>
  <si>
    <t xml:space="preserve">      2. Перелік відокремлених підрозділів підприємства, які включені до консолідованого (зведеного) фінансового плану</t>
  </si>
  <si>
    <t>Найменування відокремленого підрозділу підприємства</t>
  </si>
  <si>
    <t xml:space="preserve"> </t>
  </si>
  <si>
    <t>Таблиця І. Формування фінансових результатів</t>
  </si>
  <si>
    <t>Таблиця IІ. Розрахунки з бюджетом</t>
  </si>
  <si>
    <t>Таблиця ІІІ. Рух грошових коштів</t>
  </si>
  <si>
    <t xml:space="preserve">Таблиця IV. Капітальні інвестиції </t>
  </si>
  <si>
    <t>Таблиця V. Коефіцієнтний аналіз</t>
  </si>
  <si>
    <t xml:space="preserve">      1. Дані про підприємство, персонал та фонд оплати праці</t>
  </si>
  <si>
    <t>ПРО ВИКОНАННЯ ФІНАНСОВОГО ПЛАНУ ПІДПРИЄМСТВА</t>
  </si>
  <si>
    <r>
      <t xml:space="preserve">Орган державного управління  </t>
    </r>
    <r>
      <rPr>
        <b/>
        <i/>
        <sz val="18"/>
        <rFont val="Times New Roman"/>
        <family val="1"/>
        <charset val="204"/>
      </rPr>
      <t xml:space="preserve"> </t>
    </r>
  </si>
  <si>
    <t>відхи-
лення,  +/–</t>
  </si>
  <si>
    <t>Минулий рік (анало-
гічний період)</t>
  </si>
  <si>
    <t>Усього доходів (рядок 1000 + рядок 1030 + рядок 1110 + рядок 1120 + рядок 1150)</t>
  </si>
  <si>
    <t>Усього витрат (рядок 1010 + рядок 1040 + рядок 1070 + рядок 1080 + рядок 1130 + рядок 1140 + рядок 1160 + рядок 1180 + рядок 1190)</t>
  </si>
  <si>
    <t xml:space="preserve">                                                 (посада)</t>
  </si>
  <si>
    <t xml:space="preserve">                                               (посада)</t>
  </si>
  <si>
    <t xml:space="preserve">                                        (посада)</t>
  </si>
  <si>
    <t xml:space="preserve">                                                        (посада)</t>
  </si>
  <si>
    <t>Комунальна</t>
  </si>
  <si>
    <t>Міські, районні у містах ради та їх виконавчі органи</t>
  </si>
  <si>
    <t>без десяткових знаків</t>
  </si>
  <si>
    <t>49107, м. Дніпро, вул. Шинна, 26</t>
  </si>
  <si>
    <t>792-17-19</t>
  </si>
  <si>
    <t>1000/1</t>
  </si>
  <si>
    <t>1000/2</t>
  </si>
  <si>
    <t>1000/3</t>
  </si>
  <si>
    <t>використання електропор,електромонтажні роботи,випробування засобів захисту</t>
  </si>
  <si>
    <t>1018/1</t>
  </si>
  <si>
    <t>Зв'язок</t>
  </si>
  <si>
    <t>Вода, опалення, електроенергія на виробничі потреби</t>
  </si>
  <si>
    <t>1018/2</t>
  </si>
  <si>
    <t>1018/3</t>
  </si>
  <si>
    <t>1018/4</t>
  </si>
  <si>
    <t>1018/5</t>
  </si>
  <si>
    <t>1018/6</t>
  </si>
  <si>
    <t>1018/7</t>
  </si>
  <si>
    <t>1018/8</t>
  </si>
  <si>
    <t>1018/9</t>
  </si>
  <si>
    <t>Використання електромереж, технічна перевірка лічильників</t>
  </si>
  <si>
    <t>Повірка інструментів</t>
  </si>
  <si>
    <t>Послуги з приєднання до електричних мереж</t>
  </si>
  <si>
    <t>Підвищення кваліфікації</t>
  </si>
  <si>
    <t>Ремонт та обслуговування оргтехніки</t>
  </si>
  <si>
    <t>1018/10</t>
  </si>
  <si>
    <t>1018/11</t>
  </si>
  <si>
    <t>1018/12</t>
  </si>
  <si>
    <t>1018/13</t>
  </si>
  <si>
    <t>1018/14</t>
  </si>
  <si>
    <t>1018/15</t>
  </si>
  <si>
    <t>1018/16</t>
  </si>
  <si>
    <t>1018/17</t>
  </si>
  <si>
    <t>1018/18</t>
  </si>
  <si>
    <t>Інформаційні послуги</t>
  </si>
  <si>
    <t>Оплата за арендовані мережі</t>
  </si>
  <si>
    <t>Витрати на страхування транспортних засобів</t>
  </si>
  <si>
    <t>Нараховані податки (податок на землю, на воду, на радіочастоти)</t>
  </si>
  <si>
    <t>нараховані (сплачені) відсотки банком на РКО</t>
  </si>
  <si>
    <t>1018/19</t>
  </si>
  <si>
    <t>1030/1</t>
  </si>
  <si>
    <t>1030/2</t>
  </si>
  <si>
    <t>1030/3</t>
  </si>
  <si>
    <t>1030/4</t>
  </si>
  <si>
    <t>1030/5</t>
  </si>
  <si>
    <t>1030/6</t>
  </si>
  <si>
    <t>1030/7</t>
  </si>
  <si>
    <t>1030/8</t>
  </si>
  <si>
    <t>визнані штрафи, пені , неустойки</t>
  </si>
  <si>
    <t>розрахункове касове обслуговування</t>
  </si>
  <si>
    <t>канцтовари</t>
  </si>
  <si>
    <t>податки(земля, вода, радіочастоти)</t>
  </si>
  <si>
    <t>1062/1</t>
  </si>
  <si>
    <t>1062/2</t>
  </si>
  <si>
    <t>1062/3</t>
  </si>
  <si>
    <t>1062/4</t>
  </si>
  <si>
    <t>1062/5</t>
  </si>
  <si>
    <t>1076/1</t>
  </si>
  <si>
    <t>1085/1</t>
  </si>
  <si>
    <t>1085/2</t>
  </si>
  <si>
    <t>1085/3</t>
  </si>
  <si>
    <t>1085/4</t>
  </si>
  <si>
    <t>1085/5</t>
  </si>
  <si>
    <t>1085/6</t>
  </si>
  <si>
    <t>1085/7</t>
  </si>
  <si>
    <t>1085/8</t>
  </si>
  <si>
    <t>1085/9</t>
  </si>
  <si>
    <t>1085/10</t>
  </si>
  <si>
    <t>1085/11</t>
  </si>
  <si>
    <t>1085/12</t>
  </si>
  <si>
    <t>1085/13</t>
  </si>
  <si>
    <t>1085/14</t>
  </si>
  <si>
    <t>1085/15</t>
  </si>
  <si>
    <t>1085/16</t>
  </si>
  <si>
    <t>судові витрати</t>
  </si>
  <si>
    <t>проведення мед. огляду</t>
  </si>
  <si>
    <t>нестачі і втрати від псування ціностей</t>
  </si>
  <si>
    <t>отримання витягів  та виписок  для участі у тендері</t>
  </si>
  <si>
    <t>Ритуальні послуги</t>
  </si>
  <si>
    <t xml:space="preserve">Амортизація </t>
  </si>
  <si>
    <t>1150/1</t>
  </si>
  <si>
    <t>1150/2</t>
  </si>
  <si>
    <t>знос об'єктів зовнішнього освітлення</t>
  </si>
  <si>
    <t>надлишки матеріальних цінностей при інвентарізації</t>
  </si>
  <si>
    <t>1160/1</t>
  </si>
  <si>
    <t>1160/2</t>
  </si>
  <si>
    <t>1160/3</t>
  </si>
  <si>
    <t>передача автомобіля згідно рішення</t>
  </si>
  <si>
    <t xml:space="preserve">нестачі та втрати від псування цінностей  та мобілізаційні перерахування пенсійного фонду </t>
  </si>
  <si>
    <t>профспілкові 2,5% кульмасові роботи</t>
  </si>
  <si>
    <t>2147/1</t>
  </si>
  <si>
    <t>Військовий збір</t>
  </si>
  <si>
    <t>3270/1</t>
  </si>
  <si>
    <t>3270/2</t>
  </si>
  <si>
    <t>транспортні засоби</t>
  </si>
  <si>
    <t>обладнання для матеріально-технічної бази</t>
  </si>
  <si>
    <t>3290/1</t>
  </si>
  <si>
    <t>програма обліку світлоточок</t>
  </si>
  <si>
    <t>3480/1</t>
  </si>
  <si>
    <t>внесок 60 % частини прибутку, який залишається в розпорядженні підприємства після оподаткування відповідно до чинного законодавства та сплати 15 % чистого прибутку до загального фонду міського бюджету</t>
  </si>
  <si>
    <t>3570/1</t>
  </si>
  <si>
    <t>3570/2</t>
  </si>
  <si>
    <t>Короткострокова кредиторська заборгованість</t>
  </si>
  <si>
    <t>зменшення додаткового капіталу</t>
  </si>
  <si>
    <t>Опель Вектра</t>
  </si>
  <si>
    <t>службові відрядження</t>
  </si>
  <si>
    <t>Автопослуги та ремонт транспортних зсобів</t>
  </si>
  <si>
    <t>Собівартість реалізованих активів (провід, кабель)</t>
  </si>
  <si>
    <t>ритуальні послуги</t>
  </si>
  <si>
    <t>Коефіцієнт рентабельності активів
(чистий фінансовий результат, рядок 1200 / вартість активів, рядок 6030)</t>
  </si>
  <si>
    <t>Коефіцієнт рентабельності власного капіталу
(чистий фінансовий результат, рядок 1200 / власний капітал, рядок 6090)</t>
  </si>
  <si>
    <t>Коефіцієнт рентабельності діяльності
(чистий фінансовий результат, рядок 1200 / чистий дохід від реалізації продукції (товарів, робіт, послуг), рядок 1000)</t>
  </si>
  <si>
    <t>1018/20</t>
  </si>
  <si>
    <t>1018/21</t>
  </si>
  <si>
    <t>1018/22</t>
  </si>
  <si>
    <t>Нарахування резерву відпусток (з відрахуванням на соціальні заходи)</t>
  </si>
  <si>
    <t>1018/23</t>
  </si>
  <si>
    <t>1018/24</t>
  </si>
  <si>
    <t>Утилізація ламп</t>
  </si>
  <si>
    <t>Поточний ремонт, утримання та технічне обслуговування зовнішнього освітлення субпідрядником</t>
  </si>
  <si>
    <t>Дохід залишків матеріальних цінностей при інвентарізації</t>
  </si>
  <si>
    <t>1030/9</t>
  </si>
  <si>
    <t>1062/6</t>
  </si>
  <si>
    <t>1160/5</t>
  </si>
  <si>
    <t>розробка тезнічної документації</t>
  </si>
  <si>
    <t>запаси</t>
  </si>
  <si>
    <t>3050/1</t>
  </si>
  <si>
    <t>3050/2</t>
  </si>
  <si>
    <t>3050/3</t>
  </si>
  <si>
    <t>дебіторська заборгованість</t>
  </si>
  <si>
    <t>витрати майбутніх періодів</t>
  </si>
  <si>
    <t>кредиторська заборгованість за товари, роботи, послуги</t>
  </si>
  <si>
    <t>інші поточні зобв'язання</t>
  </si>
  <si>
    <t>1018/25</t>
  </si>
  <si>
    <t>1018/26</t>
  </si>
  <si>
    <t>1018/27</t>
  </si>
  <si>
    <t>3030/1</t>
  </si>
  <si>
    <t>3030/2</t>
  </si>
  <si>
    <t>3030/3</t>
  </si>
  <si>
    <t>Коригування на суму амортизації</t>
  </si>
  <si>
    <t>відстрочені податкові активи</t>
  </si>
  <si>
    <t>коригування на суму непрокитого збитку</t>
  </si>
  <si>
    <t xml:space="preserve">Ремонт та технічне обслуговування транспортних засобів, інструментальний контроль, технічна діагностика, витрати на паливо </t>
  </si>
  <si>
    <t>інші оборотні активи</t>
  </si>
  <si>
    <t>3050/4</t>
  </si>
  <si>
    <t>3061/1</t>
  </si>
  <si>
    <t>3061/2</t>
  </si>
  <si>
    <t>3270/3</t>
  </si>
  <si>
    <t>Комунальне підприємство "Міськсвітло" Дніпровської міської ради</t>
  </si>
  <si>
    <t>Придбання (виготовлення) основних засобів (мережі зовнішнього освітлення)</t>
  </si>
  <si>
    <t>Придбання (виготовлення) основних засобів (транспортні засоби)</t>
  </si>
  <si>
    <t>Підписка, службові відрядження, експлуатація приміщення, канцтовари</t>
  </si>
  <si>
    <t>Ремонт та технічне обслуговування транспортних засобів</t>
  </si>
  <si>
    <t>1085/17</t>
  </si>
  <si>
    <t>1085/18</t>
  </si>
  <si>
    <t>Спецодяг</t>
  </si>
  <si>
    <t>електроенергія, водопостачання</t>
  </si>
  <si>
    <t>Списання необоротніх активів недоамортизованої суми, ПММ</t>
  </si>
  <si>
    <t>Службові відрядження, маршрутні листи, траспортно-експедиторські послуги</t>
  </si>
  <si>
    <t xml:space="preserve">КП "Міськсвітло" </t>
  </si>
  <si>
    <t>03341598</t>
  </si>
  <si>
    <t>Відшкодування пенсій у ПФ</t>
  </si>
  <si>
    <t>Охорона праці (дезинфекція, вивезення ТПВ, спецодяг)</t>
  </si>
  <si>
    <t>Визнані (нараховані) штрафи, пені, неустойки</t>
  </si>
  <si>
    <t>визнані (нараховані) штрафи, пені , неустойки</t>
  </si>
  <si>
    <t xml:space="preserve">Собівартість металолому </t>
  </si>
  <si>
    <t>1085/19</t>
  </si>
  <si>
    <t>1085/20</t>
  </si>
  <si>
    <t>Списання недоамартизованої суми демонтованих та оприбуткованих для подальшого використання необоротних активів</t>
  </si>
  <si>
    <t>3290/2</t>
  </si>
  <si>
    <t>Шкода Рапід</t>
  </si>
  <si>
    <t xml:space="preserve">Оцінка мереж зовнішнього освітлення </t>
  </si>
  <si>
    <t>1018/28</t>
  </si>
  <si>
    <t>Освітлювальне обладнання по вул. Набережна Перемоги (р-н скверу Прибрежний)</t>
  </si>
  <si>
    <t>33.14</t>
  </si>
  <si>
    <t>Ремонт та технічне обслуговування електричного устаткування</t>
  </si>
  <si>
    <t>Січовий М. Ю.</t>
  </si>
  <si>
    <t>Утилізація ламп, опор</t>
  </si>
  <si>
    <t>Ремонт обладанння, будівель</t>
  </si>
  <si>
    <t>Списання безнадійної дебіторської заборгованості</t>
  </si>
  <si>
    <t>Списання недоамортизованих активів</t>
  </si>
  <si>
    <t>1018/29</t>
  </si>
  <si>
    <t>1018/30</t>
  </si>
  <si>
    <t>1018/31</t>
  </si>
  <si>
    <t>дохід від демонтажу електромереж зовнішнього освітлення</t>
  </si>
  <si>
    <t>Дохід від реалізації металобрухту (безкоштовно переданий)</t>
  </si>
  <si>
    <t>списання безнадійної дебіторської заборгованості</t>
  </si>
  <si>
    <t>1085/21</t>
  </si>
  <si>
    <t>Відхилення суми зумовлено на підставі збільшення виконання послуг по поточному ремонту та утриманню мереж зовнішнього освітлення</t>
  </si>
  <si>
    <t>Послуги з утримання та технічного обслуговування об’єктів вуличного освітлення міста</t>
  </si>
  <si>
    <t>Послуги з поточного ремонту мереж зовнішнього освітлення (ДСТУ Б.Д.1.1-1:2013)</t>
  </si>
  <si>
    <t xml:space="preserve">Придбання (створення) нематеріальних активів </t>
  </si>
  <si>
    <t>страхування транспортних засобів та працівників</t>
  </si>
  <si>
    <t xml:space="preserve">Придбання (виготовлення) інших необоротних матеріальних активів </t>
  </si>
  <si>
    <t>кульмасові роботи</t>
  </si>
  <si>
    <t>Інші виплати працівникам підприємства (лікарняні 5днів, матеріальна допомога, компенсації за відпустки, разові премії</t>
  </si>
  <si>
    <t>Втрати від знецінення запасів</t>
  </si>
  <si>
    <t>1018/32</t>
  </si>
  <si>
    <t>1018/33</t>
  </si>
  <si>
    <t>ДП "Оператор ринку" - фіксований платіж</t>
  </si>
  <si>
    <t>Суборенда приміщення</t>
  </si>
  <si>
    <t>Дохід від переданих безкоштовно активів</t>
  </si>
  <si>
    <t>3061/3</t>
  </si>
  <si>
    <t>доходи майбутніх періодів</t>
  </si>
  <si>
    <t>3030/4</t>
  </si>
  <si>
    <t>отримані на баланс ОЗ</t>
  </si>
  <si>
    <t>Директор</t>
  </si>
  <si>
    <t>зменшення боргу розрахунків за електроенергію міста</t>
  </si>
  <si>
    <t>3061/4</t>
  </si>
  <si>
    <t>внески органів місцевого самоврядування до статуного капіталу</t>
  </si>
  <si>
    <t>Медичне добровільне страхування працівників</t>
  </si>
  <si>
    <t>Розподіл електроенергії</t>
  </si>
  <si>
    <t>Обов'язкове страхування транспортних засобів</t>
  </si>
  <si>
    <t>Нараховано зобов'язання на страховий випадок</t>
  </si>
  <si>
    <t>відшкодування витрат за реактивну електроенергію та розподіл електричної енергії</t>
  </si>
  <si>
    <t>придбання ілюмінаційного обладнання</t>
  </si>
  <si>
    <t>за півріччя 2022 рік</t>
  </si>
  <si>
    <t>Консультаційні послуги щодо "Оператора ринку"</t>
  </si>
  <si>
    <t>1018/34</t>
  </si>
  <si>
    <t>1018/35</t>
  </si>
  <si>
    <t>1018/36</t>
  </si>
  <si>
    <t>Послуги досудової експертизи</t>
  </si>
  <si>
    <t>Розробка інвестиційного обгрунтування</t>
  </si>
  <si>
    <t>Досудова експертиза</t>
  </si>
  <si>
    <t>1085/22</t>
  </si>
  <si>
    <t>3480/2</t>
  </si>
  <si>
    <t>збільшення капіталу у звязку з отримання ОЗ</t>
  </si>
  <si>
    <t>1062/7</t>
  </si>
  <si>
    <t>Інші виплати працівникам (мат. допомога, компенсація за нев. відпустки, разові премії)</t>
  </si>
  <si>
    <t>Таблиця VI. Інформація до фінансового плану за І півріччя 2022 року</t>
  </si>
  <si>
    <t xml:space="preserve">      Загальна інформація про підприємство (резюме) КП "Міськсвітло" створено до наказу Міністра комунального господарства України від 13 грудня 1956р. №276 та рішення виконавчого комітету Дніпропетровської міської ради від 3 листопада 1956 року та зареєстрованим № 515 від 16.06.1992рр.(реєстраційний №2930 від 16.06.1992р.) ідентифікаційний код 03341598. Фонд оплати праці фактично 15391,0 тис. гривень. Середньомісячна заробітна плата фактично 19740,00 гривень. Середньооблікова кількість усіх працівників в еквіваленті повної зайнятості за 1 півріччя 2022 року - 130 особи, у тому числі  АУП - 22 особи.</t>
  </si>
  <si>
    <t>Перший заступник директора</t>
  </si>
  <si>
    <t>Олександр ОЛЕФІРЕНКО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</si>
</sst>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.00_р_._-;\-* #,##0.00_р_._-;_-* &quot;-&quot;??_р_._-;_-@_-"/>
    <numFmt numFmtId="168" formatCode="_-* #,##0.00\ _г_р_н_._-;\-* #,##0.00\ _г_р_н_._-;_-* &quot;-&quot;??\ _г_р_н_._-;_-@_-"/>
    <numFmt numFmtId="169" formatCode="0.0"/>
    <numFmt numFmtId="170" formatCode="#,##0.0"/>
    <numFmt numFmtId="171" formatCode="###\ ##0.000"/>
    <numFmt numFmtId="172" formatCode="_(&quot;$&quot;* #,##0.00_);_(&quot;$&quot;* \(#,##0.00\);_(&quot;$&quot;* &quot;-&quot;??_);_(@_)"/>
    <numFmt numFmtId="173" formatCode="_(* #,##0_);_(* \(#,##0\);_(* &quot;-&quot;_);_(@_)"/>
    <numFmt numFmtId="174" formatCode="_(* #,##0.00_);_(* \(#,##0.00\);_(* &quot;-&quot;??_);_(@_)"/>
    <numFmt numFmtId="175" formatCode="#,##0.0_ ;[Red]\-#,##0.0\ "/>
    <numFmt numFmtId="176" formatCode="0.0;\(0.0\);\ ;\-"/>
    <numFmt numFmtId="177" formatCode="dd\.mm\.yyyy;@"/>
    <numFmt numFmtId="178" formatCode="#,##0.000"/>
    <numFmt numFmtId="179" formatCode="#,##0.0000"/>
    <numFmt numFmtId="180" formatCode="#,##0.00000"/>
  </numFmts>
  <fonts count="87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4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1"/>
      <color indexed="8"/>
      <name val="Arial Cyr"/>
      <family val="2"/>
      <charset val="204"/>
    </font>
    <font>
      <sz val="11"/>
      <color indexed="9"/>
      <name val="Arial Cyr"/>
      <family val="2"/>
      <charset val="204"/>
    </font>
    <font>
      <b/>
      <sz val="12"/>
      <name val="Arial"/>
      <family val="2"/>
      <charset val="204"/>
    </font>
    <font>
      <sz val="10"/>
      <name val="FreeSet"/>
      <family val="2"/>
    </font>
    <font>
      <u/>
      <sz val="10"/>
      <color indexed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b/>
      <sz val="10"/>
      <name val="Arial"/>
      <family val="2"/>
      <charset val="204"/>
    </font>
    <font>
      <sz val="11"/>
      <color indexed="62"/>
      <name val="Arial Cyr"/>
      <family val="2"/>
      <charset val="204"/>
    </font>
    <font>
      <b/>
      <sz val="11"/>
      <color indexed="63"/>
      <name val="Arial Cyr"/>
      <family val="2"/>
      <charset val="204"/>
    </font>
    <font>
      <b/>
      <sz val="11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1"/>
      <color indexed="8"/>
      <name val="Arial Cyr"/>
      <family val="2"/>
      <charset val="204"/>
    </font>
    <font>
      <b/>
      <sz val="11"/>
      <color indexed="9"/>
      <name val="Arial Cyr"/>
      <family val="2"/>
      <charset val="204"/>
    </font>
    <font>
      <sz val="11"/>
      <color indexed="60"/>
      <name val="Arial Cyr"/>
      <family val="2"/>
      <charset val="204"/>
    </font>
    <font>
      <sz val="11"/>
      <color indexed="20"/>
      <name val="Arial Cyr"/>
      <family val="2"/>
      <charset val="204"/>
    </font>
    <font>
      <i/>
      <sz val="11"/>
      <color indexed="23"/>
      <name val="Arial Cyr"/>
      <family val="2"/>
      <charset val="204"/>
    </font>
    <font>
      <sz val="12"/>
      <name val="Arial Cyr"/>
      <family val="2"/>
      <charset val="204"/>
    </font>
    <font>
      <sz val="11"/>
      <color indexed="52"/>
      <name val="Arial Cyr"/>
      <family val="2"/>
      <charset val="204"/>
    </font>
    <font>
      <sz val="10"/>
      <name val="Helv"/>
    </font>
    <font>
      <sz val="11"/>
      <color indexed="10"/>
      <name val="Arial Cyr"/>
      <family val="2"/>
      <charset val="204"/>
    </font>
    <font>
      <sz val="12"/>
      <name val="Journal"/>
    </font>
    <font>
      <sz val="11"/>
      <color indexed="17"/>
      <name val="Arial Cyr"/>
      <family val="2"/>
      <charset val="204"/>
    </font>
    <font>
      <sz val="10"/>
      <name val="Tahoma"/>
      <family val="2"/>
      <charset val="204"/>
    </font>
    <font>
      <sz val="10"/>
      <name val="Petersburg"/>
    </font>
    <font>
      <b/>
      <sz val="16"/>
      <color indexed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i/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8"/>
      <name val="Times New Roman"/>
      <family val="1"/>
      <charset val="204"/>
    </font>
    <font>
      <i/>
      <sz val="16"/>
      <name val="Times New Roman"/>
      <family val="1"/>
      <charset val="204"/>
    </font>
    <font>
      <sz val="16"/>
      <color indexed="9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 Cyr"/>
      <charset val="204"/>
    </font>
    <font>
      <u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22"/>
      <name val="Times New Roman"/>
      <family val="1"/>
      <charset val="204"/>
    </font>
    <font>
      <sz val="20"/>
      <name val="Times New Roman"/>
      <family val="1"/>
      <charset val="204"/>
    </font>
    <font>
      <b/>
      <sz val="17"/>
      <name val="Times New Roman"/>
      <family val="1"/>
      <charset val="204"/>
    </font>
    <font>
      <sz val="17"/>
      <name val="Times New Roman"/>
      <family val="1"/>
      <charset val="204"/>
    </font>
    <font>
      <sz val="15"/>
      <name val="Times New Roman"/>
      <family val="1"/>
      <charset val="204"/>
    </font>
    <font>
      <sz val="19"/>
      <name val="Times New Roman"/>
      <family val="1"/>
      <charset val="204"/>
    </font>
    <font>
      <b/>
      <sz val="15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53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7" fillId="2" borderId="0" applyNumberFormat="0" applyBorder="0" applyAlignment="0" applyProtection="0"/>
    <xf numFmtId="0" fontId="1" fillId="2" borderId="0" applyNumberFormat="0" applyBorder="0" applyAlignment="0" applyProtection="0"/>
    <xf numFmtId="0" fontId="27" fillId="3" borderId="0" applyNumberFormat="0" applyBorder="0" applyAlignment="0" applyProtection="0"/>
    <xf numFmtId="0" fontId="1" fillId="3" borderId="0" applyNumberFormat="0" applyBorder="0" applyAlignment="0" applyProtection="0"/>
    <xf numFmtId="0" fontId="27" fillId="4" borderId="0" applyNumberFormat="0" applyBorder="0" applyAlignment="0" applyProtection="0"/>
    <xf numFmtId="0" fontId="1" fillId="4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6" borderId="0" applyNumberFormat="0" applyBorder="0" applyAlignment="0" applyProtection="0"/>
    <xf numFmtId="0" fontId="1" fillId="6" borderId="0" applyNumberFormat="0" applyBorder="0" applyAlignment="0" applyProtection="0"/>
    <xf numFmtId="0" fontId="2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9" borderId="0" applyNumberFormat="0" applyBorder="0" applyAlignment="0" applyProtection="0"/>
    <xf numFmtId="0" fontId="1" fillId="9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5" borderId="0" applyNumberFormat="0" applyBorder="0" applyAlignment="0" applyProtection="0"/>
    <xf numFmtId="0" fontId="1" fillId="5" borderId="0" applyNumberFormat="0" applyBorder="0" applyAlignment="0" applyProtection="0"/>
    <xf numFmtId="0" fontId="27" fillId="8" borderId="0" applyNumberFormat="0" applyBorder="0" applyAlignment="0" applyProtection="0"/>
    <xf numFmtId="0" fontId="1" fillId="8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28" fillId="12" borderId="0" applyNumberFormat="0" applyBorder="0" applyAlignment="0" applyProtection="0"/>
    <xf numFmtId="0" fontId="10" fillId="12" borderId="0" applyNumberFormat="0" applyBorder="0" applyAlignment="0" applyProtection="0"/>
    <xf numFmtId="0" fontId="28" fillId="9" borderId="0" applyNumberFormat="0" applyBorder="0" applyAlignment="0" applyProtection="0"/>
    <xf numFmtId="0" fontId="10" fillId="9" borderId="0" applyNumberFormat="0" applyBorder="0" applyAlignment="0" applyProtection="0"/>
    <xf numFmtId="0" fontId="28" fillId="10" borderId="0" applyNumberFormat="0" applyBorder="0" applyAlignment="0" applyProtection="0"/>
    <xf numFmtId="0" fontId="10" fillId="10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21" fillId="3" borderId="0" applyNumberFormat="0" applyBorder="0" applyAlignment="0" applyProtection="0"/>
    <xf numFmtId="0" fontId="13" fillId="20" borderId="1" applyNumberFormat="0" applyAlignment="0" applyProtection="0"/>
    <xf numFmtId="0" fontId="18" fillId="21" borderId="2" applyNumberFormat="0" applyAlignment="0" applyProtection="0"/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49" fontId="29" fillId="0" borderId="3">
      <alignment horizontal="center" vertical="center"/>
      <protection locked="0"/>
    </xf>
    <xf numFmtId="168" fontId="7" fillId="0" borderId="0" applyFont="0" applyFill="0" applyBorder="0" applyAlignment="0" applyProtection="0"/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49" fontId="7" fillId="0" borderId="3">
      <alignment horizontal="left" vertical="center"/>
      <protection locked="0"/>
    </xf>
    <xf numFmtId="0" fontId="22" fillId="0" borderId="0" applyNumberFormat="0" applyFill="0" applyBorder="0" applyAlignment="0" applyProtection="0"/>
    <xf numFmtId="171" fontId="30" fillId="0" borderId="0" applyAlignment="0">
      <alignment wrapText="1"/>
    </xf>
    <xf numFmtId="0" fontId="25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vertical="top"/>
      <protection locked="0"/>
    </xf>
    <xf numFmtId="0" fontId="11" fillId="7" borderId="1" applyNumberFormat="0" applyAlignment="0" applyProtection="0"/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7" fillId="0" borderId="0" applyNumberFormat="0" applyFont="0" applyAlignment="0">
      <alignment vertical="top" wrapText="1"/>
      <protection locked="0"/>
    </xf>
    <xf numFmtId="49" fontId="32" fillId="22" borderId="7">
      <alignment horizontal="left" vertical="center"/>
      <protection locked="0"/>
    </xf>
    <xf numFmtId="49" fontId="32" fillId="22" borderId="7">
      <alignment horizontal="left" vertical="center"/>
    </xf>
    <xf numFmtId="4" fontId="32" fillId="22" borderId="7">
      <alignment horizontal="right" vertical="center"/>
      <protection locked="0"/>
    </xf>
    <xf numFmtId="4" fontId="32" fillId="22" borderId="7">
      <alignment horizontal="right" vertical="center"/>
    </xf>
    <xf numFmtId="4" fontId="33" fillId="22" borderId="7">
      <alignment horizontal="right" vertical="center"/>
      <protection locked="0"/>
    </xf>
    <xf numFmtId="49" fontId="34" fillId="22" borderId="3">
      <alignment horizontal="left" vertical="center"/>
      <protection locked="0"/>
    </xf>
    <xf numFmtId="49" fontId="34" fillId="22" borderId="3">
      <alignment horizontal="left" vertical="center"/>
    </xf>
    <xf numFmtId="49" fontId="35" fillId="22" borderId="3">
      <alignment horizontal="left" vertical="center"/>
      <protection locked="0"/>
    </xf>
    <xf numFmtId="49" fontId="35" fillId="22" borderId="3">
      <alignment horizontal="left" vertical="center"/>
    </xf>
    <xf numFmtId="4" fontId="34" fillId="22" borderId="3">
      <alignment horizontal="right" vertical="center"/>
      <protection locked="0"/>
    </xf>
    <xf numFmtId="4" fontId="34" fillId="22" borderId="3">
      <alignment horizontal="right" vertical="center"/>
    </xf>
    <xf numFmtId="4" fontId="36" fillId="22" borderId="3">
      <alignment horizontal="righ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  <protection locked="0"/>
    </xf>
    <xf numFmtId="49" fontId="29" fillId="22" borderId="3">
      <alignment horizontal="left" vertical="center"/>
    </xf>
    <xf numFmtId="49" fontId="29" fillId="22" borderId="3">
      <alignment horizontal="left" vertical="center"/>
    </xf>
    <xf numFmtId="49" fontId="33" fillId="22" borderId="3">
      <alignment horizontal="left" vertical="center"/>
      <protection locked="0"/>
    </xf>
    <xf numFmtId="49" fontId="33" fillId="22" borderId="3">
      <alignment horizontal="left" vertical="center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  <protection locked="0"/>
    </xf>
    <xf numFmtId="4" fontId="29" fillId="22" borderId="3">
      <alignment horizontal="right" vertical="center"/>
    </xf>
    <xf numFmtId="4" fontId="29" fillId="22" borderId="3">
      <alignment horizontal="right" vertical="center"/>
    </xf>
    <xf numFmtId="4" fontId="33" fillId="22" borderId="3">
      <alignment horizontal="right" vertical="center"/>
      <protection locked="0"/>
    </xf>
    <xf numFmtId="49" fontId="37" fillId="22" borderId="3">
      <alignment horizontal="left" vertical="center"/>
      <protection locked="0"/>
    </xf>
    <xf numFmtId="49" fontId="37" fillId="22" borderId="3">
      <alignment horizontal="left" vertical="center"/>
    </xf>
    <xf numFmtId="49" fontId="38" fillId="22" borderId="3">
      <alignment horizontal="left" vertical="center"/>
      <protection locked="0"/>
    </xf>
    <xf numFmtId="49" fontId="38" fillId="22" borderId="3">
      <alignment horizontal="left" vertical="center"/>
    </xf>
    <xf numFmtId="4" fontId="37" fillId="22" borderId="3">
      <alignment horizontal="right" vertical="center"/>
      <protection locked="0"/>
    </xf>
    <xf numFmtId="4" fontId="37" fillId="22" borderId="3">
      <alignment horizontal="right" vertical="center"/>
    </xf>
    <xf numFmtId="4" fontId="39" fillId="22" borderId="3">
      <alignment horizontal="right" vertical="center"/>
      <protection locked="0"/>
    </xf>
    <xf numFmtId="49" fontId="40" fillId="0" borderId="3">
      <alignment horizontal="left" vertical="center"/>
      <protection locked="0"/>
    </xf>
    <xf numFmtId="49" fontId="40" fillId="0" borderId="3">
      <alignment horizontal="left" vertical="center"/>
    </xf>
    <xf numFmtId="49" fontId="41" fillId="0" borderId="3">
      <alignment horizontal="left" vertical="center"/>
      <protection locked="0"/>
    </xf>
    <xf numFmtId="49" fontId="41" fillId="0" borderId="3">
      <alignment horizontal="left" vertical="center"/>
    </xf>
    <xf numFmtId="4" fontId="40" fillId="0" borderId="3">
      <alignment horizontal="right" vertical="center"/>
      <protection locked="0"/>
    </xf>
    <xf numFmtId="4" fontId="40" fillId="0" borderId="3">
      <alignment horizontal="right" vertical="center"/>
    </xf>
    <xf numFmtId="4" fontId="41" fillId="0" borderId="3">
      <alignment horizontal="right" vertical="center"/>
      <protection locked="0"/>
    </xf>
    <xf numFmtId="49" fontId="42" fillId="0" borderId="3">
      <alignment horizontal="left" vertical="center"/>
      <protection locked="0"/>
    </xf>
    <xf numFmtId="49" fontId="42" fillId="0" borderId="3">
      <alignment horizontal="left" vertical="center"/>
    </xf>
    <xf numFmtId="49" fontId="43" fillId="0" borderId="3">
      <alignment horizontal="left" vertical="center"/>
      <protection locked="0"/>
    </xf>
    <xf numFmtId="49" fontId="43" fillId="0" borderId="3">
      <alignment horizontal="left" vertical="center"/>
    </xf>
    <xf numFmtId="4" fontId="42" fillId="0" borderId="3">
      <alignment horizontal="right" vertical="center"/>
      <protection locked="0"/>
    </xf>
    <xf numFmtId="4" fontId="42" fillId="0" borderId="3">
      <alignment horizontal="right" vertical="center"/>
    </xf>
    <xf numFmtId="49" fontId="40" fillId="0" borderId="3">
      <alignment horizontal="left" vertical="center"/>
      <protection locked="0"/>
    </xf>
    <xf numFmtId="49" fontId="41" fillId="0" borderId="3">
      <alignment horizontal="left" vertical="center"/>
      <protection locked="0"/>
    </xf>
    <xf numFmtId="4" fontId="40" fillId="0" borderId="3">
      <alignment horizontal="right" vertical="center"/>
      <protection locked="0"/>
    </xf>
    <xf numFmtId="0" fontId="23" fillId="0" borderId="8" applyNumberFormat="0" applyFill="0" applyAlignment="0" applyProtection="0"/>
    <xf numFmtId="0" fontId="20" fillId="23" borderId="0" applyNumberFormat="0" applyBorder="0" applyAlignment="0" applyProtection="0"/>
    <xf numFmtId="0" fontId="7" fillId="0" borderId="0"/>
    <xf numFmtId="0" fontId="7" fillId="0" borderId="0"/>
    <xf numFmtId="0" fontId="7" fillId="24" borderId="0" applyNumberFormat="0" applyFill="0" applyAlignment="0">
      <alignment horizontal="center"/>
      <protection locked="0"/>
    </xf>
    <xf numFmtId="0" fontId="2" fillId="25" borderId="9" applyNumberFormat="0" applyFont="0" applyAlignment="0" applyProtection="0"/>
    <xf numFmtId="4" fontId="44" fillId="26" borderId="3">
      <alignment horizontal="right" vertical="center"/>
      <protection locked="0"/>
    </xf>
    <xf numFmtId="4" fontId="44" fillId="27" borderId="3">
      <alignment horizontal="right" vertical="center"/>
      <protection locked="0"/>
    </xf>
    <xf numFmtId="4" fontId="44" fillId="28" borderId="3">
      <alignment horizontal="right" vertical="center"/>
      <protection locked="0"/>
    </xf>
    <xf numFmtId="0" fontId="12" fillId="20" borderId="10" applyNumberFormat="0" applyAlignment="0" applyProtection="0"/>
    <xf numFmtId="49" fontId="29" fillId="0" borderId="3">
      <alignment horizontal="left" vertical="center" wrapText="1"/>
      <protection locked="0"/>
    </xf>
    <xf numFmtId="49" fontId="29" fillId="0" borderId="3">
      <alignment horizontal="left" vertical="center" wrapText="1"/>
      <protection locked="0"/>
    </xf>
    <xf numFmtId="0" fontId="19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24" fillId="0" borderId="0" applyNumberFormat="0" applyFill="0" applyBorder="0" applyAlignment="0" applyProtection="0"/>
    <xf numFmtId="0" fontId="28" fillId="16" borderId="0" applyNumberFormat="0" applyBorder="0" applyAlignment="0" applyProtection="0"/>
    <xf numFmtId="0" fontId="10" fillId="16" borderId="0" applyNumberFormat="0" applyBorder="0" applyAlignment="0" applyProtection="0"/>
    <xf numFmtId="0" fontId="28" fillId="17" borderId="0" applyNumberFormat="0" applyBorder="0" applyAlignment="0" applyProtection="0"/>
    <xf numFmtId="0" fontId="10" fillId="17" borderId="0" applyNumberFormat="0" applyBorder="0" applyAlignment="0" applyProtection="0"/>
    <xf numFmtId="0" fontId="28" fillId="18" borderId="0" applyNumberFormat="0" applyBorder="0" applyAlignment="0" applyProtection="0"/>
    <xf numFmtId="0" fontId="10" fillId="18" borderId="0" applyNumberFormat="0" applyBorder="0" applyAlignment="0" applyProtection="0"/>
    <xf numFmtId="0" fontId="28" fillId="13" borderId="0" applyNumberFormat="0" applyBorder="0" applyAlignment="0" applyProtection="0"/>
    <xf numFmtId="0" fontId="10" fillId="13" borderId="0" applyNumberFormat="0" applyBorder="0" applyAlignment="0" applyProtection="0"/>
    <xf numFmtId="0" fontId="28" fillId="14" borderId="0" applyNumberFormat="0" applyBorder="0" applyAlignment="0" applyProtection="0"/>
    <xf numFmtId="0" fontId="10" fillId="14" borderId="0" applyNumberFormat="0" applyBorder="0" applyAlignment="0" applyProtection="0"/>
    <xf numFmtId="0" fontId="28" fillId="19" borderId="0" applyNumberFormat="0" applyBorder="0" applyAlignment="0" applyProtection="0"/>
    <xf numFmtId="0" fontId="10" fillId="19" borderId="0" applyNumberFormat="0" applyBorder="0" applyAlignment="0" applyProtection="0"/>
    <xf numFmtId="0" fontId="45" fillId="7" borderId="1" applyNumberFormat="0" applyAlignment="0" applyProtection="0"/>
    <xf numFmtId="0" fontId="11" fillId="7" borderId="1" applyNumberFormat="0" applyAlignment="0" applyProtection="0"/>
    <xf numFmtId="0" fontId="46" fillId="20" borderId="10" applyNumberFormat="0" applyAlignment="0" applyProtection="0"/>
    <xf numFmtId="0" fontId="12" fillId="20" borderId="10" applyNumberFormat="0" applyAlignment="0" applyProtection="0"/>
    <xf numFmtId="0" fontId="47" fillId="20" borderId="1" applyNumberFormat="0" applyAlignment="0" applyProtection="0"/>
    <xf numFmtId="0" fontId="13" fillId="20" borderId="1" applyNumberFormat="0" applyAlignment="0" applyProtection="0"/>
    <xf numFmtId="172" fontId="7" fillId="0" borderId="0" applyFont="0" applyFill="0" applyBorder="0" applyAlignment="0" applyProtection="0"/>
    <xf numFmtId="0" fontId="48" fillId="0" borderId="4" applyNumberFormat="0" applyFill="0" applyAlignment="0" applyProtection="0"/>
    <xf numFmtId="0" fontId="14" fillId="0" borderId="4" applyNumberFormat="0" applyFill="0" applyAlignment="0" applyProtection="0"/>
    <xf numFmtId="0" fontId="49" fillId="0" borderId="5" applyNumberFormat="0" applyFill="0" applyAlignment="0" applyProtection="0"/>
    <xf numFmtId="0" fontId="15" fillId="0" borderId="5" applyNumberFormat="0" applyFill="0" applyAlignment="0" applyProtection="0"/>
    <xf numFmtId="0" fontId="50" fillId="0" borderId="6" applyNumberFormat="0" applyFill="0" applyAlignment="0" applyProtection="0"/>
    <xf numFmtId="0" fontId="16" fillId="0" borderId="6" applyNumberFormat="0" applyFill="0" applyAlignment="0" applyProtection="0"/>
    <xf numFmtId="0" fontId="5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11" applyNumberFormat="0" applyFill="0" applyAlignment="0" applyProtection="0"/>
    <xf numFmtId="0" fontId="17" fillId="0" borderId="11" applyNumberFormat="0" applyFill="0" applyAlignment="0" applyProtection="0"/>
    <xf numFmtId="0" fontId="52" fillId="21" borderId="2" applyNumberFormat="0" applyAlignment="0" applyProtection="0"/>
    <xf numFmtId="0" fontId="18" fillId="21" borderId="2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5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85" fillId="0" borderId="0"/>
    <xf numFmtId="0" fontId="1" fillId="0" borderId="0"/>
    <xf numFmtId="0" fontId="85" fillId="0" borderId="0"/>
    <xf numFmtId="0" fontId="7" fillId="0" borderId="0"/>
    <xf numFmtId="0" fontId="2" fillId="0" borderId="0"/>
    <xf numFmtId="0" fontId="7" fillId="0" borderId="0"/>
    <xf numFmtId="0" fontId="7" fillId="0" borderId="0" applyNumberFormat="0" applyFont="0" applyFill="0" applyBorder="0" applyAlignment="0" applyProtection="0">
      <alignment vertical="top"/>
    </xf>
    <xf numFmtId="0" fontId="7" fillId="0" borderId="0" applyNumberFormat="0" applyFont="0" applyFill="0" applyBorder="0" applyAlignment="0" applyProtection="0">
      <alignment vertical="top"/>
    </xf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54" fillId="3" borderId="0" applyNumberFormat="0" applyBorder="0" applyAlignment="0" applyProtection="0"/>
    <xf numFmtId="0" fontId="21" fillId="3" borderId="0" applyNumberFormat="0" applyBorder="0" applyAlignment="0" applyProtection="0"/>
    <xf numFmtId="0" fontId="5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56" fillId="25" borderId="9" applyNumberFormat="0" applyFont="0" applyAlignment="0" applyProtection="0"/>
    <xf numFmtId="0" fontId="7" fillId="25" borderId="9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8" applyNumberFormat="0" applyFill="0" applyAlignment="0" applyProtection="0"/>
    <xf numFmtId="0" fontId="23" fillId="0" borderId="8" applyNumberFormat="0" applyFill="0" applyAlignment="0" applyProtection="0"/>
    <xf numFmtId="0" fontId="2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9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3" fontId="60" fillId="0" borderId="0" applyFont="0" applyFill="0" applyBorder="0" applyAlignment="0" applyProtection="0"/>
    <xf numFmtId="174" fontId="6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5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61" fillId="4" borderId="0" applyNumberFormat="0" applyBorder="0" applyAlignment="0" applyProtection="0"/>
    <xf numFmtId="0" fontId="25" fillId="4" borderId="0" applyNumberFormat="0" applyBorder="0" applyAlignment="0" applyProtection="0"/>
    <xf numFmtId="176" fontId="62" fillId="22" borderId="12" applyFill="0" applyBorder="0">
      <alignment horizontal="center" vertical="center" wrapText="1"/>
      <protection locked="0"/>
    </xf>
    <xf numFmtId="171" fontId="63" fillId="0" borderId="0">
      <alignment wrapText="1"/>
    </xf>
    <xf numFmtId="171" fontId="30" fillId="0" borderId="0">
      <alignment wrapText="1"/>
    </xf>
  </cellStyleXfs>
  <cellXfs count="493">
    <xf numFmtId="0" fontId="0" fillId="0" borderId="0" xfId="0"/>
    <xf numFmtId="0" fontId="5" fillId="0" borderId="0" xfId="0" quotePrefix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quotePrefix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5" fillId="0" borderId="3" xfId="245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9" fillId="0" borderId="0" xfId="245" applyFont="1" applyFill="1"/>
    <xf numFmtId="0" fontId="5" fillId="0" borderId="13" xfId="0" applyFont="1" applyFill="1" applyBorder="1" applyAlignment="1">
      <alignment horizontal="center" vertical="center" wrapText="1"/>
    </xf>
    <xf numFmtId="0" fontId="4" fillId="0" borderId="3" xfId="245" applyFont="1" applyFill="1" applyBorder="1" applyAlignment="1">
      <alignment horizontal="left" vertical="center" wrapText="1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170" fontId="5" fillId="0" borderId="3" xfId="0" applyNumberFormat="1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3" fontId="5" fillId="0" borderId="3" xfId="0" quotePrefix="1" applyNumberFormat="1" applyFont="1" applyFill="1" applyBorder="1" applyAlignment="1">
      <alignment horizontal="center" vertical="center" wrapText="1"/>
    </xf>
    <xf numFmtId="170" fontId="5" fillId="0" borderId="3" xfId="0" quotePrefix="1" applyNumberFormat="1" applyFont="1" applyFill="1" applyBorder="1" applyAlignment="1">
      <alignment horizontal="center" vertical="center" wrapText="1"/>
    </xf>
    <xf numFmtId="0" fontId="64" fillId="0" borderId="0" xfId="0" applyFont="1" applyFill="1"/>
    <xf numFmtId="3" fontId="5" fillId="0" borderId="3" xfId="0" applyNumberFormat="1" applyFont="1" applyFill="1" applyBorder="1" applyAlignment="1">
      <alignment vertical="center"/>
    </xf>
    <xf numFmtId="0" fontId="65" fillId="0" borderId="0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right" vertical="center"/>
    </xf>
    <xf numFmtId="0" fontId="65" fillId="0" borderId="0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left" vertical="center" wrapText="1"/>
    </xf>
    <xf numFmtId="0" fontId="65" fillId="0" borderId="0" xfId="0" applyFont="1" applyFill="1" applyAlignment="1">
      <alignment horizontal="center" vertical="center"/>
    </xf>
    <xf numFmtId="0" fontId="65" fillId="0" borderId="0" xfId="0" applyFont="1" applyFill="1" applyBorder="1" applyAlignment="1">
      <alignment horizontal="left" vertical="center"/>
    </xf>
    <xf numFmtId="0" fontId="65" fillId="0" borderId="0" xfId="0" applyFont="1" applyFill="1" applyAlignment="1">
      <alignment horizontal="left"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left" vertical="center" wrapText="1"/>
    </xf>
    <xf numFmtId="0" fontId="65" fillId="0" borderId="3" xfId="245" applyFont="1" applyFill="1" applyBorder="1" applyAlignment="1">
      <alignment horizontal="left" vertical="center" wrapText="1"/>
    </xf>
    <xf numFmtId="0" fontId="68" fillId="0" borderId="0" xfId="0" applyFont="1" applyFill="1" applyBorder="1" applyAlignment="1">
      <alignment vertical="center"/>
    </xf>
    <xf numFmtId="0" fontId="65" fillId="0" borderId="0" xfId="0" applyFont="1" applyFill="1" applyAlignment="1">
      <alignment vertical="center"/>
    </xf>
    <xf numFmtId="0" fontId="65" fillId="0" borderId="0" xfId="0" applyFont="1" applyFill="1" applyBorder="1" applyAlignment="1">
      <alignment vertical="center" wrapText="1"/>
    </xf>
    <xf numFmtId="0" fontId="65" fillId="0" borderId="0" xfId="0" applyFont="1" applyFill="1" applyAlignment="1">
      <alignment horizontal="right" vertical="center"/>
    </xf>
    <xf numFmtId="3" fontId="65" fillId="0" borderId="3" xfId="0" quotePrefix="1" applyNumberFormat="1" applyFont="1" applyFill="1" applyBorder="1" applyAlignment="1">
      <alignment horizontal="center" vertical="center" wrapText="1"/>
    </xf>
    <xf numFmtId="170" fontId="65" fillId="0" borderId="3" xfId="0" quotePrefix="1" applyNumberFormat="1" applyFont="1" applyFill="1" applyBorder="1" applyAlignment="1">
      <alignment horizontal="center" vertical="center" wrapText="1"/>
    </xf>
    <xf numFmtId="0" fontId="70" fillId="0" borderId="0" xfId="0" applyFont="1" applyFill="1" applyBorder="1" applyAlignment="1">
      <alignment vertical="center"/>
    </xf>
    <xf numFmtId="0" fontId="68" fillId="0" borderId="0" xfId="245" applyFont="1" applyFill="1" applyBorder="1" applyAlignment="1">
      <alignment horizontal="center" vertical="center"/>
    </xf>
    <xf numFmtId="0" fontId="68" fillId="0" borderId="3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/>
    </xf>
    <xf numFmtId="0" fontId="65" fillId="0" borderId="0" xfId="245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vertical="center"/>
    </xf>
    <xf numFmtId="3" fontId="65" fillId="0" borderId="3" xfId="245" applyNumberFormat="1" applyFont="1" applyFill="1" applyBorder="1" applyAlignment="1">
      <alignment horizontal="center" vertical="center" wrapText="1"/>
    </xf>
    <xf numFmtId="170" fontId="65" fillId="0" borderId="3" xfId="245" applyNumberFormat="1" applyFont="1" applyFill="1" applyBorder="1" applyAlignment="1">
      <alignment horizontal="center" vertical="center" wrapText="1"/>
    </xf>
    <xf numFmtId="0" fontId="68" fillId="0" borderId="3" xfId="245" applyFont="1" applyFill="1" applyBorder="1" applyAlignment="1">
      <alignment horizontal="center" vertical="center"/>
    </xf>
    <xf numFmtId="0" fontId="65" fillId="0" borderId="0" xfId="245" applyFont="1" applyFill="1" applyBorder="1" applyAlignment="1">
      <alignment horizontal="left" vertical="center" wrapText="1"/>
    </xf>
    <xf numFmtId="0" fontId="65" fillId="0" borderId="0" xfId="245" applyFont="1" applyFill="1" applyBorder="1" applyAlignment="1">
      <alignment vertical="center" wrapText="1"/>
    </xf>
    <xf numFmtId="0" fontId="65" fillId="0" borderId="3" xfId="0" quotePrefix="1" applyNumberFormat="1" applyFont="1" applyFill="1" applyBorder="1" applyAlignment="1">
      <alignment horizontal="center" vertical="center"/>
    </xf>
    <xf numFmtId="0" fontId="65" fillId="0" borderId="3" xfId="0" applyNumberFormat="1" applyFont="1" applyFill="1" applyBorder="1" applyAlignment="1">
      <alignment horizontal="center" vertical="center"/>
    </xf>
    <xf numFmtId="0" fontId="65" fillId="0" borderId="0" xfId="0" applyFont="1" applyFill="1"/>
    <xf numFmtId="0" fontId="65" fillId="0" borderId="3" xfId="237" applyFont="1" applyFill="1" applyBorder="1" applyAlignment="1">
      <alignment horizontal="center" vertical="center"/>
    </xf>
    <xf numFmtId="0" fontId="65" fillId="0" borderId="3" xfId="237" applyNumberFormat="1" applyFont="1" applyFill="1" applyBorder="1" applyAlignment="1">
      <alignment horizontal="center" vertical="center" wrapText="1"/>
    </xf>
    <xf numFmtId="0" fontId="65" fillId="0" borderId="3" xfId="237" applyNumberFormat="1" applyFont="1" applyFill="1" applyBorder="1" applyAlignment="1">
      <alignment horizontal="left" vertical="center" wrapText="1"/>
    </xf>
    <xf numFmtId="0" fontId="65" fillId="0" borderId="3" xfId="237" applyNumberFormat="1" applyFont="1" applyFill="1" applyBorder="1" applyAlignment="1">
      <alignment horizontal="left" vertical="top" wrapText="1"/>
    </xf>
    <xf numFmtId="49" fontId="65" fillId="0" borderId="3" xfId="237" applyNumberFormat="1" applyFont="1" applyFill="1" applyBorder="1" applyAlignment="1">
      <alignment horizontal="left" vertical="center" wrapText="1"/>
    </xf>
    <xf numFmtId="0" fontId="65" fillId="0" borderId="0" xfId="0" applyFont="1" applyFill="1" applyBorder="1" applyAlignment="1">
      <alignment horizontal="left" vertical="center" wrapText="1" shrinkToFit="1"/>
    </xf>
    <xf numFmtId="3" fontId="68" fillId="0" borderId="3" xfId="0" applyNumberFormat="1" applyFont="1" applyFill="1" applyBorder="1" applyAlignment="1">
      <alignment horizontal="center" vertical="center" wrapText="1"/>
    </xf>
    <xf numFmtId="170" fontId="68" fillId="0" borderId="3" xfId="0" applyNumberFormat="1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horizontal="right" vertical="center"/>
    </xf>
    <xf numFmtId="0" fontId="68" fillId="0" borderId="0" xfId="0" applyFont="1" applyFill="1" applyBorder="1" applyAlignment="1">
      <alignment horizontal="left" vertical="center"/>
    </xf>
    <xf numFmtId="0" fontId="68" fillId="0" borderId="15" xfId="0" applyFont="1" applyFill="1" applyBorder="1" applyAlignment="1">
      <alignment horizontal="left" vertical="center" wrapText="1"/>
    </xf>
    <xf numFmtId="0" fontId="65" fillId="0" borderId="3" xfId="0" applyNumberFormat="1" applyFont="1" applyFill="1" applyBorder="1" applyAlignment="1">
      <alignment horizontal="center" vertical="center" wrapText="1" shrinkToFit="1"/>
    </xf>
    <xf numFmtId="169" fontId="68" fillId="0" borderId="0" xfId="0" applyNumberFormat="1" applyFont="1" applyFill="1" applyBorder="1" applyAlignment="1">
      <alignment horizontal="right" vertical="center" wrapText="1"/>
    </xf>
    <xf numFmtId="0" fontId="65" fillId="0" borderId="3" xfId="0" applyFont="1" applyFill="1" applyBorder="1" applyAlignment="1">
      <alignment horizontal="center" vertical="center" wrapText="1" shrinkToFi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65" fillId="0" borderId="15" xfId="0" applyFont="1" applyFill="1" applyBorder="1" applyAlignment="1">
      <alignment vertical="center"/>
    </xf>
    <xf numFmtId="0" fontId="65" fillId="0" borderId="15" xfId="0" applyFont="1" applyFill="1" applyBorder="1" applyAlignment="1">
      <alignment horizontal="center" vertical="center"/>
    </xf>
    <xf numFmtId="170" fontId="72" fillId="0" borderId="3" xfId="0" applyNumberFormat="1" applyFont="1" applyFill="1" applyBorder="1" applyAlignment="1">
      <alignment horizontal="center" vertical="center" wrapText="1"/>
    </xf>
    <xf numFmtId="169" fontId="68" fillId="0" borderId="0" xfId="0" applyNumberFormat="1" applyFont="1" applyFill="1" applyBorder="1" applyAlignment="1">
      <alignment horizontal="right" vertical="center"/>
    </xf>
    <xf numFmtId="0" fontId="66" fillId="0" borderId="0" xfId="0" applyFont="1" applyFill="1" applyAlignment="1">
      <alignment vertical="center"/>
    </xf>
    <xf numFmtId="0" fontId="66" fillId="0" borderId="0" xfId="0" applyFont="1" applyFill="1"/>
    <xf numFmtId="0" fontId="66" fillId="0" borderId="0" xfId="0" applyFont="1" applyFill="1" applyAlignment="1">
      <alignment horizontal="center" vertical="center"/>
    </xf>
    <xf numFmtId="0" fontId="65" fillId="0" borderId="3" xfId="0" applyNumberFormat="1" applyFont="1" applyFill="1" applyBorder="1"/>
    <xf numFmtId="0" fontId="65" fillId="0" borderId="0" xfId="0" applyFont="1" applyFill="1" applyAlignment="1"/>
    <xf numFmtId="0" fontId="68" fillId="0" borderId="0" xfId="0" applyFont="1" applyFill="1" applyAlignment="1">
      <alignment horizontal="right"/>
    </xf>
    <xf numFmtId="0" fontId="65" fillId="0" borderId="0" xfId="0" applyFont="1" applyFill="1" applyBorder="1" applyAlignment="1"/>
    <xf numFmtId="0" fontId="65" fillId="0" borderId="0" xfId="0" applyFont="1" applyFill="1" applyBorder="1" applyAlignment="1">
      <alignment horizontal="center"/>
    </xf>
    <xf numFmtId="0" fontId="65" fillId="0" borderId="0" xfId="0" applyFont="1" applyFill="1" applyAlignment="1">
      <alignment vertical="center" wrapText="1" shrinkToFit="1"/>
    </xf>
    <xf numFmtId="0" fontId="68" fillId="0" borderId="0" xfId="0" applyFont="1" applyFill="1" applyAlignment="1">
      <alignment horizontal="right" vertical="center"/>
    </xf>
    <xf numFmtId="0" fontId="67" fillId="0" borderId="0" xfId="0" applyFont="1" applyFill="1" applyAlignment="1">
      <alignment vertical="center"/>
    </xf>
    <xf numFmtId="0" fontId="70" fillId="0" borderId="0" xfId="0" applyFont="1" applyFill="1" applyAlignment="1">
      <alignment vertical="center"/>
    </xf>
    <xf numFmtId="0" fontId="73" fillId="0" borderId="0" xfId="0" applyFont="1" applyFill="1" applyBorder="1" applyAlignment="1">
      <alignment horizontal="left" vertical="center"/>
    </xf>
    <xf numFmtId="169" fontId="73" fillId="0" borderId="0" xfId="0" applyNumberFormat="1" applyFont="1" applyFill="1" applyBorder="1" applyAlignment="1">
      <alignment horizontal="right" vertical="center"/>
    </xf>
    <xf numFmtId="0" fontId="70" fillId="0" borderId="0" xfId="0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right" vertical="center"/>
    </xf>
    <xf numFmtId="0" fontId="74" fillId="0" borderId="0" xfId="0" applyFont="1"/>
    <xf numFmtId="0" fontId="75" fillId="0" borderId="0" xfId="0" applyFont="1" applyFill="1" applyBorder="1" applyAlignment="1">
      <alignment vertical="center"/>
    </xf>
    <xf numFmtId="0" fontId="70" fillId="0" borderId="0" xfId="0" applyFont="1" applyFill="1" applyBorder="1" applyAlignment="1">
      <alignment vertical="center" wrapText="1"/>
    </xf>
    <xf numFmtId="0" fontId="70" fillId="0" borderId="0" xfId="0" applyFont="1" applyFill="1" applyBorder="1" applyAlignment="1">
      <alignment horizontal="left" vertical="center" wrapText="1"/>
    </xf>
    <xf numFmtId="0" fontId="70" fillId="0" borderId="0" xfId="0" applyFont="1" applyFill="1" applyAlignment="1">
      <alignment horizontal="center" vertical="center"/>
    </xf>
    <xf numFmtId="0" fontId="70" fillId="0" borderId="14" xfId="0" applyFont="1" applyFill="1" applyBorder="1" applyAlignment="1">
      <alignment vertical="center"/>
    </xf>
    <xf numFmtId="0" fontId="70" fillId="0" borderId="14" xfId="0" applyFont="1" applyFill="1" applyBorder="1" applyAlignment="1">
      <alignment vertical="center" wrapText="1"/>
    </xf>
    <xf numFmtId="0" fontId="70" fillId="0" borderId="3" xfId="0" applyFont="1" applyFill="1" applyBorder="1" applyAlignment="1">
      <alignment vertical="center" wrapText="1"/>
    </xf>
    <xf numFmtId="0" fontId="70" fillId="0" borderId="18" xfId="0" applyFont="1" applyFill="1" applyBorder="1" applyAlignment="1">
      <alignment vertical="center" wrapText="1"/>
    </xf>
    <xf numFmtId="0" fontId="70" fillId="0" borderId="18" xfId="0" applyFont="1" applyFill="1" applyBorder="1" applyAlignment="1">
      <alignment vertical="center"/>
    </xf>
    <xf numFmtId="0" fontId="70" fillId="0" borderId="0" xfId="0" applyFont="1" applyFill="1" applyBorder="1" applyAlignment="1">
      <alignment horizontal="left" vertical="center"/>
    </xf>
    <xf numFmtId="0" fontId="73" fillId="0" borderId="0" xfId="0" applyFont="1" applyFill="1" applyBorder="1" applyAlignment="1">
      <alignment horizontal="center" vertical="center"/>
    </xf>
    <xf numFmtId="0" fontId="70" fillId="0" borderId="0" xfId="0" applyFont="1" applyFill="1" applyAlignment="1">
      <alignment horizontal="left" vertical="center"/>
    </xf>
    <xf numFmtId="0" fontId="70" fillId="0" borderId="13" xfId="0" applyFont="1" applyFill="1" applyBorder="1" applyAlignment="1">
      <alignment horizontal="center" vertical="center" wrapText="1"/>
    </xf>
    <xf numFmtId="0" fontId="70" fillId="0" borderId="3" xfId="182" applyFont="1" applyFill="1" applyBorder="1" applyAlignment="1">
      <alignment horizontal="left" vertical="center" wrapText="1"/>
      <protection locked="0"/>
    </xf>
    <xf numFmtId="170" fontId="70" fillId="0" borderId="3" xfId="0" applyNumberFormat="1" applyFont="1" applyFill="1" applyBorder="1" applyAlignment="1">
      <alignment horizontal="center" vertical="center" wrapText="1"/>
    </xf>
    <xf numFmtId="0" fontId="73" fillId="0" borderId="3" xfId="182" applyFont="1" applyFill="1" applyBorder="1" applyAlignment="1">
      <alignment horizontal="left" vertical="center" wrapText="1"/>
      <protection locked="0"/>
    </xf>
    <xf numFmtId="0" fontId="73" fillId="0" borderId="3" xfId="0" applyFont="1" applyFill="1" applyBorder="1" applyAlignment="1">
      <alignment horizontal="left" vertical="center" wrapText="1"/>
    </xf>
    <xf numFmtId="0" fontId="73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 applyProtection="1">
      <alignment horizontal="left" vertical="center" wrapText="1"/>
      <protection locked="0"/>
    </xf>
    <xf numFmtId="0" fontId="70" fillId="0" borderId="3" xfId="0" applyFont="1" applyFill="1" applyBorder="1" applyAlignment="1">
      <alignment horizontal="left" vertical="center" wrapText="1"/>
    </xf>
    <xf numFmtId="0" fontId="70" fillId="0" borderId="3" xfId="245" applyFont="1" applyFill="1" applyBorder="1" applyAlignment="1">
      <alignment horizontal="left" vertical="center" wrapText="1"/>
    </xf>
    <xf numFmtId="0" fontId="73" fillId="0" borderId="0" xfId="0" applyFont="1" applyFill="1" applyBorder="1" applyAlignment="1">
      <alignment vertical="center"/>
    </xf>
    <xf numFmtId="0" fontId="79" fillId="0" borderId="0" xfId="0" applyFont="1" applyFill="1" applyBorder="1" applyAlignment="1">
      <alignment horizontal="center" vertical="center" wrapText="1"/>
    </xf>
    <xf numFmtId="0" fontId="80" fillId="0" borderId="0" xfId="0" applyFont="1" applyFill="1" applyBorder="1" applyAlignment="1">
      <alignment vertical="center"/>
    </xf>
    <xf numFmtId="0" fontId="80" fillId="0" borderId="0" xfId="0" applyFont="1" applyFill="1" applyBorder="1" applyAlignment="1">
      <alignment horizontal="center" vertical="center" wrapText="1"/>
    </xf>
    <xf numFmtId="0" fontId="79" fillId="0" borderId="0" xfId="0" applyFont="1" applyFill="1" applyBorder="1" applyAlignment="1">
      <alignment vertical="center"/>
    </xf>
    <xf numFmtId="0" fontId="80" fillId="0" borderId="0" xfId="0" applyFont="1" applyFill="1" applyAlignment="1">
      <alignment vertical="center"/>
    </xf>
    <xf numFmtId="0" fontId="79" fillId="0" borderId="0" xfId="0" applyFont="1" applyFill="1" applyBorder="1" applyAlignment="1">
      <alignment horizontal="left" vertical="center" wrapText="1"/>
    </xf>
    <xf numFmtId="0" fontId="79" fillId="0" borderId="0" xfId="0" quotePrefix="1" applyFont="1" applyFill="1" applyBorder="1" applyAlignment="1">
      <alignment horizontal="center"/>
    </xf>
    <xf numFmtId="0" fontId="81" fillId="0" borderId="3" xfId="245" applyFont="1" applyFill="1" applyBorder="1" applyAlignment="1">
      <alignment horizontal="left" vertical="center" wrapText="1"/>
    </xf>
    <xf numFmtId="0" fontId="65" fillId="0" borderId="0" xfId="0" quotePrefix="1" applyFont="1" applyFill="1" applyBorder="1" applyAlignment="1">
      <alignment horizontal="center" vertical="center"/>
    </xf>
    <xf numFmtId="0" fontId="70" fillId="0" borderId="0" xfId="0" quotePrefix="1" applyFont="1" applyFill="1" applyBorder="1" applyAlignment="1">
      <alignment horizontal="center" vertical="center"/>
    </xf>
    <xf numFmtId="0" fontId="69" fillId="0" borderId="0" xfId="0" applyFont="1" applyFill="1" applyBorder="1" applyAlignment="1">
      <alignment horizontal="center" vertical="center" wrapText="1"/>
    </xf>
    <xf numFmtId="0" fontId="68" fillId="0" borderId="0" xfId="0" applyFont="1" applyFill="1" applyBorder="1" applyAlignment="1">
      <alignment horizontal="center" vertical="center" wrapText="1"/>
    </xf>
    <xf numFmtId="3" fontId="79" fillId="0" borderId="0" xfId="0" applyNumberFormat="1" applyFont="1" applyFill="1" applyBorder="1" applyAlignment="1">
      <alignment vertical="center"/>
    </xf>
    <xf numFmtId="3" fontId="80" fillId="0" borderId="0" xfId="0" applyNumberFormat="1" applyFont="1" applyFill="1" applyBorder="1" applyAlignment="1">
      <alignment vertical="center"/>
    </xf>
    <xf numFmtId="170" fontId="81" fillId="0" borderId="3" xfId="0" quotePrefix="1" applyNumberFormat="1" applyFont="1" applyFill="1" applyBorder="1" applyAlignment="1">
      <alignment horizontal="center" vertical="center" wrapText="1"/>
    </xf>
    <xf numFmtId="170" fontId="81" fillId="0" borderId="3" xfId="0" applyNumberFormat="1" applyFont="1" applyFill="1" applyBorder="1" applyAlignment="1">
      <alignment horizontal="center" vertical="center" wrapText="1"/>
    </xf>
    <xf numFmtId="170" fontId="83" fillId="0" borderId="3" xfId="0" quotePrefix="1" applyNumberFormat="1" applyFont="1" applyFill="1" applyBorder="1" applyAlignment="1">
      <alignment horizontal="center" vertical="center" wrapText="1"/>
    </xf>
    <xf numFmtId="0" fontId="81" fillId="0" borderId="19" xfId="0" applyFont="1" applyFill="1" applyBorder="1" applyAlignment="1">
      <alignment horizontal="left" vertical="center" wrapText="1"/>
    </xf>
    <xf numFmtId="0" fontId="81" fillId="0" borderId="3" xfId="0" quotePrefix="1" applyFont="1" applyFill="1" applyBorder="1" applyAlignment="1">
      <alignment horizontal="center" vertical="center"/>
    </xf>
    <xf numFmtId="49" fontId="81" fillId="0" borderId="3" xfId="0" quotePrefix="1" applyNumberFormat="1" applyFont="1" applyFill="1" applyBorder="1" applyAlignment="1">
      <alignment horizontal="left" vertical="center" wrapText="1"/>
    </xf>
    <xf numFmtId="0" fontId="83" fillId="0" borderId="3" xfId="0" applyFont="1" applyFill="1" applyBorder="1" applyAlignment="1">
      <alignment horizontal="left" vertical="center" wrapText="1"/>
    </xf>
    <xf numFmtId="0" fontId="83" fillId="0" borderId="3" xfId="0" quotePrefix="1" applyFont="1" applyFill="1" applyBorder="1" applyAlignment="1">
      <alignment horizontal="center" vertical="center"/>
    </xf>
    <xf numFmtId="49" fontId="83" fillId="0" borderId="3" xfId="0" quotePrefix="1" applyNumberFormat="1" applyFont="1" applyFill="1" applyBorder="1" applyAlignment="1">
      <alignment horizontal="left" vertical="center" wrapText="1"/>
    </xf>
    <xf numFmtId="0" fontId="81" fillId="0" borderId="3" xfId="0" applyFont="1" applyFill="1" applyBorder="1" applyAlignment="1">
      <alignment horizontal="left" vertical="center" wrapText="1"/>
    </xf>
    <xf numFmtId="0" fontId="81" fillId="0" borderId="20" xfId="0" applyFont="1" applyFill="1" applyBorder="1" applyAlignment="1">
      <alignment horizontal="left" vertical="center" wrapText="1"/>
    </xf>
    <xf numFmtId="49" fontId="81" fillId="0" borderId="3" xfId="0" applyNumberFormat="1" applyFont="1" applyFill="1" applyBorder="1" applyAlignment="1">
      <alignment horizontal="left" vertical="center" wrapText="1"/>
    </xf>
    <xf numFmtId="0" fontId="81" fillId="0" borderId="3" xfId="182" applyFont="1" applyFill="1" applyBorder="1" applyAlignment="1">
      <alignment horizontal="left" vertical="center" wrapText="1"/>
      <protection locked="0"/>
    </xf>
    <xf numFmtId="0" fontId="81" fillId="0" borderId="3" xfId="0" applyFont="1" applyFill="1" applyBorder="1" applyAlignment="1" applyProtection="1">
      <alignment horizontal="left" vertical="center" wrapText="1"/>
      <protection locked="0"/>
    </xf>
    <xf numFmtId="0" fontId="81" fillId="0" borderId="13" xfId="0" applyFont="1" applyFill="1" applyBorder="1" applyAlignment="1">
      <alignment horizontal="center" vertical="center" wrapText="1"/>
    </xf>
    <xf numFmtId="49" fontId="81" fillId="0" borderId="3" xfId="0" applyNumberFormat="1" applyFont="1" applyFill="1" applyBorder="1" applyAlignment="1">
      <alignment vertical="center" wrapText="1"/>
    </xf>
    <xf numFmtId="0" fontId="81" fillId="0" borderId="21" xfId="0" applyFont="1" applyFill="1" applyBorder="1" applyAlignment="1">
      <alignment horizontal="left" vertical="center" wrapText="1"/>
    </xf>
    <xf numFmtId="0" fontId="81" fillId="0" borderId="0" xfId="0" applyFont="1" applyFill="1" applyBorder="1" applyAlignment="1">
      <alignment horizontal="left" vertical="center" wrapText="1"/>
    </xf>
    <xf numFmtId="0" fontId="81" fillId="0" borderId="3" xfId="0" applyFont="1" applyFill="1" applyBorder="1" applyAlignment="1">
      <alignment horizontal="left" vertical="center" wrapText="1" shrinkToFit="1"/>
    </xf>
    <xf numFmtId="0" fontId="81" fillId="0" borderId="3" xfId="0" applyFont="1" applyFill="1" applyBorder="1" applyAlignment="1">
      <alignment horizontal="center"/>
    </xf>
    <xf numFmtId="0" fontId="81" fillId="0" borderId="3" xfId="0" quotePrefix="1" applyFont="1" applyFill="1" applyBorder="1" applyAlignment="1">
      <alignment horizontal="center"/>
    </xf>
    <xf numFmtId="0" fontId="83" fillId="0" borderId="3" xfId="0" quotePrefix="1" applyFont="1" applyFill="1" applyBorder="1" applyAlignment="1">
      <alignment horizontal="center"/>
    </xf>
    <xf numFmtId="3" fontId="80" fillId="0" borderId="0" xfId="0" applyNumberFormat="1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49" fontId="84" fillId="0" borderId="3" xfId="0" applyNumberFormat="1" applyFont="1" applyFill="1" applyBorder="1" applyAlignment="1">
      <alignment horizontal="left" vertical="center" wrapText="1"/>
    </xf>
    <xf numFmtId="3" fontId="65" fillId="0" borderId="0" xfId="245" applyNumberFormat="1" applyFont="1" applyFill="1" applyBorder="1" applyAlignment="1">
      <alignment vertical="center"/>
    </xf>
    <xf numFmtId="3" fontId="4" fillId="0" borderId="0" xfId="0" quotePrefix="1" applyNumberFormat="1" applyFont="1" applyFill="1" applyBorder="1" applyAlignment="1">
      <alignment horizontal="center" vertical="center"/>
    </xf>
    <xf numFmtId="49" fontId="84" fillId="0" borderId="3" xfId="0" quotePrefix="1" applyNumberFormat="1" applyFont="1" applyFill="1" applyBorder="1" applyAlignment="1">
      <alignment horizontal="left" vertical="center" wrapText="1"/>
    </xf>
    <xf numFmtId="49" fontId="70" fillId="0" borderId="3" xfId="0" applyNumberFormat="1" applyFont="1" applyFill="1" applyBorder="1" applyAlignment="1">
      <alignment horizontal="center" vertical="center"/>
    </xf>
    <xf numFmtId="49" fontId="84" fillId="0" borderId="3" xfId="0" applyNumberFormat="1" applyFont="1" applyFill="1" applyBorder="1" applyAlignment="1">
      <alignment vertical="center" wrapText="1"/>
    </xf>
    <xf numFmtId="0" fontId="80" fillId="29" borderId="0" xfId="0" applyFont="1" applyFill="1" applyBorder="1" applyAlignment="1">
      <alignment horizontal="center" vertical="center" wrapText="1"/>
    </xf>
    <xf numFmtId="0" fontId="79" fillId="29" borderId="0" xfId="0" quotePrefix="1" applyFont="1" applyFill="1" applyBorder="1" applyAlignment="1">
      <alignment horizontal="center"/>
    </xf>
    <xf numFmtId="0" fontId="65" fillId="29" borderId="0" xfId="0" applyFont="1" applyFill="1" applyBorder="1" applyAlignment="1">
      <alignment vertical="center"/>
    </xf>
    <xf numFmtId="0" fontId="65" fillId="29" borderId="0" xfId="0" applyFont="1" applyFill="1" applyBorder="1" applyAlignment="1">
      <alignment horizontal="center" vertical="center"/>
    </xf>
    <xf numFmtId="0" fontId="70" fillId="29" borderId="0" xfId="0" applyFont="1" applyFill="1" applyBorder="1" applyAlignment="1">
      <alignment vertical="center"/>
    </xf>
    <xf numFmtId="0" fontId="70" fillId="29" borderId="0" xfId="0" applyFont="1" applyFill="1" applyBorder="1" applyAlignment="1">
      <alignment vertical="center" wrapText="1"/>
    </xf>
    <xf numFmtId="0" fontId="70" fillId="29" borderId="17" xfId="0" applyFont="1" applyFill="1" applyBorder="1" applyAlignment="1">
      <alignment vertical="center"/>
    </xf>
    <xf numFmtId="0" fontId="70" fillId="29" borderId="17" xfId="0" applyFont="1" applyFill="1" applyBorder="1" applyAlignment="1">
      <alignment vertical="center" wrapText="1"/>
    </xf>
    <xf numFmtId="0" fontId="70" fillId="29" borderId="18" xfId="0" applyFont="1" applyFill="1" applyBorder="1" applyAlignment="1">
      <alignment vertical="center" wrapText="1"/>
    </xf>
    <xf numFmtId="0" fontId="70" fillId="29" borderId="18" xfId="0" applyFont="1" applyFill="1" applyBorder="1" applyAlignment="1">
      <alignment vertical="center"/>
    </xf>
    <xf numFmtId="0" fontId="73" fillId="29" borderId="0" xfId="0" applyFont="1" applyFill="1" applyBorder="1" applyAlignment="1">
      <alignment horizontal="center" vertical="center"/>
    </xf>
    <xf numFmtId="0" fontId="70" fillId="29" borderId="0" xfId="0" applyFont="1" applyFill="1" applyAlignment="1">
      <alignment horizontal="left" vertical="center"/>
    </xf>
    <xf numFmtId="0" fontId="65" fillId="29" borderId="0" xfId="245" applyFont="1" applyFill="1" applyBorder="1" applyAlignment="1">
      <alignment horizontal="center" vertical="center"/>
    </xf>
    <xf numFmtId="0" fontId="65" fillId="29" borderId="3" xfId="0" applyFont="1" applyFill="1" applyBorder="1" applyAlignment="1">
      <alignment horizontal="center" vertical="center" wrapText="1"/>
    </xf>
    <xf numFmtId="3" fontId="65" fillId="29" borderId="3" xfId="0" applyNumberFormat="1" applyFont="1" applyFill="1" applyBorder="1" applyAlignment="1">
      <alignment horizontal="center" vertical="center" wrapText="1"/>
    </xf>
    <xf numFmtId="3" fontId="68" fillId="29" borderId="3" xfId="0" applyNumberFormat="1" applyFont="1" applyFill="1" applyBorder="1" applyAlignment="1">
      <alignment horizontal="center" vertical="center" wrapText="1"/>
    </xf>
    <xf numFmtId="0" fontId="5" fillId="29" borderId="0" xfId="0" applyFont="1" applyFill="1" applyAlignment="1">
      <alignment vertical="center"/>
    </xf>
    <xf numFmtId="170" fontId="5" fillId="29" borderId="0" xfId="0" applyNumberFormat="1" applyFont="1" applyFill="1" applyBorder="1" applyAlignment="1">
      <alignment horizontal="center" vertical="center" wrapText="1"/>
    </xf>
    <xf numFmtId="170" fontId="5" fillId="29" borderId="0" xfId="0" quotePrefix="1" applyNumberFormat="1" applyFont="1" applyFill="1" applyBorder="1" applyAlignment="1">
      <alignment vertical="center" wrapText="1"/>
    </xf>
    <xf numFmtId="0" fontId="65" fillId="29" borderId="3" xfId="0" applyFont="1" applyFill="1" applyBorder="1" applyAlignment="1">
      <alignment horizontal="center" vertical="center"/>
    </xf>
    <xf numFmtId="0" fontId="65" fillId="29" borderId="0" xfId="0" applyFont="1" applyFill="1"/>
    <xf numFmtId="0" fontId="65" fillId="29" borderId="0" xfId="0" applyFont="1" applyFill="1" applyAlignment="1">
      <alignment vertical="center"/>
    </xf>
    <xf numFmtId="0" fontId="65" fillId="29" borderId="0" xfId="0" applyFont="1" applyFill="1" applyAlignment="1">
      <alignment horizontal="center" vertical="center"/>
    </xf>
    <xf numFmtId="0" fontId="65" fillId="29" borderId="0" xfId="0" applyFont="1" applyFill="1" applyBorder="1" applyAlignment="1">
      <alignment horizontal="left" vertical="center" wrapText="1"/>
    </xf>
    <xf numFmtId="3" fontId="65" fillId="29" borderId="0" xfId="0" applyNumberFormat="1" applyFont="1" applyFill="1" applyBorder="1" applyAlignment="1">
      <alignment horizontal="center" vertical="center" wrapText="1"/>
    </xf>
    <xf numFmtId="170" fontId="65" fillId="29" borderId="0" xfId="0" applyNumberFormat="1" applyFont="1" applyFill="1" applyBorder="1" applyAlignment="1">
      <alignment horizontal="center" vertical="center" wrapText="1"/>
    </xf>
    <xf numFmtId="0" fontId="65" fillId="29" borderId="0" xfId="0" applyFont="1" applyFill="1" applyBorder="1" applyAlignment="1">
      <alignment horizontal="left" vertical="center" wrapText="1" shrinkToFit="1"/>
    </xf>
    <xf numFmtId="0" fontId="65" fillId="29" borderId="14" xfId="0" applyFont="1" applyFill="1" applyBorder="1" applyAlignment="1">
      <alignment horizontal="center" vertical="center"/>
    </xf>
    <xf numFmtId="0" fontId="65" fillId="29" borderId="14" xfId="0" applyNumberFormat="1" applyFont="1" applyFill="1" applyBorder="1" applyAlignment="1">
      <alignment horizontal="center" vertical="center"/>
    </xf>
    <xf numFmtId="0" fontId="65" fillId="29" borderId="0" xfId="0" applyNumberFormat="1" applyFont="1" applyFill="1" applyBorder="1" applyAlignment="1">
      <alignment horizontal="center" vertical="center"/>
    </xf>
    <xf numFmtId="49" fontId="65" fillId="29" borderId="0" xfId="0" applyNumberFormat="1" applyFont="1" applyFill="1" applyBorder="1" applyAlignment="1">
      <alignment horizontal="center" vertical="center" wrapText="1"/>
    </xf>
    <xf numFmtId="49" fontId="65" fillId="29" borderId="0" xfId="0" applyNumberFormat="1" applyFont="1" applyFill="1" applyBorder="1" applyAlignment="1">
      <alignment horizontal="left" vertical="center" wrapText="1"/>
    </xf>
    <xf numFmtId="3" fontId="65" fillId="29" borderId="3" xfId="0" applyNumberFormat="1" applyFont="1" applyFill="1" applyBorder="1" applyAlignment="1">
      <alignment horizontal="center" vertical="center"/>
    </xf>
    <xf numFmtId="1" fontId="65" fillId="29" borderId="3" xfId="0" applyNumberFormat="1" applyFont="1" applyFill="1" applyBorder="1" applyAlignment="1">
      <alignment horizontal="center" vertical="center"/>
    </xf>
    <xf numFmtId="170" fontId="68" fillId="29" borderId="3" xfId="0" applyNumberFormat="1" applyFont="1" applyFill="1" applyBorder="1" applyAlignment="1">
      <alignment horizontal="center" vertical="center" wrapText="1"/>
    </xf>
    <xf numFmtId="0" fontId="65" fillId="29" borderId="0" xfId="0" applyFont="1" applyFill="1" applyBorder="1" applyAlignment="1">
      <alignment horizontal="right" vertical="center"/>
    </xf>
    <xf numFmtId="1" fontId="65" fillId="29" borderId="0" xfId="0" applyNumberFormat="1" applyFont="1" applyFill="1" applyBorder="1" applyAlignment="1">
      <alignment horizontal="center" vertical="center"/>
    </xf>
    <xf numFmtId="0" fontId="68" fillId="29" borderId="0" xfId="0" applyFont="1" applyFill="1" applyBorder="1" applyAlignment="1">
      <alignment horizontal="center" vertical="center"/>
    </xf>
    <xf numFmtId="0" fontId="68" fillId="29" borderId="0" xfId="0" applyFont="1" applyFill="1" applyBorder="1" applyAlignment="1">
      <alignment vertical="center"/>
    </xf>
    <xf numFmtId="49" fontId="65" fillId="29" borderId="3" xfId="0" applyNumberFormat="1" applyFont="1" applyFill="1" applyBorder="1" applyAlignment="1">
      <alignment horizontal="left" vertical="center" wrapText="1"/>
    </xf>
    <xf numFmtId="0" fontId="65" fillId="29" borderId="3" xfId="0" applyFont="1" applyFill="1" applyBorder="1" applyAlignment="1">
      <alignment horizontal="left" vertical="center"/>
    </xf>
    <xf numFmtId="0" fontId="68" fillId="29" borderId="0" xfId="0" applyFont="1" applyFill="1" applyBorder="1" applyAlignment="1">
      <alignment horizontal="right" vertical="center"/>
    </xf>
    <xf numFmtId="170" fontId="65" fillId="29" borderId="0" xfId="0" applyNumberFormat="1" applyFont="1" applyFill="1" applyAlignment="1">
      <alignment vertical="center"/>
    </xf>
    <xf numFmtId="0" fontId="65" fillId="29" borderId="0" xfId="0" applyFont="1" applyFill="1" applyAlignment="1">
      <alignment horizontal="right" vertical="center"/>
    </xf>
    <xf numFmtId="0" fontId="68" fillId="29" borderId="15" xfId="0" applyFont="1" applyFill="1" applyBorder="1" applyAlignment="1">
      <alignment horizontal="left" vertical="center" wrapText="1"/>
    </xf>
    <xf numFmtId="170" fontId="68" fillId="29" borderId="0" xfId="0" applyNumberFormat="1" applyFont="1" applyFill="1" applyBorder="1" applyAlignment="1">
      <alignment horizontal="center" vertical="center" wrapText="1"/>
    </xf>
    <xf numFmtId="0" fontId="68" fillId="29" borderId="0" xfId="0" applyFont="1" applyFill="1" applyBorder="1" applyAlignment="1">
      <alignment horizontal="left" vertical="center"/>
    </xf>
    <xf numFmtId="0" fontId="65" fillId="29" borderId="15" xfId="0" applyFont="1" applyFill="1" applyBorder="1" applyAlignment="1">
      <alignment horizontal="center" vertical="center"/>
    </xf>
    <xf numFmtId="170" fontId="65" fillId="29" borderId="3" xfId="0" applyNumberFormat="1" applyFont="1" applyFill="1" applyBorder="1" applyAlignment="1">
      <alignment horizontal="center" vertical="center" wrapText="1"/>
    </xf>
    <xf numFmtId="169" fontId="68" fillId="29" borderId="0" xfId="0" applyNumberFormat="1" applyFont="1" applyFill="1" applyBorder="1" applyAlignment="1">
      <alignment horizontal="right" vertical="center"/>
    </xf>
    <xf numFmtId="0" fontId="66" fillId="29" borderId="0" xfId="0" applyFont="1" applyFill="1" applyAlignment="1">
      <alignment vertical="center"/>
    </xf>
    <xf numFmtId="169" fontId="73" fillId="29" borderId="0" xfId="0" applyNumberFormat="1" applyFont="1" applyFill="1" applyBorder="1" applyAlignment="1">
      <alignment horizontal="right" vertical="center"/>
    </xf>
    <xf numFmtId="0" fontId="65" fillId="29" borderId="0" xfId="0" applyFont="1" applyFill="1" applyBorder="1" applyAlignment="1"/>
    <xf numFmtId="0" fontId="65" fillId="29" borderId="0" xfId="0" applyFont="1" applyFill="1" applyAlignment="1">
      <alignment vertical="center" wrapText="1" shrinkToFit="1"/>
    </xf>
    <xf numFmtId="169" fontId="68" fillId="29" borderId="0" xfId="0" applyNumberFormat="1" applyFont="1" applyFill="1" applyBorder="1" applyAlignment="1">
      <alignment horizontal="center" vertical="center" wrapText="1"/>
    </xf>
    <xf numFmtId="170" fontId="68" fillId="29" borderId="0" xfId="0" applyNumberFormat="1" applyFont="1" applyFill="1" applyBorder="1" applyAlignment="1">
      <alignment horizontal="center" vertical="center"/>
    </xf>
    <xf numFmtId="0" fontId="65" fillId="29" borderId="15" xfId="0" applyFont="1" applyFill="1" applyBorder="1" applyAlignment="1">
      <alignment vertical="center"/>
    </xf>
    <xf numFmtId="170" fontId="72" fillId="29" borderId="3" xfId="0" applyNumberFormat="1" applyFont="1" applyFill="1" applyBorder="1" applyAlignment="1">
      <alignment horizontal="center" vertical="center" wrapText="1"/>
    </xf>
    <xf numFmtId="0" fontId="65" fillId="29" borderId="0" xfId="0" applyFont="1" applyFill="1" applyAlignment="1"/>
    <xf numFmtId="3" fontId="65" fillId="29" borderId="16" xfId="0" applyNumberFormat="1" applyFont="1" applyFill="1" applyBorder="1" applyAlignment="1">
      <alignment vertical="center" wrapText="1"/>
    </xf>
    <xf numFmtId="170" fontId="68" fillId="29" borderId="0" xfId="0" applyNumberFormat="1" applyFont="1" applyFill="1" applyBorder="1" applyAlignment="1">
      <alignment vertical="center"/>
    </xf>
    <xf numFmtId="0" fontId="79" fillId="29" borderId="0" xfId="0" applyFont="1" applyFill="1" applyBorder="1" applyAlignment="1">
      <alignment horizontal="center" vertical="top"/>
    </xf>
    <xf numFmtId="3" fontId="65" fillId="29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vertical="center"/>
    </xf>
    <xf numFmtId="0" fontId="86" fillId="0" borderId="0" xfId="0" applyFont="1" applyFill="1" applyAlignment="1">
      <alignment vertical="center"/>
    </xf>
    <xf numFmtId="0" fontId="70" fillId="29" borderId="13" xfId="0" applyFont="1" applyFill="1" applyBorder="1" applyAlignment="1">
      <alignment horizontal="center" vertical="center" wrapText="1"/>
    </xf>
    <xf numFmtId="0" fontId="70" fillId="29" borderId="0" xfId="0" applyFont="1" applyFill="1" applyBorder="1" applyAlignment="1">
      <alignment horizontal="center" vertical="center"/>
    </xf>
    <xf numFmtId="0" fontId="65" fillId="29" borderId="0" xfId="0" applyFont="1" applyFill="1" applyBorder="1" applyAlignment="1">
      <alignment horizontal="center" vertical="center"/>
    </xf>
    <xf numFmtId="0" fontId="65" fillId="29" borderId="3" xfId="0" applyFont="1" applyFill="1" applyBorder="1" applyAlignment="1">
      <alignment horizontal="center" vertical="center" wrapText="1"/>
    </xf>
    <xf numFmtId="0" fontId="70" fillId="29" borderId="3" xfId="0" applyFont="1" applyFill="1" applyBorder="1" applyAlignment="1">
      <alignment horizontal="center" vertical="center" wrapText="1"/>
    </xf>
    <xf numFmtId="0" fontId="70" fillId="29" borderId="3" xfId="0" applyFont="1" applyFill="1" applyBorder="1" applyAlignment="1">
      <alignment horizontal="center" vertical="center"/>
    </xf>
    <xf numFmtId="0" fontId="65" fillId="29" borderId="0" xfId="0" applyFont="1" applyFill="1" applyAlignment="1">
      <alignment horizontal="center" vertical="center"/>
    </xf>
    <xf numFmtId="0" fontId="70" fillId="29" borderId="0" xfId="0" applyFont="1" applyFill="1" applyAlignment="1">
      <alignment horizontal="center" vertical="center"/>
    </xf>
    <xf numFmtId="3" fontId="65" fillId="0" borderId="0" xfId="0" applyNumberFormat="1" applyFont="1" applyFill="1" applyBorder="1" applyAlignment="1">
      <alignment horizontal="center" vertical="center"/>
    </xf>
    <xf numFmtId="0" fontId="70" fillId="29" borderId="3" xfId="0" applyFont="1" applyFill="1" applyBorder="1" applyAlignment="1">
      <alignment horizontal="left" vertical="center"/>
    </xf>
    <xf numFmtId="0" fontId="70" fillId="29" borderId="3" xfId="0" applyFont="1" applyFill="1" applyBorder="1" applyAlignment="1">
      <alignment vertical="center"/>
    </xf>
    <xf numFmtId="0" fontId="70" fillId="29" borderId="0" xfId="0" applyFont="1" applyFill="1" applyAlignment="1">
      <alignment vertical="center"/>
    </xf>
    <xf numFmtId="0" fontId="65" fillId="29" borderId="0" xfId="0" applyFont="1" applyFill="1" applyBorder="1" applyAlignment="1">
      <alignment horizontal="center" vertical="center"/>
    </xf>
    <xf numFmtId="0" fontId="65" fillId="29" borderId="0" xfId="0" applyFont="1" applyFill="1" applyAlignment="1">
      <alignment horizontal="left" vertical="center"/>
    </xf>
    <xf numFmtId="3" fontId="4" fillId="0" borderId="3" xfId="0" applyNumberFormat="1" applyFont="1" applyFill="1" applyBorder="1" applyAlignment="1">
      <alignment horizontal="center" vertical="center" wrapText="1"/>
    </xf>
    <xf numFmtId="3" fontId="81" fillId="0" borderId="3" xfId="0" quotePrefix="1" applyNumberFormat="1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 vertical="center"/>
    </xf>
    <xf numFmtId="0" fontId="81" fillId="0" borderId="3" xfId="0" applyFont="1" applyFill="1" applyBorder="1" applyAlignment="1">
      <alignment horizontal="center" vertical="center"/>
    </xf>
    <xf numFmtId="0" fontId="81" fillId="0" borderId="3" xfId="0" applyFont="1" applyFill="1" applyBorder="1" applyAlignment="1">
      <alignment horizontal="center" vertical="center" wrapText="1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65" fillId="0" borderId="13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right" vertical="center"/>
    </xf>
    <xf numFmtId="0" fontId="65" fillId="0" borderId="3" xfId="0" applyFont="1" applyFill="1" applyBorder="1" applyAlignment="1">
      <alignment horizontal="center" vertical="center"/>
    </xf>
    <xf numFmtId="3" fontId="70" fillId="0" borderId="3" xfId="0" applyNumberFormat="1" applyFont="1" applyFill="1" applyBorder="1" applyAlignment="1">
      <alignment horizontal="center" vertical="center" wrapText="1"/>
    </xf>
    <xf numFmtId="178" fontId="70" fillId="0" borderId="3" xfId="0" applyNumberFormat="1" applyFont="1" applyFill="1" applyBorder="1" applyAlignment="1">
      <alignment horizontal="center" vertical="center" wrapText="1"/>
    </xf>
    <xf numFmtId="4" fontId="70" fillId="0" borderId="3" xfId="0" applyNumberFormat="1" applyFont="1" applyFill="1" applyBorder="1" applyAlignment="1">
      <alignment horizontal="center" vertical="center" wrapText="1"/>
    </xf>
    <xf numFmtId="179" fontId="70" fillId="0" borderId="3" xfId="0" applyNumberFormat="1" applyFont="1" applyFill="1" applyBorder="1" applyAlignment="1">
      <alignment horizontal="center" vertical="center" wrapText="1"/>
    </xf>
    <xf numFmtId="1" fontId="81" fillId="0" borderId="3" xfId="0" applyNumberFormat="1" applyFont="1" applyFill="1" applyBorder="1" applyAlignment="1" applyProtection="1">
      <alignment horizontal="center" vertical="center" wrapText="1"/>
      <protection locked="0"/>
    </xf>
    <xf numFmtId="3" fontId="81" fillId="0" borderId="3" xfId="0" applyNumberFormat="1" applyFont="1" applyFill="1" applyBorder="1" applyAlignment="1">
      <alignment horizontal="center" vertical="center" wrapText="1"/>
    </xf>
    <xf numFmtId="3" fontId="83" fillId="0" borderId="3" xfId="0" quotePrefix="1" applyNumberFormat="1" applyFont="1" applyFill="1" applyBorder="1" applyAlignment="1">
      <alignment horizontal="center" vertical="center" wrapText="1"/>
    </xf>
    <xf numFmtId="1" fontId="81" fillId="0" borderId="3" xfId="0" applyNumberFormat="1" applyFont="1" applyFill="1" applyBorder="1" applyAlignment="1">
      <alignment horizontal="center" vertical="center" wrapText="1"/>
    </xf>
    <xf numFmtId="3" fontId="68" fillId="0" borderId="3" xfId="245" applyNumberFormat="1" applyFont="1" applyFill="1" applyBorder="1" applyAlignment="1">
      <alignment horizontal="center" vertical="center" wrapText="1"/>
    </xf>
    <xf numFmtId="170" fontId="65" fillId="0" borderId="3" xfId="237" applyNumberFormat="1" applyFont="1" applyFill="1" applyBorder="1" applyAlignment="1">
      <alignment horizontal="center" vertical="center" wrapText="1"/>
    </xf>
    <xf numFmtId="0" fontId="81" fillId="0" borderId="3" xfId="0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0" borderId="3" xfId="0" applyFont="1" applyFill="1" applyBorder="1" applyAlignment="1">
      <alignment horizontal="center" vertical="center"/>
    </xf>
    <xf numFmtId="10" fontId="65" fillId="0" borderId="3" xfId="237" applyNumberFormat="1" applyFont="1" applyFill="1" applyBorder="1" applyAlignment="1">
      <alignment horizontal="center" vertical="center" wrapText="1"/>
    </xf>
    <xf numFmtId="179" fontId="65" fillId="0" borderId="3" xfId="237" applyNumberFormat="1" applyFont="1" applyFill="1" applyBorder="1" applyAlignment="1">
      <alignment horizontal="center" vertical="center" wrapText="1"/>
    </xf>
    <xf numFmtId="4" fontId="65" fillId="0" borderId="3" xfId="237" applyNumberFormat="1" applyFont="1" applyFill="1" applyBorder="1" applyAlignment="1">
      <alignment horizontal="center" vertical="center" wrapText="1"/>
    </xf>
    <xf numFmtId="180" fontId="70" fillId="0" borderId="3" xfId="0" applyNumberFormat="1" applyFont="1" applyFill="1" applyBorder="1" applyAlignment="1">
      <alignment horizontal="center" vertical="center" wrapText="1"/>
    </xf>
    <xf numFmtId="1" fontId="81" fillId="0" borderId="3" xfId="0" applyNumberFormat="1" applyFont="1" applyFill="1" applyBorder="1" applyAlignment="1" applyProtection="1">
      <alignment horizontal="center" vertical="center" wrapText="1"/>
    </xf>
    <xf numFmtId="1" fontId="65" fillId="0" borderId="3" xfId="0" applyNumberFormat="1" applyFont="1" applyFill="1" applyBorder="1" applyAlignment="1">
      <alignment horizontal="center" vertical="center" wrapText="1"/>
    </xf>
    <xf numFmtId="3" fontId="5" fillId="29" borderId="3" xfId="0" applyNumberFormat="1" applyFont="1" applyFill="1" applyBorder="1" applyAlignment="1">
      <alignment horizontal="center" vertical="center" wrapText="1"/>
    </xf>
    <xf numFmtId="3" fontId="65" fillId="29" borderId="3" xfId="245" applyNumberFormat="1" applyFont="1" applyFill="1" applyBorder="1" applyAlignment="1">
      <alignment horizontal="center" vertical="center" wrapText="1"/>
    </xf>
    <xf numFmtId="0" fontId="70" fillId="0" borderId="18" xfId="0" applyFont="1" applyFill="1" applyBorder="1" applyAlignment="1">
      <alignment horizontal="left" vertical="center" wrapText="1"/>
    </xf>
    <xf numFmtId="0" fontId="70" fillId="0" borderId="17" xfId="0" applyFont="1" applyFill="1" applyBorder="1" applyAlignment="1">
      <alignment horizontal="left" vertical="center" wrapText="1"/>
    </xf>
    <xf numFmtId="0" fontId="70" fillId="29" borderId="18" xfId="0" applyFont="1" applyFill="1" applyBorder="1" applyAlignment="1">
      <alignment horizontal="left" vertical="center" wrapText="1"/>
    </xf>
    <xf numFmtId="0" fontId="70" fillId="29" borderId="17" xfId="0" applyFont="1" applyFill="1" applyBorder="1" applyAlignment="1">
      <alignment horizontal="left" vertical="center" wrapText="1"/>
    </xf>
    <xf numFmtId="0" fontId="78" fillId="0" borderId="0" xfId="0" applyFont="1" applyFill="1" applyBorder="1" applyAlignment="1">
      <alignment horizontal="left" vertical="center" wrapText="1"/>
    </xf>
    <xf numFmtId="0" fontId="70" fillId="0" borderId="0" xfId="0" applyFont="1" applyFill="1" applyBorder="1" applyAlignment="1">
      <alignment horizontal="left" vertical="center" wrapText="1"/>
    </xf>
    <xf numFmtId="0" fontId="70" fillId="0" borderId="15" xfId="0" applyFont="1" applyFill="1" applyBorder="1" applyAlignment="1">
      <alignment horizontal="left" vertical="center" wrapText="1"/>
    </xf>
    <xf numFmtId="0" fontId="73" fillId="0" borderId="14" xfId="0" applyFont="1" applyFill="1" applyBorder="1" applyAlignment="1">
      <alignment horizontal="center" vertical="center" wrapText="1"/>
    </xf>
    <xf numFmtId="0" fontId="73" fillId="0" borderId="18" xfId="0" applyFont="1" applyFill="1" applyBorder="1" applyAlignment="1">
      <alignment horizontal="center" vertical="center" wrapText="1"/>
    </xf>
    <xf numFmtId="0" fontId="73" fillId="0" borderId="17" xfId="0" applyFont="1" applyFill="1" applyBorder="1" applyAlignment="1">
      <alignment horizontal="center" vertical="center" wrapText="1"/>
    </xf>
    <xf numFmtId="0" fontId="73" fillId="0" borderId="3" xfId="0" applyFont="1" applyFill="1" applyBorder="1" applyAlignment="1">
      <alignment horizontal="center" vertical="center" wrapText="1"/>
    </xf>
    <xf numFmtId="0" fontId="70" fillId="0" borderId="3" xfId="0" applyFont="1" applyFill="1" applyBorder="1" applyAlignment="1">
      <alignment horizontal="center" vertical="center" wrapText="1"/>
    </xf>
    <xf numFmtId="0" fontId="73" fillId="0" borderId="0" xfId="0" applyFont="1" applyFill="1" applyBorder="1" applyAlignment="1">
      <alignment horizontal="center" vertical="center"/>
    </xf>
    <xf numFmtId="0" fontId="77" fillId="0" borderId="0" xfId="0" applyFont="1" applyFill="1" applyBorder="1" applyAlignment="1">
      <alignment horizontal="center" vertical="center"/>
    </xf>
    <xf numFmtId="0" fontId="70" fillId="0" borderId="3" xfId="245" applyFont="1" applyFill="1" applyBorder="1" applyAlignment="1">
      <alignment horizontal="center" vertical="center"/>
    </xf>
    <xf numFmtId="0" fontId="70" fillId="0" borderId="3" xfId="0" applyFont="1" applyFill="1" applyBorder="1" applyAlignment="1">
      <alignment horizontal="center" vertical="center"/>
    </xf>
    <xf numFmtId="0" fontId="70" fillId="29" borderId="0" xfId="0" applyFont="1" applyFill="1" applyBorder="1" applyAlignment="1">
      <alignment horizontal="center" vertical="center"/>
    </xf>
    <xf numFmtId="0" fontId="70" fillId="0" borderId="0" xfId="0" applyFont="1" applyFill="1" applyBorder="1" applyAlignment="1">
      <alignment horizontal="center" vertical="center"/>
    </xf>
    <xf numFmtId="0" fontId="73" fillId="0" borderId="3" xfId="237" applyNumberFormat="1" applyFont="1" applyFill="1" applyBorder="1" applyAlignment="1">
      <alignment horizontal="center" vertical="center" wrapText="1"/>
    </xf>
    <xf numFmtId="0" fontId="73" fillId="0" borderId="14" xfId="0" applyFont="1" applyFill="1" applyBorder="1" applyAlignment="1" applyProtection="1">
      <alignment horizontal="center" vertical="center" wrapText="1"/>
      <protection locked="0"/>
    </xf>
    <xf numFmtId="0" fontId="73" fillId="0" borderId="18" xfId="0" applyFont="1" applyFill="1" applyBorder="1" applyAlignment="1" applyProtection="1">
      <alignment horizontal="center" vertical="center" wrapText="1"/>
      <protection locked="0"/>
    </xf>
    <xf numFmtId="0" fontId="70" fillId="29" borderId="13" xfId="0" applyFont="1" applyFill="1" applyBorder="1" applyAlignment="1">
      <alignment horizontal="center" vertical="center" wrapText="1"/>
    </xf>
    <xf numFmtId="0" fontId="70" fillId="29" borderId="21" xfId="0" applyFont="1" applyFill="1" applyBorder="1" applyAlignment="1">
      <alignment horizontal="center" vertical="center" wrapText="1"/>
    </xf>
    <xf numFmtId="0" fontId="74" fillId="29" borderId="17" xfId="0" applyFont="1" applyFill="1" applyBorder="1" applyAlignment="1">
      <alignment horizontal="left" vertical="center" wrapText="1"/>
    </xf>
    <xf numFmtId="0" fontId="83" fillId="0" borderId="14" xfId="0" applyFont="1" applyFill="1" applyBorder="1" applyAlignment="1">
      <alignment horizontal="center" vertical="center" wrapText="1"/>
    </xf>
    <xf numFmtId="0" fontId="83" fillId="0" borderId="18" xfId="0" applyFont="1" applyFill="1" applyBorder="1" applyAlignment="1">
      <alignment horizontal="center" vertical="center" wrapText="1"/>
    </xf>
    <xf numFmtId="0" fontId="83" fillId="0" borderId="17" xfId="0" applyFont="1" applyFill="1" applyBorder="1" applyAlignment="1">
      <alignment horizontal="center" vertical="center" wrapText="1"/>
    </xf>
    <xf numFmtId="0" fontId="83" fillId="0" borderId="3" xfId="0" applyFont="1" applyFill="1" applyBorder="1" applyAlignment="1">
      <alignment horizontal="left" vertical="center"/>
    </xf>
    <xf numFmtId="0" fontId="79" fillId="0" borderId="0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center" vertical="center"/>
    </xf>
    <xf numFmtId="0" fontId="83" fillId="0" borderId="14" xfId="0" applyFont="1" applyFill="1" applyBorder="1" applyAlignment="1">
      <alignment horizontal="left" vertical="center" wrapText="1"/>
    </xf>
    <xf numFmtId="0" fontId="83" fillId="0" borderId="18" xfId="0" applyFont="1" applyFill="1" applyBorder="1" applyAlignment="1">
      <alignment horizontal="left" vertical="center" wrapText="1"/>
    </xf>
    <xf numFmtId="0" fontId="83" fillId="0" borderId="17" xfId="0" applyFont="1" applyFill="1" applyBorder="1" applyAlignment="1">
      <alignment horizontal="left" vertical="center" wrapText="1"/>
    </xf>
    <xf numFmtId="0" fontId="81" fillId="0" borderId="3" xfId="0" applyFont="1" applyFill="1" applyBorder="1" applyAlignment="1">
      <alignment horizontal="center" vertical="center"/>
    </xf>
    <xf numFmtId="0" fontId="81" fillId="0" borderId="3" xfId="0" applyFont="1" applyFill="1" applyBorder="1" applyAlignment="1">
      <alignment horizontal="center" vertical="center" wrapText="1"/>
    </xf>
    <xf numFmtId="0" fontId="81" fillId="0" borderId="13" xfId="0" applyFont="1" applyFill="1" applyBorder="1" applyAlignment="1">
      <alignment horizontal="center" vertical="center" wrapText="1"/>
    </xf>
    <xf numFmtId="0" fontId="81" fillId="0" borderId="22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horizontal="left" vertical="center" wrapText="1"/>
    </xf>
    <xf numFmtId="0" fontId="68" fillId="0" borderId="14" xfId="245" applyFont="1" applyFill="1" applyBorder="1" applyAlignment="1">
      <alignment horizontal="center" vertical="center" wrapText="1"/>
    </xf>
    <xf numFmtId="0" fontId="68" fillId="0" borderId="18" xfId="245" applyFont="1" applyFill="1" applyBorder="1" applyAlignment="1">
      <alignment horizontal="center" vertical="center" wrapText="1"/>
    </xf>
    <xf numFmtId="0" fontId="68" fillId="0" borderId="17" xfId="245" applyFont="1" applyFill="1" applyBorder="1" applyAlignment="1">
      <alignment horizontal="center" vertical="center" wrapText="1"/>
    </xf>
    <xf numFmtId="0" fontId="65" fillId="29" borderId="0" xfId="0" applyFont="1" applyFill="1" applyBorder="1" applyAlignment="1">
      <alignment horizontal="center" vertical="center"/>
    </xf>
    <xf numFmtId="0" fontId="68" fillId="0" borderId="0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/>
    </xf>
    <xf numFmtId="0" fontId="65" fillId="0" borderId="3" xfId="245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/>
    </xf>
    <xf numFmtId="0" fontId="65" fillId="0" borderId="22" xfId="0" applyFont="1" applyFill="1" applyBorder="1" applyAlignment="1">
      <alignment horizontal="center" vertical="center" wrapText="1"/>
    </xf>
    <xf numFmtId="0" fontId="65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 shrinkToFit="1"/>
    </xf>
    <xf numFmtId="0" fontId="5" fillId="0" borderId="3" xfId="245" applyFont="1" applyFill="1" applyBorder="1" applyAlignment="1">
      <alignment horizontal="center" vertical="center"/>
    </xf>
    <xf numFmtId="0" fontId="4" fillId="0" borderId="14" xfId="245" applyFont="1" applyFill="1" applyBorder="1" applyAlignment="1">
      <alignment horizontal="center" vertical="center" wrapText="1"/>
    </xf>
    <xf numFmtId="0" fontId="4" fillId="0" borderId="18" xfId="245" applyFont="1" applyFill="1" applyBorder="1" applyAlignment="1">
      <alignment horizontal="center" vertical="center" wrapText="1"/>
    </xf>
    <xf numFmtId="0" fontId="4" fillId="0" borderId="17" xfId="245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82" fillId="0" borderId="0" xfId="0" applyFont="1" applyFill="1" applyBorder="1" applyAlignment="1">
      <alignment horizontal="left" vertical="center" wrapText="1"/>
    </xf>
    <xf numFmtId="0" fontId="65" fillId="0" borderId="13" xfId="0" applyFont="1" applyFill="1" applyBorder="1" applyAlignment="1">
      <alignment horizontal="center" vertical="center"/>
    </xf>
    <xf numFmtId="0" fontId="65" fillId="0" borderId="21" xfId="0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>
      <alignment vertical="center"/>
    </xf>
    <xf numFmtId="0" fontId="68" fillId="0" borderId="0" xfId="237" applyNumberFormat="1" applyFont="1" applyFill="1" applyBorder="1" applyAlignment="1">
      <alignment horizontal="center" vertical="center" wrapText="1"/>
    </xf>
    <xf numFmtId="0" fontId="65" fillId="0" borderId="13" xfId="237" applyNumberFormat="1" applyFont="1" applyFill="1" applyBorder="1" applyAlignment="1">
      <alignment horizontal="center" vertical="center" wrapText="1"/>
    </xf>
    <xf numFmtId="0" fontId="65" fillId="0" borderId="21" xfId="237" applyNumberFormat="1" applyFont="1" applyFill="1" applyBorder="1" applyAlignment="1">
      <alignment horizontal="center" vertical="center" wrapText="1"/>
    </xf>
    <xf numFmtId="0" fontId="65" fillId="0" borderId="23" xfId="0" applyFont="1" applyFill="1" applyBorder="1" applyAlignment="1">
      <alignment horizontal="center" vertical="center" wrapText="1"/>
    </xf>
    <xf numFmtId="0" fontId="65" fillId="0" borderId="24" xfId="0" applyFont="1" applyFill="1" applyBorder="1" applyAlignment="1">
      <alignment horizontal="center" vertical="center" wrapText="1"/>
    </xf>
    <xf numFmtId="0" fontId="68" fillId="0" borderId="14" xfId="237" applyFont="1" applyFill="1" applyBorder="1" applyAlignment="1">
      <alignment horizontal="center" vertical="center"/>
    </xf>
    <xf numFmtId="0" fontId="68" fillId="0" borderId="18" xfId="237" applyFont="1" applyFill="1" applyBorder="1" applyAlignment="1">
      <alignment horizontal="center" vertical="center"/>
    </xf>
    <xf numFmtId="0" fontId="68" fillId="0" borderId="17" xfId="237" applyFont="1" applyFill="1" applyBorder="1" applyAlignment="1">
      <alignment horizontal="center" vertical="center"/>
    </xf>
    <xf numFmtId="3" fontId="65" fillId="0" borderId="3" xfId="0" applyNumberFormat="1" applyFont="1" applyFill="1" applyBorder="1" applyAlignment="1">
      <alignment horizontal="center" vertical="center" wrapText="1"/>
    </xf>
    <xf numFmtId="0" fontId="65" fillId="29" borderId="0" xfId="0" applyFont="1" applyFill="1" applyAlignment="1">
      <alignment horizontal="right" vertical="center" wrapText="1"/>
    </xf>
    <xf numFmtId="0" fontId="68" fillId="29" borderId="0" xfId="0" applyFont="1" applyFill="1" applyAlignment="1">
      <alignment horizontal="center" vertical="center"/>
    </xf>
    <xf numFmtId="0" fontId="68" fillId="29" borderId="0" xfId="0" applyFont="1" applyFill="1" applyBorder="1" applyAlignment="1">
      <alignment horizontal="center" vertical="center"/>
    </xf>
    <xf numFmtId="0" fontId="65" fillId="0" borderId="0" xfId="0" applyFont="1" applyFill="1" applyAlignment="1">
      <alignment horizontal="left" vertical="center" wrapText="1"/>
    </xf>
    <xf numFmtId="0" fontId="65" fillId="0" borderId="0" xfId="0" applyFont="1" applyFill="1" applyAlignment="1">
      <alignment horizontal="left" vertical="center"/>
    </xf>
    <xf numFmtId="0" fontId="65" fillId="0" borderId="14" xfId="0" applyFont="1" applyFill="1" applyBorder="1" applyAlignment="1">
      <alignment horizontal="center" vertical="center" wrapText="1"/>
    </xf>
    <xf numFmtId="0" fontId="65" fillId="0" borderId="17" xfId="0" applyFont="1" applyFill="1" applyBorder="1" applyAlignment="1">
      <alignment horizontal="center" vertical="center" wrapText="1"/>
    </xf>
    <xf numFmtId="170" fontId="65" fillId="0" borderId="3" xfId="0" applyNumberFormat="1" applyFont="1" applyFill="1" applyBorder="1" applyAlignment="1">
      <alignment horizontal="center" vertical="center" wrapText="1"/>
    </xf>
    <xf numFmtId="0" fontId="65" fillId="29" borderId="14" xfId="0" applyFont="1" applyFill="1" applyBorder="1" applyAlignment="1">
      <alignment horizontal="center" vertical="center" wrapText="1"/>
    </xf>
    <xf numFmtId="0" fontId="65" fillId="29" borderId="18" xfId="0" applyFont="1" applyFill="1" applyBorder="1" applyAlignment="1">
      <alignment horizontal="center" vertical="center" wrapText="1"/>
    </xf>
    <xf numFmtId="0" fontId="65" fillId="29" borderId="17" xfId="0" applyFont="1" applyFill="1" applyBorder="1" applyAlignment="1">
      <alignment horizontal="center" vertical="center" wrapText="1"/>
    </xf>
    <xf numFmtId="0" fontId="65" fillId="29" borderId="3" xfId="0" applyFont="1" applyFill="1" applyBorder="1" applyAlignment="1">
      <alignment horizontal="center" vertical="center" wrapText="1"/>
    </xf>
    <xf numFmtId="0" fontId="65" fillId="29" borderId="0" xfId="0" applyFont="1" applyFill="1" applyBorder="1" applyAlignment="1">
      <alignment horizontal="justify" vertical="center" wrapText="1" shrinkToFit="1"/>
    </xf>
    <xf numFmtId="0" fontId="65" fillId="29" borderId="3" xfId="0" applyFont="1" applyFill="1" applyBorder="1" applyAlignment="1">
      <alignment horizontal="center" vertical="center"/>
    </xf>
    <xf numFmtId="3" fontId="65" fillId="0" borderId="14" xfId="0" applyNumberFormat="1" applyFont="1" applyFill="1" applyBorder="1" applyAlignment="1">
      <alignment horizontal="center" vertical="center" wrapText="1"/>
    </xf>
    <xf numFmtId="3" fontId="65" fillId="0" borderId="17" xfId="0" applyNumberFormat="1" applyFont="1" applyFill="1" applyBorder="1" applyAlignment="1">
      <alignment horizontal="center" vertical="center" wrapText="1"/>
    </xf>
    <xf numFmtId="0" fontId="68" fillId="0" borderId="14" xfId="0" applyFont="1" applyFill="1" applyBorder="1" applyAlignment="1">
      <alignment horizontal="center" vertical="center" wrapText="1"/>
    </xf>
    <xf numFmtId="0" fontId="68" fillId="0" borderId="18" xfId="0" applyFont="1" applyFill="1" applyBorder="1" applyAlignment="1">
      <alignment horizontal="center" vertical="center" wrapText="1"/>
    </xf>
    <xf numFmtId="0" fontId="68" fillId="0" borderId="17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/>
    </xf>
    <xf numFmtId="0" fontId="65" fillId="0" borderId="18" xfId="0" applyFont="1" applyFill="1" applyBorder="1" applyAlignment="1">
      <alignment horizontal="left" vertical="center"/>
    </xf>
    <xf numFmtId="0" fontId="65" fillId="0" borderId="17" xfId="0" applyFont="1" applyFill="1" applyBorder="1" applyAlignment="1">
      <alignment horizontal="left" vertical="center"/>
    </xf>
    <xf numFmtId="0" fontId="65" fillId="29" borderId="3" xfId="0" applyNumberFormat="1" applyFont="1" applyFill="1" applyBorder="1" applyAlignment="1">
      <alignment horizontal="center" vertical="center" wrapText="1"/>
    </xf>
    <xf numFmtId="170" fontId="65" fillId="29" borderId="3" xfId="0" applyNumberFormat="1" applyFont="1" applyFill="1" applyBorder="1" applyAlignment="1">
      <alignment horizontal="center" vertical="center" wrapText="1"/>
    </xf>
    <xf numFmtId="3" fontId="65" fillId="29" borderId="14" xfId="0" applyNumberFormat="1" applyFont="1" applyFill="1" applyBorder="1" applyAlignment="1">
      <alignment horizontal="center" vertical="center" wrapText="1"/>
    </xf>
    <xf numFmtId="3" fontId="65" fillId="29" borderId="17" xfId="0" applyNumberFormat="1" applyFont="1" applyFill="1" applyBorder="1" applyAlignment="1">
      <alignment horizontal="center" vertical="center" wrapText="1"/>
    </xf>
    <xf numFmtId="0" fontId="65" fillId="29" borderId="14" xfId="0" applyFont="1" applyFill="1" applyBorder="1" applyAlignment="1">
      <alignment horizontal="center" vertical="center"/>
    </xf>
    <xf numFmtId="0" fontId="65" fillId="29" borderId="17" xfId="0" applyFont="1" applyFill="1" applyBorder="1" applyAlignment="1">
      <alignment horizontal="center" vertical="center"/>
    </xf>
    <xf numFmtId="170" fontId="65" fillId="29" borderId="14" xfId="0" applyNumberFormat="1" applyFont="1" applyFill="1" applyBorder="1" applyAlignment="1">
      <alignment horizontal="center" vertical="center" wrapText="1"/>
    </xf>
    <xf numFmtId="170" fontId="65" fillId="29" borderId="17" xfId="0" applyNumberFormat="1" applyFont="1" applyFill="1" applyBorder="1" applyAlignment="1">
      <alignment horizontal="center" vertical="center" wrapText="1"/>
    </xf>
    <xf numFmtId="3" fontId="65" fillId="29" borderId="3" xfId="0" applyNumberFormat="1" applyFont="1" applyFill="1" applyBorder="1" applyAlignment="1">
      <alignment horizontal="center" vertical="center" wrapText="1"/>
    </xf>
    <xf numFmtId="49" fontId="65" fillId="29" borderId="14" xfId="0" applyNumberFormat="1" applyFont="1" applyFill="1" applyBorder="1" applyAlignment="1">
      <alignment horizontal="center" vertical="center" wrapText="1"/>
    </xf>
    <xf numFmtId="49" fontId="65" fillId="29" borderId="17" xfId="0" applyNumberFormat="1" applyFont="1" applyFill="1" applyBorder="1" applyAlignment="1">
      <alignment horizontal="center" vertical="center" wrapText="1"/>
    </xf>
    <xf numFmtId="0" fontId="65" fillId="29" borderId="14" xfId="0" applyNumberFormat="1" applyFont="1" applyFill="1" applyBorder="1" applyAlignment="1">
      <alignment horizontal="center" vertical="center" wrapText="1"/>
    </xf>
    <xf numFmtId="0" fontId="65" fillId="29" borderId="18" xfId="0" applyNumberFormat="1" applyFont="1" applyFill="1" applyBorder="1" applyAlignment="1">
      <alignment horizontal="center" vertical="center" wrapText="1"/>
    </xf>
    <xf numFmtId="0" fontId="65" fillId="29" borderId="17" xfId="0" applyNumberFormat="1" applyFont="1" applyFill="1" applyBorder="1" applyAlignment="1">
      <alignment horizontal="center" vertical="center" wrapText="1"/>
    </xf>
    <xf numFmtId="49" fontId="65" fillId="29" borderId="3" xfId="0" applyNumberFormat="1" applyFont="1" applyFill="1" applyBorder="1" applyAlignment="1">
      <alignment horizontal="left" vertical="center" wrapText="1"/>
    </xf>
    <xf numFmtId="0" fontId="65" fillId="29" borderId="3" xfId="0" applyFont="1" applyFill="1" applyBorder="1" applyAlignment="1">
      <alignment horizontal="left" vertical="center" wrapText="1"/>
    </xf>
    <xf numFmtId="3" fontId="65" fillId="29" borderId="18" xfId="0" applyNumberFormat="1" applyFont="1" applyFill="1" applyBorder="1" applyAlignment="1">
      <alignment horizontal="center" vertical="center" wrapText="1"/>
    </xf>
    <xf numFmtId="0" fontId="65" fillId="29" borderId="18" xfId="0" applyFont="1" applyFill="1" applyBorder="1" applyAlignment="1">
      <alignment horizontal="center" vertical="center"/>
    </xf>
    <xf numFmtId="49" fontId="65" fillId="29" borderId="14" xfId="0" applyNumberFormat="1" applyFont="1" applyFill="1" applyBorder="1" applyAlignment="1">
      <alignment horizontal="left" vertical="center" wrapText="1"/>
    </xf>
    <xf numFmtId="49" fontId="65" fillId="29" borderId="17" xfId="0" applyNumberFormat="1" applyFont="1" applyFill="1" applyBorder="1" applyAlignment="1">
      <alignment horizontal="left" vertical="center" wrapText="1"/>
    </xf>
    <xf numFmtId="0" fontId="68" fillId="29" borderId="15" xfId="0" applyFont="1" applyFill="1" applyBorder="1" applyAlignment="1">
      <alignment horizontal="center" vertical="center"/>
    </xf>
    <xf numFmtId="1" fontId="65" fillId="0" borderId="3" xfId="0" applyNumberFormat="1" applyFont="1" applyFill="1" applyBorder="1" applyAlignment="1">
      <alignment horizontal="center" vertical="center" wrapText="1"/>
    </xf>
    <xf numFmtId="49" fontId="65" fillId="29" borderId="0" xfId="0" applyNumberFormat="1" applyFont="1" applyFill="1" applyBorder="1" applyAlignment="1">
      <alignment horizontal="right" vertical="center" wrapText="1"/>
    </xf>
    <xf numFmtId="0" fontId="5" fillId="29" borderId="14" xfId="0" applyFont="1" applyFill="1" applyBorder="1" applyAlignment="1">
      <alignment horizontal="center" vertical="center" wrapText="1"/>
    </xf>
    <xf numFmtId="0" fontId="5" fillId="29" borderId="18" xfId="0" applyFont="1" applyFill="1" applyBorder="1" applyAlignment="1">
      <alignment horizontal="center" vertical="center" wrapText="1"/>
    </xf>
    <xf numFmtId="0" fontId="5" fillId="29" borderId="17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 wrapText="1"/>
    </xf>
    <xf numFmtId="0" fontId="65" fillId="0" borderId="18" xfId="0" applyFont="1" applyFill="1" applyBorder="1" applyAlignment="1">
      <alignment horizontal="left" vertical="center" wrapText="1"/>
    </xf>
    <xf numFmtId="0" fontId="65" fillId="0" borderId="17" xfId="0" applyFont="1" applyFill="1" applyBorder="1" applyAlignment="1">
      <alignment horizontal="left" vertical="center" wrapText="1"/>
    </xf>
    <xf numFmtId="0" fontId="65" fillId="29" borderId="25" xfId="0" applyFont="1" applyFill="1" applyBorder="1" applyAlignment="1">
      <alignment horizontal="center" vertical="center" wrapText="1"/>
    </xf>
    <xf numFmtId="0" fontId="65" fillId="29" borderId="16" xfId="0" applyFont="1" applyFill="1" applyBorder="1" applyAlignment="1">
      <alignment horizontal="center" vertical="center" wrapText="1"/>
    </xf>
    <xf numFmtId="0" fontId="65" fillId="29" borderId="23" xfId="0" applyFont="1" applyFill="1" applyBorder="1" applyAlignment="1">
      <alignment horizontal="center" vertical="center" wrapText="1"/>
    </xf>
    <xf numFmtId="0" fontId="65" fillId="29" borderId="26" xfId="0" applyFont="1" applyFill="1" applyBorder="1" applyAlignment="1">
      <alignment horizontal="center" vertical="center" wrapText="1"/>
    </xf>
    <xf numFmtId="0" fontId="65" fillId="29" borderId="15" xfId="0" applyFont="1" applyFill="1" applyBorder="1" applyAlignment="1">
      <alignment horizontal="center" vertical="center" wrapText="1"/>
    </xf>
    <xf numFmtId="0" fontId="65" fillId="29" borderId="24" xfId="0" applyFont="1" applyFill="1" applyBorder="1" applyAlignment="1">
      <alignment horizontal="center" vertical="center" wrapText="1"/>
    </xf>
    <xf numFmtId="49" fontId="65" fillId="29" borderId="18" xfId="0" applyNumberFormat="1" applyFont="1" applyFill="1" applyBorder="1" applyAlignment="1">
      <alignment horizontal="center" vertical="center" wrapText="1"/>
    </xf>
    <xf numFmtId="0" fontId="65" fillId="29" borderId="13" xfId="0" applyFont="1" applyFill="1" applyBorder="1" applyAlignment="1">
      <alignment horizontal="center" vertical="center" wrapText="1"/>
    </xf>
    <xf numFmtId="0" fontId="65" fillId="29" borderId="21" xfId="0" applyFont="1" applyFill="1" applyBorder="1" applyAlignment="1">
      <alignment horizontal="center" vertical="center" wrapText="1"/>
    </xf>
    <xf numFmtId="49" fontId="65" fillId="29" borderId="16" xfId="0" applyNumberFormat="1" applyFont="1" applyFill="1" applyBorder="1" applyAlignment="1">
      <alignment horizontal="right" vertical="center" wrapText="1"/>
    </xf>
    <xf numFmtId="0" fontId="65" fillId="29" borderId="0" xfId="0" applyFont="1" applyFill="1" applyAlignment="1">
      <alignment horizontal="center" vertical="center"/>
    </xf>
    <xf numFmtId="169" fontId="73" fillId="0" borderId="0" xfId="0" applyNumberFormat="1" applyFont="1" applyFill="1" applyBorder="1" applyAlignment="1">
      <alignment horizontal="center" vertical="center"/>
    </xf>
    <xf numFmtId="0" fontId="70" fillId="29" borderId="0" xfId="0" applyFont="1" applyFill="1" applyAlignment="1">
      <alignment horizontal="center" vertical="center"/>
    </xf>
    <xf numFmtId="3" fontId="65" fillId="29" borderId="3" xfId="0" applyNumberFormat="1" applyFont="1" applyFill="1" applyBorder="1" applyAlignment="1">
      <alignment horizontal="left" vertical="center" wrapText="1"/>
    </xf>
    <xf numFmtId="0" fontId="65" fillId="0" borderId="0" xfId="0" applyFont="1" applyFill="1" applyAlignment="1">
      <alignment horizontal="right" vertical="center"/>
    </xf>
    <xf numFmtId="0" fontId="65" fillId="0" borderId="3" xfId="0" applyNumberFormat="1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/>
    </xf>
    <xf numFmtId="0" fontId="65" fillId="0" borderId="18" xfId="0" applyFont="1" applyFill="1" applyBorder="1" applyAlignment="1">
      <alignment horizontal="left"/>
    </xf>
    <xf numFmtId="0" fontId="65" fillId="0" borderId="17" xfId="0" applyFont="1" applyFill="1" applyBorder="1" applyAlignment="1">
      <alignment horizontal="left"/>
    </xf>
    <xf numFmtId="2" fontId="65" fillId="29" borderId="13" xfId="0" applyNumberFormat="1" applyFont="1" applyFill="1" applyBorder="1" applyAlignment="1">
      <alignment horizontal="center" vertical="center" wrapText="1"/>
    </xf>
    <xf numFmtId="2" fontId="65" fillId="29" borderId="21" xfId="0" applyNumberFormat="1" applyFont="1" applyFill="1" applyBorder="1" applyAlignment="1">
      <alignment horizontal="center" vertical="center" wrapText="1"/>
    </xf>
    <xf numFmtId="0" fontId="70" fillId="29" borderId="25" xfId="0" applyFont="1" applyFill="1" applyBorder="1" applyAlignment="1">
      <alignment horizontal="center" vertical="center" wrapText="1"/>
    </xf>
    <xf numFmtId="0" fontId="70" fillId="29" borderId="23" xfId="0" applyFont="1" applyFill="1" applyBorder="1" applyAlignment="1">
      <alignment horizontal="center" vertical="center" wrapText="1"/>
    </xf>
    <xf numFmtId="0" fontId="70" fillId="29" borderId="26" xfId="0" applyFont="1" applyFill="1" applyBorder="1" applyAlignment="1">
      <alignment horizontal="center" vertical="center" wrapText="1"/>
    </xf>
    <xf numFmtId="0" fontId="70" fillId="29" borderId="24" xfId="0" applyFont="1" applyFill="1" applyBorder="1" applyAlignment="1">
      <alignment horizontal="center" vertical="center" wrapText="1"/>
    </xf>
    <xf numFmtId="3" fontId="65" fillId="0" borderId="18" xfId="0" applyNumberFormat="1" applyFont="1" applyFill="1" applyBorder="1" applyAlignment="1">
      <alignment horizontal="center" vertical="center" wrapText="1"/>
    </xf>
    <xf numFmtId="0" fontId="70" fillId="29" borderId="14" xfId="0" applyFont="1" applyFill="1" applyBorder="1" applyAlignment="1">
      <alignment horizontal="center" vertical="center" wrapText="1"/>
    </xf>
    <xf numFmtId="0" fontId="70" fillId="29" borderId="18" xfId="0" applyFont="1" applyFill="1" applyBorder="1" applyAlignment="1">
      <alignment horizontal="center" vertical="center" wrapText="1"/>
    </xf>
    <xf numFmtId="0" fontId="70" fillId="29" borderId="17" xfId="0" applyFont="1" applyFill="1" applyBorder="1" applyAlignment="1">
      <alignment horizontal="center" vertical="center" wrapText="1"/>
    </xf>
    <xf numFmtId="0" fontId="70" fillId="0" borderId="14" xfId="0" applyFont="1" applyFill="1" applyBorder="1" applyAlignment="1">
      <alignment horizontal="center" vertical="center"/>
    </xf>
    <xf numFmtId="0" fontId="70" fillId="0" borderId="18" xfId="0" applyFont="1" applyFill="1" applyBorder="1" applyAlignment="1">
      <alignment horizontal="center" vertical="center"/>
    </xf>
    <xf numFmtId="0" fontId="70" fillId="0" borderId="17" xfId="0" applyFont="1" applyFill="1" applyBorder="1" applyAlignment="1">
      <alignment horizontal="center" vertical="center"/>
    </xf>
    <xf numFmtId="49" fontId="65" fillId="0" borderId="3" xfId="0" applyNumberFormat="1" applyFont="1" applyFill="1" applyBorder="1" applyAlignment="1">
      <alignment horizontal="left" vertical="center" wrapText="1"/>
    </xf>
    <xf numFmtId="177" fontId="65" fillId="29" borderId="3" xfId="0" applyNumberFormat="1" applyFont="1" applyFill="1" applyBorder="1" applyAlignment="1">
      <alignment horizontal="center" vertical="center" wrapText="1"/>
    </xf>
    <xf numFmtId="0" fontId="70" fillId="29" borderId="3" xfId="0" applyFont="1" applyFill="1" applyBorder="1" applyAlignment="1">
      <alignment horizontal="center" vertical="center" wrapText="1"/>
    </xf>
    <xf numFmtId="0" fontId="65" fillId="0" borderId="13" xfId="0" applyFont="1" applyFill="1" applyBorder="1" applyAlignment="1">
      <alignment horizontal="center" vertical="center" wrapText="1" shrinkToFit="1"/>
    </xf>
    <xf numFmtId="0" fontId="65" fillId="0" borderId="21" xfId="0" applyFont="1" applyFill="1" applyBorder="1" applyAlignment="1">
      <alignment horizontal="center" vertical="center" wrapText="1" shrinkToFit="1"/>
    </xf>
    <xf numFmtId="0" fontId="70" fillId="0" borderId="25" xfId="0" applyFont="1" applyFill="1" applyBorder="1" applyAlignment="1">
      <alignment horizontal="center" vertical="center" wrapText="1" shrinkToFit="1"/>
    </xf>
    <xf numFmtId="0" fontId="70" fillId="0" borderId="23" xfId="0" applyFont="1" applyFill="1" applyBorder="1" applyAlignment="1">
      <alignment horizontal="center" vertical="center" wrapText="1" shrinkToFit="1"/>
    </xf>
    <xf numFmtId="0" fontId="70" fillId="0" borderId="26" xfId="0" applyFont="1" applyFill="1" applyBorder="1" applyAlignment="1">
      <alignment horizontal="center" vertical="center" wrapText="1" shrinkToFit="1"/>
    </xf>
    <xf numFmtId="0" fontId="70" fillId="0" borderId="24" xfId="0" applyFont="1" applyFill="1" applyBorder="1" applyAlignment="1">
      <alignment horizontal="center" vertical="center" wrapText="1" shrinkToFit="1"/>
    </xf>
    <xf numFmtId="0" fontId="65" fillId="0" borderId="14" xfId="0" applyFont="1" applyFill="1" applyBorder="1" applyAlignment="1">
      <alignment horizontal="center" vertical="center" wrapText="1" shrinkToFit="1"/>
    </xf>
    <xf numFmtId="0" fontId="65" fillId="0" borderId="17" xfId="0" applyFont="1" applyFill="1" applyBorder="1" applyAlignment="1">
      <alignment horizontal="center" vertical="center" wrapText="1" shrinkToFit="1"/>
    </xf>
    <xf numFmtId="0" fontId="65" fillId="0" borderId="14" xfId="0" applyNumberFormat="1" applyFont="1" applyFill="1" applyBorder="1" applyAlignment="1">
      <alignment horizontal="center" vertical="center" wrapText="1" shrinkToFit="1"/>
    </xf>
    <xf numFmtId="0" fontId="65" fillId="0" borderId="17" xfId="0" applyNumberFormat="1" applyFont="1" applyFill="1" applyBorder="1" applyAlignment="1">
      <alignment horizontal="center" vertical="center" wrapText="1" shrinkToFit="1"/>
    </xf>
    <xf numFmtId="3" fontId="65" fillId="0" borderId="14" xfId="0" applyNumberFormat="1" applyFont="1" applyFill="1" applyBorder="1" applyAlignment="1">
      <alignment horizontal="center" vertical="center" wrapText="1" shrinkToFit="1"/>
    </xf>
    <xf numFmtId="3" fontId="65" fillId="0" borderId="17" xfId="0" applyNumberFormat="1" applyFont="1" applyFill="1" applyBorder="1" applyAlignment="1">
      <alignment horizontal="center" vertical="center" wrapText="1" shrinkToFit="1"/>
    </xf>
    <xf numFmtId="0" fontId="70" fillId="0" borderId="25" xfId="0" applyFont="1" applyFill="1" applyBorder="1" applyAlignment="1">
      <alignment horizontal="center" vertical="center" wrapText="1"/>
    </xf>
    <xf numFmtId="0" fontId="70" fillId="0" borderId="16" xfId="0" applyFont="1" applyFill="1" applyBorder="1" applyAlignment="1">
      <alignment horizontal="center" vertical="center" wrapText="1"/>
    </xf>
    <xf numFmtId="0" fontId="70" fillId="0" borderId="26" xfId="0" applyFont="1" applyFill="1" applyBorder="1" applyAlignment="1">
      <alignment horizontal="center" vertical="center" wrapText="1"/>
    </xf>
    <xf numFmtId="0" fontId="70" fillId="0" borderId="15" xfId="0" applyFont="1" applyFill="1" applyBorder="1" applyAlignment="1">
      <alignment horizontal="center" vertical="center" wrapText="1"/>
    </xf>
    <xf numFmtId="0" fontId="65" fillId="0" borderId="14" xfId="0" applyFont="1" applyFill="1" applyBorder="1" applyAlignment="1">
      <alignment horizontal="left" vertical="center" wrapText="1" shrinkToFit="1"/>
    </xf>
    <xf numFmtId="0" fontId="65" fillId="0" borderId="18" xfId="0" applyFont="1" applyFill="1" applyBorder="1" applyAlignment="1">
      <alignment horizontal="left" vertical="center" wrapText="1" shrinkToFit="1"/>
    </xf>
    <xf numFmtId="0" fontId="65" fillId="0" borderId="17" xfId="0" applyFont="1" applyFill="1" applyBorder="1" applyAlignment="1">
      <alignment horizontal="left" vertical="center" wrapText="1" shrinkToFit="1"/>
    </xf>
    <xf numFmtId="14" fontId="65" fillId="0" borderId="14" xfId="0" applyNumberFormat="1" applyFont="1" applyFill="1" applyBorder="1" applyAlignment="1">
      <alignment horizontal="center" vertical="center" wrapText="1"/>
    </xf>
    <xf numFmtId="0" fontId="65" fillId="0" borderId="18" xfId="0" applyNumberFormat="1" applyFont="1" applyFill="1" applyBorder="1" applyAlignment="1">
      <alignment horizontal="center" vertical="center" wrapText="1"/>
    </xf>
    <xf numFmtId="2" fontId="65" fillId="29" borderId="14" xfId="0" applyNumberFormat="1" applyFont="1" applyFill="1" applyBorder="1" applyAlignment="1">
      <alignment horizontal="center" vertical="center" wrapText="1"/>
    </xf>
    <xf numFmtId="2" fontId="65" fillId="29" borderId="18" xfId="0" applyNumberFormat="1" applyFont="1" applyFill="1" applyBorder="1" applyAlignment="1">
      <alignment horizontal="center" vertical="center" wrapText="1"/>
    </xf>
    <xf numFmtId="2" fontId="65" fillId="29" borderId="17" xfId="0" applyNumberFormat="1" applyFont="1" applyFill="1" applyBorder="1" applyAlignment="1">
      <alignment horizontal="center" vertical="center" wrapText="1"/>
    </xf>
    <xf numFmtId="2" fontId="65" fillId="0" borderId="14" xfId="0" applyNumberFormat="1" applyFont="1" applyFill="1" applyBorder="1" applyAlignment="1">
      <alignment horizontal="center" vertical="center" wrapText="1"/>
    </xf>
    <xf numFmtId="2" fontId="65" fillId="0" borderId="18" xfId="0" applyNumberFormat="1" applyFont="1" applyFill="1" applyBorder="1" applyAlignment="1">
      <alignment horizontal="center" vertical="center" wrapText="1"/>
    </xf>
    <xf numFmtId="2" fontId="65" fillId="0" borderId="17" xfId="0" applyNumberFormat="1" applyFont="1" applyFill="1" applyBorder="1" applyAlignment="1">
      <alignment horizontal="center" vertical="center" wrapText="1"/>
    </xf>
    <xf numFmtId="0" fontId="65" fillId="29" borderId="15" xfId="0" applyFont="1" applyFill="1" applyBorder="1" applyAlignment="1">
      <alignment horizontal="right" vertical="center"/>
    </xf>
    <xf numFmtId="0" fontId="65" fillId="29" borderId="0" xfId="0" applyFont="1" applyFill="1" applyAlignment="1">
      <alignment horizontal="right" vertical="center"/>
    </xf>
    <xf numFmtId="0" fontId="65" fillId="0" borderId="14" xfId="0" applyNumberFormat="1" applyFont="1" applyFill="1" applyBorder="1" applyAlignment="1">
      <alignment horizontal="center"/>
    </xf>
    <xf numFmtId="0" fontId="65" fillId="0" borderId="17" xfId="0" applyNumberFormat="1" applyFont="1" applyFill="1" applyBorder="1" applyAlignment="1">
      <alignment horizontal="center"/>
    </xf>
    <xf numFmtId="0" fontId="70" fillId="29" borderId="14" xfId="0" applyFont="1" applyFill="1" applyBorder="1" applyAlignment="1">
      <alignment horizontal="center" vertical="center"/>
    </xf>
    <xf numFmtId="0" fontId="70" fillId="29" borderId="18" xfId="0" applyFont="1" applyFill="1" applyBorder="1" applyAlignment="1">
      <alignment horizontal="center" vertical="center"/>
    </xf>
    <xf numFmtId="0" fontId="70" fillId="29" borderId="17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left" vertical="center" wrapText="1" shrinkToFit="1"/>
    </xf>
    <xf numFmtId="0" fontId="65" fillId="0" borderId="3" xfId="0" applyFont="1" applyFill="1" applyBorder="1" applyAlignment="1">
      <alignment horizontal="center" vertical="center" wrapText="1" shrinkToFit="1"/>
    </xf>
    <xf numFmtId="0" fontId="70" fillId="0" borderId="27" xfId="0" applyFont="1" applyFill="1" applyBorder="1" applyAlignment="1">
      <alignment horizontal="center" vertical="center" wrapText="1" shrinkToFit="1"/>
    </xf>
    <xf numFmtId="0" fontId="70" fillId="0" borderId="28" xfId="0" applyFont="1" applyFill="1" applyBorder="1" applyAlignment="1">
      <alignment horizontal="center" vertical="center" wrapText="1" shrinkToFit="1"/>
    </xf>
    <xf numFmtId="0" fontId="70" fillId="29" borderId="3" xfId="0" applyFont="1" applyFill="1" applyBorder="1" applyAlignment="1">
      <alignment horizontal="center" vertical="center"/>
    </xf>
    <xf numFmtId="0" fontId="65" fillId="0" borderId="3" xfId="0" applyFont="1" applyFill="1" applyBorder="1" applyAlignment="1">
      <alignment horizontal="center" vertical="center"/>
    </xf>
    <xf numFmtId="0" fontId="65" fillId="0" borderId="14" xfId="0" applyNumberFormat="1" applyFont="1" applyFill="1" applyBorder="1" applyAlignment="1">
      <alignment horizontal="left" vertical="center" wrapText="1" shrinkToFit="1"/>
    </xf>
    <xf numFmtId="0" fontId="65" fillId="0" borderId="18" xfId="0" applyNumberFormat="1" applyFont="1" applyFill="1" applyBorder="1" applyAlignment="1">
      <alignment horizontal="left" vertical="center" wrapText="1" shrinkToFit="1"/>
    </xf>
    <xf numFmtId="0" fontId="65" fillId="0" borderId="17" xfId="0" applyNumberFormat="1" applyFont="1" applyFill="1" applyBorder="1" applyAlignment="1">
      <alignment horizontal="left" vertical="center" wrapText="1" shrinkToFit="1"/>
    </xf>
    <xf numFmtId="0" fontId="65" fillId="0" borderId="3" xfId="0" applyNumberFormat="1" applyFont="1" applyFill="1" applyBorder="1" applyAlignment="1">
      <alignment horizontal="left" vertical="center" wrapText="1" shrinkToFit="1"/>
    </xf>
    <xf numFmtId="0" fontId="70" fillId="0" borderId="23" xfId="0" applyFont="1" applyFill="1" applyBorder="1" applyAlignment="1">
      <alignment horizontal="center" vertical="center" wrapText="1"/>
    </xf>
    <xf numFmtId="0" fontId="70" fillId="0" borderId="27" xfId="0" applyFont="1" applyFill="1" applyBorder="1" applyAlignment="1">
      <alignment horizontal="center" vertical="center" wrapText="1"/>
    </xf>
    <xf numFmtId="0" fontId="70" fillId="0" borderId="28" xfId="0" applyFont="1" applyFill="1" applyBorder="1" applyAlignment="1">
      <alignment horizontal="center" vertical="center" wrapText="1"/>
    </xf>
    <xf numFmtId="0" fontId="70" fillId="0" borderId="24" xfId="0" applyFont="1" applyFill="1" applyBorder="1" applyAlignment="1">
      <alignment horizontal="center" vertical="center" wrapText="1"/>
    </xf>
    <xf numFmtId="0" fontId="65" fillId="0" borderId="22" xfId="0" applyFont="1" applyFill="1" applyBorder="1" applyAlignment="1">
      <alignment horizontal="center" vertical="center" wrapText="1" shrinkToFit="1"/>
    </xf>
    <xf numFmtId="0" fontId="70" fillId="0" borderId="16" xfId="0" applyFont="1" applyFill="1" applyBorder="1" applyAlignment="1">
      <alignment horizontal="center" vertical="center" wrapText="1" shrinkToFit="1"/>
    </xf>
    <xf numFmtId="0" fontId="70" fillId="0" borderId="0" xfId="0" applyFont="1" applyFill="1" applyBorder="1" applyAlignment="1">
      <alignment horizontal="center" vertical="center" wrapText="1" shrinkToFit="1"/>
    </xf>
    <xf numFmtId="0" fontId="70" fillId="0" borderId="15" xfId="0" applyFont="1" applyFill="1" applyBorder="1" applyAlignment="1">
      <alignment horizontal="center" vertical="center" wrapText="1" shrinkToFit="1"/>
    </xf>
    <xf numFmtId="2" fontId="65" fillId="0" borderId="13" xfId="0" applyNumberFormat="1" applyFont="1" applyFill="1" applyBorder="1" applyAlignment="1">
      <alignment horizontal="center" vertical="center" wrapText="1"/>
    </xf>
    <xf numFmtId="2" fontId="65" fillId="0" borderId="21" xfId="0" applyNumberFormat="1" applyFont="1" applyFill="1" applyBorder="1" applyAlignment="1">
      <alignment horizontal="center" vertical="center" wrapText="1"/>
    </xf>
    <xf numFmtId="3" fontId="65" fillId="0" borderId="3" xfId="0" applyNumberFormat="1" applyFont="1" applyFill="1" applyBorder="1" applyAlignment="1">
      <alignment horizontal="center" vertical="center" wrapText="1" shrinkToFit="1"/>
    </xf>
    <xf numFmtId="0" fontId="70" fillId="29" borderId="16" xfId="0" applyFont="1" applyFill="1" applyBorder="1" applyAlignment="1">
      <alignment horizontal="center" vertical="center" wrapText="1"/>
    </xf>
    <xf numFmtId="0" fontId="70" fillId="29" borderId="15" xfId="0" applyFont="1" applyFill="1" applyBorder="1" applyAlignment="1">
      <alignment horizontal="center" vertical="center" wrapText="1"/>
    </xf>
    <xf numFmtId="0" fontId="65" fillId="0" borderId="1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</cellXfs>
  <cellStyles count="353">
    <cellStyle name="_Fakt_2" xfId="1" xr:uid="{00000000-0005-0000-0000-000000000000}"/>
    <cellStyle name="_rozhufrovka 2009" xfId="2" xr:uid="{00000000-0005-0000-0000-000001000000}"/>
    <cellStyle name="_АТиСТ 5а МТР липень 2008" xfId="3" xr:uid="{00000000-0005-0000-0000-000002000000}"/>
    <cellStyle name="_ПРГК сводний_" xfId="4" xr:uid="{00000000-0005-0000-0000-000003000000}"/>
    <cellStyle name="_УТГ" xfId="5" xr:uid="{00000000-0005-0000-0000-000004000000}"/>
    <cellStyle name="_Феодосия 5а МТР липень 2008" xfId="6" xr:uid="{00000000-0005-0000-0000-000005000000}"/>
    <cellStyle name="_ХТГ довідка." xfId="7" xr:uid="{00000000-0005-0000-0000-000006000000}"/>
    <cellStyle name="_Шебелинка 5а МТР липень 2008" xfId="8" xr:uid="{00000000-0005-0000-0000-000007000000}"/>
    <cellStyle name="20% - Accent1" xfId="9" xr:uid="{00000000-0005-0000-0000-000008000000}"/>
    <cellStyle name="20% - Accent2" xfId="10" xr:uid="{00000000-0005-0000-0000-000009000000}"/>
    <cellStyle name="20% - Accent3" xfId="11" xr:uid="{00000000-0005-0000-0000-00000A000000}"/>
    <cellStyle name="20% - Accent4" xfId="12" xr:uid="{00000000-0005-0000-0000-00000B000000}"/>
    <cellStyle name="20% - Accent5" xfId="13" xr:uid="{00000000-0005-0000-0000-00000C000000}"/>
    <cellStyle name="20% - Accent6" xfId="14" xr:uid="{00000000-0005-0000-0000-00000D000000}"/>
    <cellStyle name="20% - Акцент1 2" xfId="15" xr:uid="{00000000-0005-0000-0000-00000E000000}"/>
    <cellStyle name="20% - Акцент1 3" xfId="16" xr:uid="{00000000-0005-0000-0000-00000F000000}"/>
    <cellStyle name="20% - Акцент2 2" xfId="17" xr:uid="{00000000-0005-0000-0000-000010000000}"/>
    <cellStyle name="20% - Акцент2 3" xfId="18" xr:uid="{00000000-0005-0000-0000-000011000000}"/>
    <cellStyle name="20% - Акцент3 2" xfId="19" xr:uid="{00000000-0005-0000-0000-000012000000}"/>
    <cellStyle name="20% - Акцент3 3" xfId="20" xr:uid="{00000000-0005-0000-0000-000013000000}"/>
    <cellStyle name="20% - Акцент4 2" xfId="21" xr:uid="{00000000-0005-0000-0000-000014000000}"/>
    <cellStyle name="20% - Акцент4 3" xfId="22" xr:uid="{00000000-0005-0000-0000-000015000000}"/>
    <cellStyle name="20% - Акцент5 2" xfId="23" xr:uid="{00000000-0005-0000-0000-000016000000}"/>
    <cellStyle name="20% - Акцент5 3" xfId="24" xr:uid="{00000000-0005-0000-0000-000017000000}"/>
    <cellStyle name="20% - Акцент6 2" xfId="25" xr:uid="{00000000-0005-0000-0000-000018000000}"/>
    <cellStyle name="20% - Акцент6 3" xfId="26" xr:uid="{00000000-0005-0000-0000-000019000000}"/>
    <cellStyle name="40% - Accent1" xfId="27" xr:uid="{00000000-0005-0000-0000-00001A000000}"/>
    <cellStyle name="40% - Accent2" xfId="28" xr:uid="{00000000-0005-0000-0000-00001B000000}"/>
    <cellStyle name="40% - Accent3" xfId="29" xr:uid="{00000000-0005-0000-0000-00001C000000}"/>
    <cellStyle name="40% - Accent4" xfId="30" xr:uid="{00000000-0005-0000-0000-00001D000000}"/>
    <cellStyle name="40% - Accent5" xfId="31" xr:uid="{00000000-0005-0000-0000-00001E000000}"/>
    <cellStyle name="40% - Accent6" xfId="32" xr:uid="{00000000-0005-0000-0000-00001F000000}"/>
    <cellStyle name="40% - Акцент1 2" xfId="33" xr:uid="{00000000-0005-0000-0000-000020000000}"/>
    <cellStyle name="40% - Акцент1 3" xfId="34" xr:uid="{00000000-0005-0000-0000-000021000000}"/>
    <cellStyle name="40% - Акцент2 2" xfId="35" xr:uid="{00000000-0005-0000-0000-000022000000}"/>
    <cellStyle name="40% - Акцент2 3" xfId="36" xr:uid="{00000000-0005-0000-0000-000023000000}"/>
    <cellStyle name="40% - Акцент3 2" xfId="37" xr:uid="{00000000-0005-0000-0000-000024000000}"/>
    <cellStyle name="40% - Акцент3 3" xfId="38" xr:uid="{00000000-0005-0000-0000-000025000000}"/>
    <cellStyle name="40% - Акцент4 2" xfId="39" xr:uid="{00000000-0005-0000-0000-000026000000}"/>
    <cellStyle name="40% - Акцент4 3" xfId="40" xr:uid="{00000000-0005-0000-0000-000027000000}"/>
    <cellStyle name="40% - Акцент5 2" xfId="41" xr:uid="{00000000-0005-0000-0000-000028000000}"/>
    <cellStyle name="40% - Акцент5 3" xfId="42" xr:uid="{00000000-0005-0000-0000-000029000000}"/>
    <cellStyle name="40% - Акцент6 2" xfId="43" xr:uid="{00000000-0005-0000-0000-00002A000000}"/>
    <cellStyle name="40% - Акцент6 3" xfId="44" xr:uid="{00000000-0005-0000-0000-00002B000000}"/>
    <cellStyle name="60% - Accent1" xfId="45" xr:uid="{00000000-0005-0000-0000-00002C000000}"/>
    <cellStyle name="60% - Accent2" xfId="46" xr:uid="{00000000-0005-0000-0000-00002D000000}"/>
    <cellStyle name="60% - Accent3" xfId="47" xr:uid="{00000000-0005-0000-0000-00002E000000}"/>
    <cellStyle name="60% - Accent4" xfId="48" xr:uid="{00000000-0005-0000-0000-00002F000000}"/>
    <cellStyle name="60% - Accent5" xfId="49" xr:uid="{00000000-0005-0000-0000-000030000000}"/>
    <cellStyle name="60% - Accent6" xfId="50" xr:uid="{00000000-0005-0000-0000-000031000000}"/>
    <cellStyle name="60% - Акцент1 2" xfId="51" xr:uid="{00000000-0005-0000-0000-000032000000}"/>
    <cellStyle name="60% - Акцент1 3" xfId="52" xr:uid="{00000000-0005-0000-0000-000033000000}"/>
    <cellStyle name="60% - Акцент2 2" xfId="53" xr:uid="{00000000-0005-0000-0000-000034000000}"/>
    <cellStyle name="60% - Акцент2 3" xfId="54" xr:uid="{00000000-0005-0000-0000-000035000000}"/>
    <cellStyle name="60% - Акцент3 2" xfId="55" xr:uid="{00000000-0005-0000-0000-000036000000}"/>
    <cellStyle name="60% - Акцент3 3" xfId="56" xr:uid="{00000000-0005-0000-0000-000037000000}"/>
    <cellStyle name="60% - Акцент4 2" xfId="57" xr:uid="{00000000-0005-0000-0000-000038000000}"/>
    <cellStyle name="60% - Акцент4 3" xfId="58" xr:uid="{00000000-0005-0000-0000-000039000000}"/>
    <cellStyle name="60% - Акцент5 2" xfId="59" xr:uid="{00000000-0005-0000-0000-00003A000000}"/>
    <cellStyle name="60% - Акцент5 3" xfId="60" xr:uid="{00000000-0005-0000-0000-00003B000000}"/>
    <cellStyle name="60% - Акцент6 2" xfId="61" xr:uid="{00000000-0005-0000-0000-00003C000000}"/>
    <cellStyle name="60% - Акцент6 3" xfId="62" xr:uid="{00000000-0005-0000-0000-00003D000000}"/>
    <cellStyle name="Accent1" xfId="63" xr:uid="{00000000-0005-0000-0000-00003E000000}"/>
    <cellStyle name="Accent2" xfId="64" xr:uid="{00000000-0005-0000-0000-00003F000000}"/>
    <cellStyle name="Accent3" xfId="65" xr:uid="{00000000-0005-0000-0000-000040000000}"/>
    <cellStyle name="Accent4" xfId="66" xr:uid="{00000000-0005-0000-0000-000041000000}"/>
    <cellStyle name="Accent5" xfId="67" xr:uid="{00000000-0005-0000-0000-000042000000}"/>
    <cellStyle name="Accent6" xfId="68" xr:uid="{00000000-0005-0000-0000-000043000000}"/>
    <cellStyle name="Bad" xfId="69" xr:uid="{00000000-0005-0000-0000-000044000000}"/>
    <cellStyle name="Calculation" xfId="70" xr:uid="{00000000-0005-0000-0000-000045000000}"/>
    <cellStyle name="Check Cell" xfId="71" xr:uid="{00000000-0005-0000-0000-000046000000}"/>
    <cellStyle name="Column-Header" xfId="72" xr:uid="{00000000-0005-0000-0000-000047000000}"/>
    <cellStyle name="Column-Header 2" xfId="73" xr:uid="{00000000-0005-0000-0000-000048000000}"/>
    <cellStyle name="Column-Header 3" xfId="74" xr:uid="{00000000-0005-0000-0000-000049000000}"/>
    <cellStyle name="Column-Header 4" xfId="75" xr:uid="{00000000-0005-0000-0000-00004A000000}"/>
    <cellStyle name="Column-Header 5" xfId="76" xr:uid="{00000000-0005-0000-0000-00004B000000}"/>
    <cellStyle name="Column-Header 6" xfId="77" xr:uid="{00000000-0005-0000-0000-00004C000000}"/>
    <cellStyle name="Column-Header 7" xfId="78" xr:uid="{00000000-0005-0000-0000-00004D000000}"/>
    <cellStyle name="Column-Header 7 2" xfId="79" xr:uid="{00000000-0005-0000-0000-00004E000000}"/>
    <cellStyle name="Column-Header 8" xfId="80" xr:uid="{00000000-0005-0000-0000-00004F000000}"/>
    <cellStyle name="Column-Header 8 2" xfId="81" xr:uid="{00000000-0005-0000-0000-000050000000}"/>
    <cellStyle name="Column-Header 9" xfId="82" xr:uid="{00000000-0005-0000-0000-000051000000}"/>
    <cellStyle name="Column-Header 9 2" xfId="83" xr:uid="{00000000-0005-0000-0000-000052000000}"/>
    <cellStyle name="Column-Header_Zvit rux-koshtiv 2010 Департамент " xfId="84" xr:uid="{00000000-0005-0000-0000-000053000000}"/>
    <cellStyle name="Comma_2005_03_15-Финансовый_БГ" xfId="85" xr:uid="{00000000-0005-0000-0000-000054000000}"/>
    <cellStyle name="Define-Column" xfId="86" xr:uid="{00000000-0005-0000-0000-000055000000}"/>
    <cellStyle name="Define-Column 10" xfId="87" xr:uid="{00000000-0005-0000-0000-000056000000}"/>
    <cellStyle name="Define-Column 2" xfId="88" xr:uid="{00000000-0005-0000-0000-000057000000}"/>
    <cellStyle name="Define-Column 3" xfId="89" xr:uid="{00000000-0005-0000-0000-000058000000}"/>
    <cellStyle name="Define-Column 4" xfId="90" xr:uid="{00000000-0005-0000-0000-000059000000}"/>
    <cellStyle name="Define-Column 5" xfId="91" xr:uid="{00000000-0005-0000-0000-00005A000000}"/>
    <cellStyle name="Define-Column 6" xfId="92" xr:uid="{00000000-0005-0000-0000-00005B000000}"/>
    <cellStyle name="Define-Column 7" xfId="93" xr:uid="{00000000-0005-0000-0000-00005C000000}"/>
    <cellStyle name="Define-Column 7 2" xfId="94" xr:uid="{00000000-0005-0000-0000-00005D000000}"/>
    <cellStyle name="Define-Column 7 3" xfId="95" xr:uid="{00000000-0005-0000-0000-00005E000000}"/>
    <cellStyle name="Define-Column 8" xfId="96" xr:uid="{00000000-0005-0000-0000-00005F000000}"/>
    <cellStyle name="Define-Column 8 2" xfId="97" xr:uid="{00000000-0005-0000-0000-000060000000}"/>
    <cellStyle name="Define-Column 8 3" xfId="98" xr:uid="{00000000-0005-0000-0000-000061000000}"/>
    <cellStyle name="Define-Column 9" xfId="99" xr:uid="{00000000-0005-0000-0000-000062000000}"/>
    <cellStyle name="Define-Column 9 2" xfId="100" xr:uid="{00000000-0005-0000-0000-000063000000}"/>
    <cellStyle name="Define-Column 9 3" xfId="101" xr:uid="{00000000-0005-0000-0000-000064000000}"/>
    <cellStyle name="Define-Column_Zvit rux-koshtiv 2010 Департамент " xfId="102" xr:uid="{00000000-0005-0000-0000-000065000000}"/>
    <cellStyle name="Explanatory Text" xfId="103" xr:uid="{00000000-0005-0000-0000-000066000000}"/>
    <cellStyle name="FS10" xfId="104" xr:uid="{00000000-0005-0000-0000-000067000000}"/>
    <cellStyle name="Good" xfId="105" xr:uid="{00000000-0005-0000-0000-000068000000}"/>
    <cellStyle name="Heading 1" xfId="106" xr:uid="{00000000-0005-0000-0000-000069000000}"/>
    <cellStyle name="Heading 2" xfId="107" xr:uid="{00000000-0005-0000-0000-00006A000000}"/>
    <cellStyle name="Heading 3" xfId="108" xr:uid="{00000000-0005-0000-0000-00006B000000}"/>
    <cellStyle name="Heading 4" xfId="109" xr:uid="{00000000-0005-0000-0000-00006C000000}"/>
    <cellStyle name="Hyperlink 2" xfId="110" xr:uid="{00000000-0005-0000-0000-00006D000000}"/>
    <cellStyle name="Input" xfId="111" xr:uid="{00000000-0005-0000-0000-00006E000000}"/>
    <cellStyle name="Level0" xfId="112" xr:uid="{00000000-0005-0000-0000-00006F000000}"/>
    <cellStyle name="Level0 10" xfId="113" xr:uid="{00000000-0005-0000-0000-000070000000}"/>
    <cellStyle name="Level0 2" xfId="114" xr:uid="{00000000-0005-0000-0000-000071000000}"/>
    <cellStyle name="Level0 2 2" xfId="115" xr:uid="{00000000-0005-0000-0000-000072000000}"/>
    <cellStyle name="Level0 3" xfId="116" xr:uid="{00000000-0005-0000-0000-000073000000}"/>
    <cellStyle name="Level0 3 2" xfId="117" xr:uid="{00000000-0005-0000-0000-000074000000}"/>
    <cellStyle name="Level0 4" xfId="118" xr:uid="{00000000-0005-0000-0000-000075000000}"/>
    <cellStyle name="Level0 4 2" xfId="119" xr:uid="{00000000-0005-0000-0000-000076000000}"/>
    <cellStyle name="Level0 5" xfId="120" xr:uid="{00000000-0005-0000-0000-000077000000}"/>
    <cellStyle name="Level0 6" xfId="121" xr:uid="{00000000-0005-0000-0000-000078000000}"/>
    <cellStyle name="Level0 7" xfId="122" xr:uid="{00000000-0005-0000-0000-000079000000}"/>
    <cellStyle name="Level0 7 2" xfId="123" xr:uid="{00000000-0005-0000-0000-00007A000000}"/>
    <cellStyle name="Level0 7 3" xfId="124" xr:uid="{00000000-0005-0000-0000-00007B000000}"/>
    <cellStyle name="Level0 8" xfId="125" xr:uid="{00000000-0005-0000-0000-00007C000000}"/>
    <cellStyle name="Level0 8 2" xfId="126" xr:uid="{00000000-0005-0000-0000-00007D000000}"/>
    <cellStyle name="Level0 8 3" xfId="127" xr:uid="{00000000-0005-0000-0000-00007E000000}"/>
    <cellStyle name="Level0 9" xfId="128" xr:uid="{00000000-0005-0000-0000-00007F000000}"/>
    <cellStyle name="Level0 9 2" xfId="129" xr:uid="{00000000-0005-0000-0000-000080000000}"/>
    <cellStyle name="Level0 9 3" xfId="130" xr:uid="{00000000-0005-0000-0000-000081000000}"/>
    <cellStyle name="Level0_Zvit rux-koshtiv 2010 Департамент " xfId="131" xr:uid="{00000000-0005-0000-0000-000082000000}"/>
    <cellStyle name="Level1" xfId="132" xr:uid="{00000000-0005-0000-0000-000083000000}"/>
    <cellStyle name="Level1 2" xfId="133" xr:uid="{00000000-0005-0000-0000-000084000000}"/>
    <cellStyle name="Level1-Numbers" xfId="134" xr:uid="{00000000-0005-0000-0000-000085000000}"/>
    <cellStyle name="Level1-Numbers 2" xfId="135" xr:uid="{00000000-0005-0000-0000-000086000000}"/>
    <cellStyle name="Level1-Numbers-Hide" xfId="136" xr:uid="{00000000-0005-0000-0000-000087000000}"/>
    <cellStyle name="Level2" xfId="137" xr:uid="{00000000-0005-0000-0000-000088000000}"/>
    <cellStyle name="Level2 2" xfId="138" xr:uid="{00000000-0005-0000-0000-000089000000}"/>
    <cellStyle name="Level2-Hide" xfId="139" xr:uid="{00000000-0005-0000-0000-00008A000000}"/>
    <cellStyle name="Level2-Hide 2" xfId="140" xr:uid="{00000000-0005-0000-0000-00008B000000}"/>
    <cellStyle name="Level2-Numbers" xfId="141" xr:uid="{00000000-0005-0000-0000-00008C000000}"/>
    <cellStyle name="Level2-Numbers 2" xfId="142" xr:uid="{00000000-0005-0000-0000-00008D000000}"/>
    <cellStyle name="Level2-Numbers-Hide" xfId="143" xr:uid="{00000000-0005-0000-0000-00008E000000}"/>
    <cellStyle name="Level3" xfId="144" xr:uid="{00000000-0005-0000-0000-00008F000000}"/>
    <cellStyle name="Level3 2" xfId="145" xr:uid="{00000000-0005-0000-0000-000090000000}"/>
    <cellStyle name="Level3 3" xfId="146" xr:uid="{00000000-0005-0000-0000-000091000000}"/>
    <cellStyle name="Level3_План департамент_2010_1207" xfId="147" xr:uid="{00000000-0005-0000-0000-000092000000}"/>
    <cellStyle name="Level3-Hide" xfId="148" xr:uid="{00000000-0005-0000-0000-000093000000}"/>
    <cellStyle name="Level3-Hide 2" xfId="149" xr:uid="{00000000-0005-0000-0000-000094000000}"/>
    <cellStyle name="Level3-Numbers" xfId="150" xr:uid="{00000000-0005-0000-0000-000095000000}"/>
    <cellStyle name="Level3-Numbers 2" xfId="151" xr:uid="{00000000-0005-0000-0000-000096000000}"/>
    <cellStyle name="Level3-Numbers 3" xfId="152" xr:uid="{00000000-0005-0000-0000-000097000000}"/>
    <cellStyle name="Level3-Numbers_План департамент_2010_1207" xfId="153" xr:uid="{00000000-0005-0000-0000-000098000000}"/>
    <cellStyle name="Level3-Numbers-Hide" xfId="154" xr:uid="{00000000-0005-0000-0000-000099000000}"/>
    <cellStyle name="Level4" xfId="155" xr:uid="{00000000-0005-0000-0000-00009A000000}"/>
    <cellStyle name="Level4 2" xfId="156" xr:uid="{00000000-0005-0000-0000-00009B000000}"/>
    <cellStyle name="Level4-Hide" xfId="157" xr:uid="{00000000-0005-0000-0000-00009C000000}"/>
    <cellStyle name="Level4-Hide 2" xfId="158" xr:uid="{00000000-0005-0000-0000-00009D000000}"/>
    <cellStyle name="Level4-Numbers" xfId="159" xr:uid="{00000000-0005-0000-0000-00009E000000}"/>
    <cellStyle name="Level4-Numbers 2" xfId="160" xr:uid="{00000000-0005-0000-0000-00009F000000}"/>
    <cellStyle name="Level4-Numbers-Hide" xfId="161" xr:uid="{00000000-0005-0000-0000-0000A0000000}"/>
    <cellStyle name="Level5" xfId="162" xr:uid="{00000000-0005-0000-0000-0000A1000000}"/>
    <cellStyle name="Level5 2" xfId="163" xr:uid="{00000000-0005-0000-0000-0000A2000000}"/>
    <cellStyle name="Level5-Hide" xfId="164" xr:uid="{00000000-0005-0000-0000-0000A3000000}"/>
    <cellStyle name="Level5-Hide 2" xfId="165" xr:uid="{00000000-0005-0000-0000-0000A4000000}"/>
    <cellStyle name="Level5-Numbers" xfId="166" xr:uid="{00000000-0005-0000-0000-0000A5000000}"/>
    <cellStyle name="Level5-Numbers 2" xfId="167" xr:uid="{00000000-0005-0000-0000-0000A6000000}"/>
    <cellStyle name="Level5-Numbers-Hide" xfId="168" xr:uid="{00000000-0005-0000-0000-0000A7000000}"/>
    <cellStyle name="Level6" xfId="169" xr:uid="{00000000-0005-0000-0000-0000A8000000}"/>
    <cellStyle name="Level6 2" xfId="170" xr:uid="{00000000-0005-0000-0000-0000A9000000}"/>
    <cellStyle name="Level6-Hide" xfId="171" xr:uid="{00000000-0005-0000-0000-0000AA000000}"/>
    <cellStyle name="Level6-Hide 2" xfId="172" xr:uid="{00000000-0005-0000-0000-0000AB000000}"/>
    <cellStyle name="Level6-Numbers" xfId="173" xr:uid="{00000000-0005-0000-0000-0000AC000000}"/>
    <cellStyle name="Level6-Numbers 2" xfId="174" xr:uid="{00000000-0005-0000-0000-0000AD000000}"/>
    <cellStyle name="Level7" xfId="175" xr:uid="{00000000-0005-0000-0000-0000AE000000}"/>
    <cellStyle name="Level7-Hide" xfId="176" xr:uid="{00000000-0005-0000-0000-0000AF000000}"/>
    <cellStyle name="Level7-Numbers" xfId="177" xr:uid="{00000000-0005-0000-0000-0000B0000000}"/>
    <cellStyle name="Linked Cell" xfId="178" xr:uid="{00000000-0005-0000-0000-0000B1000000}"/>
    <cellStyle name="Neutral" xfId="179" xr:uid="{00000000-0005-0000-0000-0000B2000000}"/>
    <cellStyle name="Normal 2" xfId="180" xr:uid="{00000000-0005-0000-0000-0000B3000000}"/>
    <cellStyle name="Normal_2005_03_15-Финансовый_БГ" xfId="181" xr:uid="{00000000-0005-0000-0000-0000B4000000}"/>
    <cellStyle name="Normal_GSE DCF_Model_31_07_09 final" xfId="182" xr:uid="{00000000-0005-0000-0000-0000B5000000}"/>
    <cellStyle name="Note" xfId="183" xr:uid="{00000000-0005-0000-0000-0000B6000000}"/>
    <cellStyle name="Number-Cells" xfId="184" xr:uid="{00000000-0005-0000-0000-0000B7000000}"/>
    <cellStyle name="Number-Cells-Column2" xfId="185" xr:uid="{00000000-0005-0000-0000-0000B8000000}"/>
    <cellStyle name="Number-Cells-Column5" xfId="186" xr:uid="{00000000-0005-0000-0000-0000B9000000}"/>
    <cellStyle name="Output" xfId="187" xr:uid="{00000000-0005-0000-0000-0000BA000000}"/>
    <cellStyle name="Row-Header" xfId="188" xr:uid="{00000000-0005-0000-0000-0000BB000000}"/>
    <cellStyle name="Row-Header 2" xfId="189" xr:uid="{00000000-0005-0000-0000-0000BC000000}"/>
    <cellStyle name="Title" xfId="190" xr:uid="{00000000-0005-0000-0000-0000BD000000}"/>
    <cellStyle name="Total" xfId="191" xr:uid="{00000000-0005-0000-0000-0000BE000000}"/>
    <cellStyle name="Warning Text" xfId="192" xr:uid="{00000000-0005-0000-0000-0000BF000000}"/>
    <cellStyle name="Акцент1 2" xfId="193" xr:uid="{00000000-0005-0000-0000-0000C0000000}"/>
    <cellStyle name="Акцент1 3" xfId="194" xr:uid="{00000000-0005-0000-0000-0000C1000000}"/>
    <cellStyle name="Акцент2 2" xfId="195" xr:uid="{00000000-0005-0000-0000-0000C2000000}"/>
    <cellStyle name="Акцент2 3" xfId="196" xr:uid="{00000000-0005-0000-0000-0000C3000000}"/>
    <cellStyle name="Акцент3 2" xfId="197" xr:uid="{00000000-0005-0000-0000-0000C4000000}"/>
    <cellStyle name="Акцент3 3" xfId="198" xr:uid="{00000000-0005-0000-0000-0000C5000000}"/>
    <cellStyle name="Акцент4 2" xfId="199" xr:uid="{00000000-0005-0000-0000-0000C6000000}"/>
    <cellStyle name="Акцент4 3" xfId="200" xr:uid="{00000000-0005-0000-0000-0000C7000000}"/>
    <cellStyle name="Акцент5 2" xfId="201" xr:uid="{00000000-0005-0000-0000-0000C8000000}"/>
    <cellStyle name="Акцент5 3" xfId="202" xr:uid="{00000000-0005-0000-0000-0000C9000000}"/>
    <cellStyle name="Акцент6 2" xfId="203" xr:uid="{00000000-0005-0000-0000-0000CA000000}"/>
    <cellStyle name="Акцент6 3" xfId="204" xr:uid="{00000000-0005-0000-0000-0000CB000000}"/>
    <cellStyle name="Ввод  2" xfId="205" xr:uid="{00000000-0005-0000-0000-0000CC000000}"/>
    <cellStyle name="Ввод  3" xfId="206" xr:uid="{00000000-0005-0000-0000-0000CD000000}"/>
    <cellStyle name="Вывод 2" xfId="207" xr:uid="{00000000-0005-0000-0000-0000CE000000}"/>
    <cellStyle name="Вывод 3" xfId="208" xr:uid="{00000000-0005-0000-0000-0000CF000000}"/>
    <cellStyle name="Вычисление 2" xfId="209" xr:uid="{00000000-0005-0000-0000-0000D0000000}"/>
    <cellStyle name="Вычисление 3" xfId="210" xr:uid="{00000000-0005-0000-0000-0000D1000000}"/>
    <cellStyle name="Денежный 2" xfId="211" xr:uid="{00000000-0005-0000-0000-0000D2000000}"/>
    <cellStyle name="Заголовок 1 2" xfId="212" xr:uid="{00000000-0005-0000-0000-0000D3000000}"/>
    <cellStyle name="Заголовок 1 3" xfId="213" xr:uid="{00000000-0005-0000-0000-0000D4000000}"/>
    <cellStyle name="Заголовок 2 2" xfId="214" xr:uid="{00000000-0005-0000-0000-0000D5000000}"/>
    <cellStyle name="Заголовок 2 3" xfId="215" xr:uid="{00000000-0005-0000-0000-0000D6000000}"/>
    <cellStyle name="Заголовок 3 2" xfId="216" xr:uid="{00000000-0005-0000-0000-0000D7000000}"/>
    <cellStyle name="Заголовок 3 3" xfId="217" xr:uid="{00000000-0005-0000-0000-0000D8000000}"/>
    <cellStyle name="Заголовок 4 2" xfId="218" xr:uid="{00000000-0005-0000-0000-0000D9000000}"/>
    <cellStyle name="Заголовок 4 3" xfId="219" xr:uid="{00000000-0005-0000-0000-0000DA000000}"/>
    <cellStyle name="Итог 2" xfId="220" xr:uid="{00000000-0005-0000-0000-0000DB000000}"/>
    <cellStyle name="Итог 3" xfId="221" xr:uid="{00000000-0005-0000-0000-0000DC000000}"/>
    <cellStyle name="Контрольная ячейка 2" xfId="222" xr:uid="{00000000-0005-0000-0000-0000DD000000}"/>
    <cellStyle name="Контрольная ячейка 3" xfId="223" xr:uid="{00000000-0005-0000-0000-0000DE000000}"/>
    <cellStyle name="Название 2" xfId="224" xr:uid="{00000000-0005-0000-0000-0000DF000000}"/>
    <cellStyle name="Название 3" xfId="225" xr:uid="{00000000-0005-0000-0000-0000E0000000}"/>
    <cellStyle name="Нейтральный 2" xfId="226" xr:uid="{00000000-0005-0000-0000-0000E1000000}"/>
    <cellStyle name="Нейтральный 3" xfId="227" xr:uid="{00000000-0005-0000-0000-0000E2000000}"/>
    <cellStyle name="Обычный" xfId="0" builtinId="0"/>
    <cellStyle name="Обычный 10" xfId="228" xr:uid="{00000000-0005-0000-0000-0000E4000000}"/>
    <cellStyle name="Обычный 11" xfId="229" xr:uid="{00000000-0005-0000-0000-0000E5000000}"/>
    <cellStyle name="Обычный 12" xfId="230" xr:uid="{00000000-0005-0000-0000-0000E6000000}"/>
    <cellStyle name="Обычный 13" xfId="231" xr:uid="{00000000-0005-0000-0000-0000E7000000}"/>
    <cellStyle name="Обычный 14" xfId="232" xr:uid="{00000000-0005-0000-0000-0000E8000000}"/>
    <cellStyle name="Обычный 15" xfId="233" xr:uid="{00000000-0005-0000-0000-0000E9000000}"/>
    <cellStyle name="Обычный 16" xfId="234" xr:uid="{00000000-0005-0000-0000-0000EA000000}"/>
    <cellStyle name="Обычный 17" xfId="235" xr:uid="{00000000-0005-0000-0000-0000EB000000}"/>
    <cellStyle name="Обычный 18" xfId="236" xr:uid="{00000000-0005-0000-0000-0000EC000000}"/>
    <cellStyle name="Обычный 2" xfId="237" xr:uid="{00000000-0005-0000-0000-0000ED000000}"/>
    <cellStyle name="Обычный 2 10" xfId="238" xr:uid="{00000000-0005-0000-0000-0000EE000000}"/>
    <cellStyle name="Обычный 2 11" xfId="239" xr:uid="{00000000-0005-0000-0000-0000EF000000}"/>
    <cellStyle name="Обычный 2 12" xfId="240" xr:uid="{00000000-0005-0000-0000-0000F0000000}"/>
    <cellStyle name="Обычный 2 13" xfId="241" xr:uid="{00000000-0005-0000-0000-0000F1000000}"/>
    <cellStyle name="Обычный 2 14" xfId="242" xr:uid="{00000000-0005-0000-0000-0000F2000000}"/>
    <cellStyle name="Обычный 2 15" xfId="243" xr:uid="{00000000-0005-0000-0000-0000F3000000}"/>
    <cellStyle name="Обычный 2 16" xfId="244" xr:uid="{00000000-0005-0000-0000-0000F4000000}"/>
    <cellStyle name="Обычный 2 2" xfId="245" xr:uid="{00000000-0005-0000-0000-0000F5000000}"/>
    <cellStyle name="Обычный 2 2 2" xfId="246" xr:uid="{00000000-0005-0000-0000-0000F6000000}"/>
    <cellStyle name="Обычный 2 2 3" xfId="247" xr:uid="{00000000-0005-0000-0000-0000F7000000}"/>
    <cellStyle name="Обычный 2 2_Расшифровка прочих" xfId="248" xr:uid="{00000000-0005-0000-0000-0000F8000000}"/>
    <cellStyle name="Обычный 2 3" xfId="249" xr:uid="{00000000-0005-0000-0000-0000F9000000}"/>
    <cellStyle name="Обычный 2 4" xfId="250" xr:uid="{00000000-0005-0000-0000-0000FA000000}"/>
    <cellStyle name="Обычный 2 5" xfId="251" xr:uid="{00000000-0005-0000-0000-0000FB000000}"/>
    <cellStyle name="Обычный 2 6" xfId="252" xr:uid="{00000000-0005-0000-0000-0000FC000000}"/>
    <cellStyle name="Обычный 2 7" xfId="253" xr:uid="{00000000-0005-0000-0000-0000FD000000}"/>
    <cellStyle name="Обычный 2 8" xfId="254" xr:uid="{00000000-0005-0000-0000-0000FE000000}"/>
    <cellStyle name="Обычный 2 9" xfId="255" xr:uid="{00000000-0005-0000-0000-0000FF000000}"/>
    <cellStyle name="Обычный 2_2604-2010" xfId="256" xr:uid="{00000000-0005-0000-0000-000000010000}"/>
    <cellStyle name="Обычный 3" xfId="257" xr:uid="{00000000-0005-0000-0000-000001010000}"/>
    <cellStyle name="Обычный 3 10" xfId="258" xr:uid="{00000000-0005-0000-0000-000002010000}"/>
    <cellStyle name="Обычный 3 11" xfId="259" xr:uid="{00000000-0005-0000-0000-000003010000}"/>
    <cellStyle name="Обычный 3 12" xfId="260" xr:uid="{00000000-0005-0000-0000-000004010000}"/>
    <cellStyle name="Обычный 3 13" xfId="261" xr:uid="{00000000-0005-0000-0000-000005010000}"/>
    <cellStyle name="Обычный 3 14" xfId="262" xr:uid="{00000000-0005-0000-0000-000006010000}"/>
    <cellStyle name="Обычный 3 2" xfId="263" xr:uid="{00000000-0005-0000-0000-000007010000}"/>
    <cellStyle name="Обычный 3 3" xfId="264" xr:uid="{00000000-0005-0000-0000-000008010000}"/>
    <cellStyle name="Обычный 3 4" xfId="265" xr:uid="{00000000-0005-0000-0000-000009010000}"/>
    <cellStyle name="Обычный 3 5" xfId="266" xr:uid="{00000000-0005-0000-0000-00000A010000}"/>
    <cellStyle name="Обычный 3 6" xfId="267" xr:uid="{00000000-0005-0000-0000-00000B010000}"/>
    <cellStyle name="Обычный 3 7" xfId="268" xr:uid="{00000000-0005-0000-0000-00000C010000}"/>
    <cellStyle name="Обычный 3 8" xfId="269" xr:uid="{00000000-0005-0000-0000-00000D010000}"/>
    <cellStyle name="Обычный 3 9" xfId="270" xr:uid="{00000000-0005-0000-0000-00000E010000}"/>
    <cellStyle name="Обычный 3_Дефицит_7 млрд_0608_бс" xfId="271" xr:uid="{00000000-0005-0000-0000-00000F010000}"/>
    <cellStyle name="Обычный 4" xfId="272" xr:uid="{00000000-0005-0000-0000-000010010000}"/>
    <cellStyle name="Обычный 5" xfId="273" xr:uid="{00000000-0005-0000-0000-000011010000}"/>
    <cellStyle name="Обычный 5 2" xfId="274" xr:uid="{00000000-0005-0000-0000-000012010000}"/>
    <cellStyle name="Обычный 6" xfId="275" xr:uid="{00000000-0005-0000-0000-000013010000}"/>
    <cellStyle name="Обычный 6 2" xfId="276" xr:uid="{00000000-0005-0000-0000-000014010000}"/>
    <cellStyle name="Обычный 6 3" xfId="277" xr:uid="{00000000-0005-0000-0000-000015010000}"/>
    <cellStyle name="Обычный 6 4" xfId="278" xr:uid="{00000000-0005-0000-0000-000016010000}"/>
    <cellStyle name="Обычный 6_Дефицит_7 млрд_0608_бс" xfId="279" xr:uid="{00000000-0005-0000-0000-000017010000}"/>
    <cellStyle name="Обычный 7" xfId="280" xr:uid="{00000000-0005-0000-0000-000018010000}"/>
    <cellStyle name="Обычный 7 2" xfId="281" xr:uid="{00000000-0005-0000-0000-000019010000}"/>
    <cellStyle name="Обычный 8" xfId="282" xr:uid="{00000000-0005-0000-0000-00001A010000}"/>
    <cellStyle name="Обычный 9" xfId="283" xr:uid="{00000000-0005-0000-0000-00001B010000}"/>
    <cellStyle name="Обычный 9 2" xfId="284" xr:uid="{00000000-0005-0000-0000-00001C010000}"/>
    <cellStyle name="Плохой 2" xfId="285" xr:uid="{00000000-0005-0000-0000-00001D010000}"/>
    <cellStyle name="Плохой 3" xfId="286" xr:uid="{00000000-0005-0000-0000-00001E010000}"/>
    <cellStyle name="Пояснение 2" xfId="287" xr:uid="{00000000-0005-0000-0000-00001F010000}"/>
    <cellStyle name="Пояснение 3" xfId="288" xr:uid="{00000000-0005-0000-0000-000020010000}"/>
    <cellStyle name="Примечание 2" xfId="289" xr:uid="{00000000-0005-0000-0000-000021010000}"/>
    <cellStyle name="Примечание 3" xfId="290" xr:uid="{00000000-0005-0000-0000-000022010000}"/>
    <cellStyle name="Процентный 2" xfId="291" xr:uid="{00000000-0005-0000-0000-000023010000}"/>
    <cellStyle name="Процентный 2 10" xfId="292" xr:uid="{00000000-0005-0000-0000-000024010000}"/>
    <cellStyle name="Процентный 2 11" xfId="293" xr:uid="{00000000-0005-0000-0000-000025010000}"/>
    <cellStyle name="Процентный 2 12" xfId="294" xr:uid="{00000000-0005-0000-0000-000026010000}"/>
    <cellStyle name="Процентный 2 13" xfId="295" xr:uid="{00000000-0005-0000-0000-000027010000}"/>
    <cellStyle name="Процентный 2 14" xfId="296" xr:uid="{00000000-0005-0000-0000-000028010000}"/>
    <cellStyle name="Процентный 2 15" xfId="297" xr:uid="{00000000-0005-0000-0000-000029010000}"/>
    <cellStyle name="Процентный 2 16" xfId="298" xr:uid="{00000000-0005-0000-0000-00002A010000}"/>
    <cellStyle name="Процентный 2 2" xfId="299" xr:uid="{00000000-0005-0000-0000-00002B010000}"/>
    <cellStyle name="Процентный 2 3" xfId="300" xr:uid="{00000000-0005-0000-0000-00002C010000}"/>
    <cellStyle name="Процентный 2 4" xfId="301" xr:uid="{00000000-0005-0000-0000-00002D010000}"/>
    <cellStyle name="Процентный 2 5" xfId="302" xr:uid="{00000000-0005-0000-0000-00002E010000}"/>
    <cellStyle name="Процентный 2 6" xfId="303" xr:uid="{00000000-0005-0000-0000-00002F010000}"/>
    <cellStyle name="Процентный 2 7" xfId="304" xr:uid="{00000000-0005-0000-0000-000030010000}"/>
    <cellStyle name="Процентный 2 8" xfId="305" xr:uid="{00000000-0005-0000-0000-000031010000}"/>
    <cellStyle name="Процентный 2 9" xfId="306" xr:uid="{00000000-0005-0000-0000-000032010000}"/>
    <cellStyle name="Процентный 3" xfId="307" xr:uid="{00000000-0005-0000-0000-000033010000}"/>
    <cellStyle name="Процентный 4" xfId="308" xr:uid="{00000000-0005-0000-0000-000034010000}"/>
    <cellStyle name="Процентный 4 2" xfId="309" xr:uid="{00000000-0005-0000-0000-000035010000}"/>
    <cellStyle name="Связанная ячейка 2" xfId="310" xr:uid="{00000000-0005-0000-0000-000036010000}"/>
    <cellStyle name="Связанная ячейка 3" xfId="311" xr:uid="{00000000-0005-0000-0000-000037010000}"/>
    <cellStyle name="Стиль 1" xfId="312" xr:uid="{00000000-0005-0000-0000-000038010000}"/>
    <cellStyle name="Стиль 1 2" xfId="313" xr:uid="{00000000-0005-0000-0000-000039010000}"/>
    <cellStyle name="Стиль 1 3" xfId="314" xr:uid="{00000000-0005-0000-0000-00003A010000}"/>
    <cellStyle name="Стиль 1 4" xfId="315" xr:uid="{00000000-0005-0000-0000-00003B010000}"/>
    <cellStyle name="Стиль 1 5" xfId="316" xr:uid="{00000000-0005-0000-0000-00003C010000}"/>
    <cellStyle name="Стиль 1 6" xfId="317" xr:uid="{00000000-0005-0000-0000-00003D010000}"/>
    <cellStyle name="Стиль 1 7" xfId="318" xr:uid="{00000000-0005-0000-0000-00003E010000}"/>
    <cellStyle name="Текст предупреждения 2" xfId="319" xr:uid="{00000000-0005-0000-0000-00003F010000}"/>
    <cellStyle name="Текст предупреждения 3" xfId="320" xr:uid="{00000000-0005-0000-0000-000040010000}"/>
    <cellStyle name="Тысячи [0]_1.62" xfId="321" xr:uid="{00000000-0005-0000-0000-000041010000}"/>
    <cellStyle name="Тысячи_1.62" xfId="322" xr:uid="{00000000-0005-0000-0000-000042010000}"/>
    <cellStyle name="Финансовый 2" xfId="323" xr:uid="{00000000-0005-0000-0000-000043010000}"/>
    <cellStyle name="Финансовый 2 10" xfId="324" xr:uid="{00000000-0005-0000-0000-000044010000}"/>
    <cellStyle name="Финансовый 2 11" xfId="325" xr:uid="{00000000-0005-0000-0000-000045010000}"/>
    <cellStyle name="Финансовый 2 12" xfId="326" xr:uid="{00000000-0005-0000-0000-000046010000}"/>
    <cellStyle name="Финансовый 2 13" xfId="327" xr:uid="{00000000-0005-0000-0000-000047010000}"/>
    <cellStyle name="Финансовый 2 14" xfId="328" xr:uid="{00000000-0005-0000-0000-000048010000}"/>
    <cellStyle name="Финансовый 2 15" xfId="329" xr:uid="{00000000-0005-0000-0000-000049010000}"/>
    <cellStyle name="Финансовый 2 16" xfId="330" xr:uid="{00000000-0005-0000-0000-00004A010000}"/>
    <cellStyle name="Финансовый 2 17" xfId="331" xr:uid="{00000000-0005-0000-0000-00004B010000}"/>
    <cellStyle name="Финансовый 2 2" xfId="332" xr:uid="{00000000-0005-0000-0000-00004C010000}"/>
    <cellStyle name="Финансовый 2 3" xfId="333" xr:uid="{00000000-0005-0000-0000-00004D010000}"/>
    <cellStyle name="Финансовый 2 4" xfId="334" xr:uid="{00000000-0005-0000-0000-00004E010000}"/>
    <cellStyle name="Финансовый 2 5" xfId="335" xr:uid="{00000000-0005-0000-0000-00004F010000}"/>
    <cellStyle name="Финансовый 2 6" xfId="336" xr:uid="{00000000-0005-0000-0000-000050010000}"/>
    <cellStyle name="Финансовый 2 7" xfId="337" xr:uid="{00000000-0005-0000-0000-000051010000}"/>
    <cellStyle name="Финансовый 2 8" xfId="338" xr:uid="{00000000-0005-0000-0000-000052010000}"/>
    <cellStyle name="Финансовый 2 9" xfId="339" xr:uid="{00000000-0005-0000-0000-000053010000}"/>
    <cellStyle name="Финансовый 3" xfId="340" xr:uid="{00000000-0005-0000-0000-000054010000}"/>
    <cellStyle name="Финансовый 3 2" xfId="341" xr:uid="{00000000-0005-0000-0000-000055010000}"/>
    <cellStyle name="Финансовый 4" xfId="342" xr:uid="{00000000-0005-0000-0000-000056010000}"/>
    <cellStyle name="Финансовый 4 2" xfId="343" xr:uid="{00000000-0005-0000-0000-000057010000}"/>
    <cellStyle name="Финансовый 4 3" xfId="344" xr:uid="{00000000-0005-0000-0000-000058010000}"/>
    <cellStyle name="Финансовый 5" xfId="345" xr:uid="{00000000-0005-0000-0000-000059010000}"/>
    <cellStyle name="Финансовый 6" xfId="346" xr:uid="{00000000-0005-0000-0000-00005A010000}"/>
    <cellStyle name="Финансовый 7" xfId="347" xr:uid="{00000000-0005-0000-0000-00005B010000}"/>
    <cellStyle name="Хороший 2" xfId="348" xr:uid="{00000000-0005-0000-0000-00005C010000}"/>
    <cellStyle name="Хороший 3" xfId="349" xr:uid="{00000000-0005-0000-0000-00005D010000}"/>
    <cellStyle name="числовой" xfId="350" xr:uid="{00000000-0005-0000-0000-00005E010000}"/>
    <cellStyle name="Ю" xfId="351" xr:uid="{00000000-0005-0000-0000-00005F010000}"/>
    <cellStyle name="Ю-FreeSet_10" xfId="352" xr:uid="{00000000-0005-0000-0000-00006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1352550</xdr:colOff>
      <xdr:row>78</xdr:row>
      <xdr:rowOff>0</xdr:rowOff>
    </xdr:from>
    <xdr:to>
      <xdr:col>0</xdr:col>
      <xdr:colOff>4743450</xdr:colOff>
      <xdr:row>78</xdr:row>
      <xdr:rowOff>0</xdr:rowOff>
    </xdr:to>
    <xdr:sp macro="" textlink="">
      <xdr:nvSpPr>
        <xdr:cNvPr id="32056" name="Line 1">
          <a:extLst>
            <a:ext uri="{FF2B5EF4-FFF2-40B4-BE49-F238E27FC236}">
              <a16:creationId xmlns:a16="http://schemas.microsoft.com/office/drawing/2014/main" id="{00000000-0008-0000-0000-0000387D0000}"/>
            </a:ext>
          </a:extLst>
        </xdr:cNvPr>
        <xdr:cNvSpPr>
          <a:spLocks noChangeShapeType="1"/>
        </xdr:cNvSpPr>
      </xdr:nvSpPr>
      <xdr:spPr bwMode="auto">
        <a:xfrm>
          <a:off x="1352550" y="28965525"/>
          <a:ext cx="3390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114300</xdr:colOff>
      <xdr:row>78</xdr:row>
      <xdr:rowOff>0</xdr:rowOff>
    </xdr:from>
    <xdr:to>
      <xdr:col>3</xdr:col>
      <xdr:colOff>1619250</xdr:colOff>
      <xdr:row>78</xdr:row>
      <xdr:rowOff>0</xdr:rowOff>
    </xdr:to>
    <xdr:sp macro="" textlink="">
      <xdr:nvSpPr>
        <xdr:cNvPr id="32057" name="Line 2">
          <a:extLst>
            <a:ext uri="{FF2B5EF4-FFF2-40B4-BE49-F238E27FC236}">
              <a16:creationId xmlns:a16="http://schemas.microsoft.com/office/drawing/2014/main" id="{00000000-0008-0000-0000-0000397D0000}"/>
            </a:ext>
          </a:extLst>
        </xdr:cNvPr>
        <xdr:cNvSpPr>
          <a:spLocks noChangeShapeType="1"/>
        </xdr:cNvSpPr>
      </xdr:nvSpPr>
      <xdr:spPr bwMode="auto">
        <a:xfrm>
          <a:off x="6096000" y="28965525"/>
          <a:ext cx="31908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0</xdr:colOff>
      <xdr:row>78</xdr:row>
      <xdr:rowOff>0</xdr:rowOff>
    </xdr:from>
    <xdr:to>
      <xdr:col>6</xdr:col>
      <xdr:colOff>1447800</xdr:colOff>
      <xdr:row>78</xdr:row>
      <xdr:rowOff>0</xdr:rowOff>
    </xdr:to>
    <xdr:sp macro="" textlink="">
      <xdr:nvSpPr>
        <xdr:cNvPr id="32058" name="Line 3">
          <a:extLst>
            <a:ext uri="{FF2B5EF4-FFF2-40B4-BE49-F238E27FC236}">
              <a16:creationId xmlns:a16="http://schemas.microsoft.com/office/drawing/2014/main" id="{00000000-0008-0000-0000-00003A7D0000}"/>
            </a:ext>
          </a:extLst>
        </xdr:cNvPr>
        <xdr:cNvSpPr>
          <a:spLocks noChangeShapeType="1"/>
        </xdr:cNvSpPr>
      </xdr:nvSpPr>
      <xdr:spPr bwMode="auto">
        <a:xfrm>
          <a:off x="10915650" y="28965525"/>
          <a:ext cx="3038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184</xdr:row>
      <xdr:rowOff>0</xdr:rowOff>
    </xdr:from>
    <xdr:to>
      <xdr:col>0</xdr:col>
      <xdr:colOff>4838700</xdr:colOff>
      <xdr:row>184</xdr:row>
      <xdr:rowOff>0</xdr:rowOff>
    </xdr:to>
    <xdr:sp macro="" textlink="">
      <xdr:nvSpPr>
        <xdr:cNvPr id="31076" name="Line 1">
          <a:extLst>
            <a:ext uri="{FF2B5EF4-FFF2-40B4-BE49-F238E27FC236}">
              <a16:creationId xmlns:a16="http://schemas.microsoft.com/office/drawing/2014/main" id="{00000000-0008-0000-0100-000064790000}"/>
            </a:ext>
          </a:extLst>
        </xdr:cNvPr>
        <xdr:cNvSpPr>
          <a:spLocks noChangeShapeType="1"/>
        </xdr:cNvSpPr>
      </xdr:nvSpPr>
      <xdr:spPr bwMode="auto">
        <a:xfrm>
          <a:off x="1295400" y="59622267"/>
          <a:ext cx="3543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781050</xdr:colOff>
      <xdr:row>184</xdr:row>
      <xdr:rowOff>0</xdr:rowOff>
    </xdr:from>
    <xdr:to>
      <xdr:col>4</xdr:col>
      <xdr:colOff>552450</xdr:colOff>
      <xdr:row>184</xdr:row>
      <xdr:rowOff>0</xdr:rowOff>
    </xdr:to>
    <xdr:sp macro="" textlink="">
      <xdr:nvSpPr>
        <xdr:cNvPr id="31077" name="Line 2">
          <a:extLst>
            <a:ext uri="{FF2B5EF4-FFF2-40B4-BE49-F238E27FC236}">
              <a16:creationId xmlns:a16="http://schemas.microsoft.com/office/drawing/2014/main" id="{00000000-0008-0000-0100-000065790000}"/>
            </a:ext>
          </a:extLst>
        </xdr:cNvPr>
        <xdr:cNvSpPr>
          <a:spLocks noChangeShapeType="1"/>
        </xdr:cNvSpPr>
      </xdr:nvSpPr>
      <xdr:spPr bwMode="auto">
        <a:xfrm>
          <a:off x="5852583" y="59622267"/>
          <a:ext cx="2683934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184</xdr:row>
      <xdr:rowOff>0</xdr:rowOff>
    </xdr:from>
    <xdr:to>
      <xdr:col>7</xdr:col>
      <xdr:colOff>1619250</xdr:colOff>
      <xdr:row>184</xdr:row>
      <xdr:rowOff>0</xdr:rowOff>
    </xdr:to>
    <xdr:sp macro="" textlink="">
      <xdr:nvSpPr>
        <xdr:cNvPr id="31078" name="Line 3">
          <a:extLst>
            <a:ext uri="{FF2B5EF4-FFF2-40B4-BE49-F238E27FC236}">
              <a16:creationId xmlns:a16="http://schemas.microsoft.com/office/drawing/2014/main" id="{00000000-0008-0000-0100-000066790000}"/>
            </a:ext>
          </a:extLst>
        </xdr:cNvPr>
        <xdr:cNvSpPr>
          <a:spLocks noChangeShapeType="1"/>
        </xdr:cNvSpPr>
      </xdr:nvSpPr>
      <xdr:spPr bwMode="auto">
        <a:xfrm>
          <a:off x="9762067" y="59622267"/>
          <a:ext cx="2677583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1228725</xdr:colOff>
      <xdr:row>40</xdr:row>
      <xdr:rowOff>0</xdr:rowOff>
    </xdr:from>
    <xdr:to>
      <xdr:col>1</xdr:col>
      <xdr:colOff>0</xdr:colOff>
      <xdr:row>40</xdr:row>
      <xdr:rowOff>0</xdr:rowOff>
    </xdr:to>
    <xdr:sp macro="" textlink="">
      <xdr:nvSpPr>
        <xdr:cNvPr id="33080" name="Line 1">
          <a:extLst>
            <a:ext uri="{FF2B5EF4-FFF2-40B4-BE49-F238E27FC236}">
              <a16:creationId xmlns:a16="http://schemas.microsoft.com/office/drawing/2014/main" id="{00000000-0008-0000-0200-000038810000}"/>
            </a:ext>
          </a:extLst>
        </xdr:cNvPr>
        <xdr:cNvSpPr>
          <a:spLocks noChangeShapeType="1"/>
        </xdr:cNvSpPr>
      </xdr:nvSpPr>
      <xdr:spPr bwMode="auto">
        <a:xfrm>
          <a:off x="1228725" y="16983075"/>
          <a:ext cx="30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ru-UA"/>
        </a:p>
      </xdr:txBody>
    </xdr:sp>
    <xdr:clientData/>
  </xdr:twoCellAnchor>
  <xdr:twoCellAnchor>
    <xdr:from>
      <xdr:col>2</xdr:col>
      <xdr:colOff>0</xdr:colOff>
      <xdr:row>40</xdr:row>
      <xdr:rowOff>0</xdr:rowOff>
    </xdr:from>
    <xdr:to>
      <xdr:col>4</xdr:col>
      <xdr:colOff>66675</xdr:colOff>
      <xdr:row>40</xdr:row>
      <xdr:rowOff>0</xdr:rowOff>
    </xdr:to>
    <xdr:sp macro="" textlink="">
      <xdr:nvSpPr>
        <xdr:cNvPr id="33081" name="Line 2">
          <a:extLst>
            <a:ext uri="{FF2B5EF4-FFF2-40B4-BE49-F238E27FC236}">
              <a16:creationId xmlns:a16="http://schemas.microsoft.com/office/drawing/2014/main" id="{00000000-0008-0000-0200-000039810000}"/>
            </a:ext>
          </a:extLst>
        </xdr:cNvPr>
        <xdr:cNvSpPr>
          <a:spLocks noChangeShapeType="1"/>
        </xdr:cNvSpPr>
      </xdr:nvSpPr>
      <xdr:spPr bwMode="auto">
        <a:xfrm>
          <a:off x="5295900" y="1698307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923925</xdr:colOff>
      <xdr:row>40</xdr:row>
      <xdr:rowOff>0</xdr:rowOff>
    </xdr:from>
    <xdr:to>
      <xdr:col>6</xdr:col>
      <xdr:colOff>962025</xdr:colOff>
      <xdr:row>40</xdr:row>
      <xdr:rowOff>0</xdr:rowOff>
    </xdr:to>
    <xdr:sp macro="" textlink="">
      <xdr:nvSpPr>
        <xdr:cNvPr id="33082" name="Line 3">
          <a:extLst>
            <a:ext uri="{FF2B5EF4-FFF2-40B4-BE49-F238E27FC236}">
              <a16:creationId xmlns:a16="http://schemas.microsoft.com/office/drawing/2014/main" id="{00000000-0008-0000-0200-00003A810000}"/>
            </a:ext>
          </a:extLst>
        </xdr:cNvPr>
        <xdr:cNvSpPr>
          <a:spLocks noChangeShapeType="1"/>
        </xdr:cNvSpPr>
      </xdr:nvSpPr>
      <xdr:spPr bwMode="auto">
        <a:xfrm>
          <a:off x="8439150" y="16983075"/>
          <a:ext cx="22193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93</xdr:row>
      <xdr:rowOff>0</xdr:rowOff>
    </xdr:from>
    <xdr:to>
      <xdr:col>0</xdr:col>
      <xdr:colOff>3971925</xdr:colOff>
      <xdr:row>93</xdr:row>
      <xdr:rowOff>0</xdr:rowOff>
    </xdr:to>
    <xdr:sp macro="" textlink="">
      <xdr:nvSpPr>
        <xdr:cNvPr id="34104" name="Line 1">
          <a:extLst>
            <a:ext uri="{FF2B5EF4-FFF2-40B4-BE49-F238E27FC236}">
              <a16:creationId xmlns:a16="http://schemas.microsoft.com/office/drawing/2014/main" id="{00000000-0008-0000-0300-000038850000}"/>
            </a:ext>
          </a:extLst>
        </xdr:cNvPr>
        <xdr:cNvSpPr>
          <a:spLocks noChangeShapeType="1"/>
        </xdr:cNvSpPr>
      </xdr:nvSpPr>
      <xdr:spPr bwMode="auto">
        <a:xfrm>
          <a:off x="1019175" y="29337000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93</xdr:row>
      <xdr:rowOff>0</xdr:rowOff>
    </xdr:from>
    <xdr:to>
      <xdr:col>3</xdr:col>
      <xdr:colOff>723900</xdr:colOff>
      <xdr:row>93</xdr:row>
      <xdr:rowOff>0</xdr:rowOff>
    </xdr:to>
    <xdr:sp macro="" textlink="">
      <xdr:nvSpPr>
        <xdr:cNvPr id="34105" name="Line 2">
          <a:extLst>
            <a:ext uri="{FF2B5EF4-FFF2-40B4-BE49-F238E27FC236}">
              <a16:creationId xmlns:a16="http://schemas.microsoft.com/office/drawing/2014/main" id="{00000000-0008-0000-0300-000039850000}"/>
            </a:ext>
          </a:extLst>
        </xdr:cNvPr>
        <xdr:cNvSpPr>
          <a:spLocks noChangeShapeType="1"/>
        </xdr:cNvSpPr>
      </xdr:nvSpPr>
      <xdr:spPr bwMode="auto">
        <a:xfrm>
          <a:off x="4810125" y="29337000"/>
          <a:ext cx="1981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93</xdr:row>
      <xdr:rowOff>0</xdr:rowOff>
    </xdr:from>
    <xdr:to>
      <xdr:col>7</xdr:col>
      <xdr:colOff>38100</xdr:colOff>
      <xdr:row>93</xdr:row>
      <xdr:rowOff>0</xdr:rowOff>
    </xdr:to>
    <xdr:sp macro="" textlink="">
      <xdr:nvSpPr>
        <xdr:cNvPr id="34106" name="Line 3">
          <a:extLst>
            <a:ext uri="{FF2B5EF4-FFF2-40B4-BE49-F238E27FC236}">
              <a16:creationId xmlns:a16="http://schemas.microsoft.com/office/drawing/2014/main" id="{00000000-0008-0000-0300-00003A850000}"/>
            </a:ext>
          </a:extLst>
        </xdr:cNvPr>
        <xdr:cNvSpPr>
          <a:spLocks noChangeShapeType="1"/>
        </xdr:cNvSpPr>
      </xdr:nvSpPr>
      <xdr:spPr bwMode="auto">
        <a:xfrm>
          <a:off x="7477125" y="29337000"/>
          <a:ext cx="2133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1019175</xdr:colOff>
      <xdr:row>15</xdr:row>
      <xdr:rowOff>0</xdr:rowOff>
    </xdr:from>
    <xdr:to>
      <xdr:col>0</xdr:col>
      <xdr:colOff>3971925</xdr:colOff>
      <xdr:row>15</xdr:row>
      <xdr:rowOff>0</xdr:rowOff>
    </xdr:to>
    <xdr:sp macro="" textlink="">
      <xdr:nvSpPr>
        <xdr:cNvPr id="35128" name="Line 1">
          <a:extLst>
            <a:ext uri="{FF2B5EF4-FFF2-40B4-BE49-F238E27FC236}">
              <a16:creationId xmlns:a16="http://schemas.microsoft.com/office/drawing/2014/main" id="{00000000-0008-0000-0400-000038890000}"/>
            </a:ext>
          </a:extLst>
        </xdr:cNvPr>
        <xdr:cNvSpPr>
          <a:spLocks noChangeShapeType="1"/>
        </xdr:cNvSpPr>
      </xdr:nvSpPr>
      <xdr:spPr bwMode="auto">
        <a:xfrm>
          <a:off x="1019175" y="8486775"/>
          <a:ext cx="2952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/>
        <a:lstStyle/>
        <a:p>
          <a:endParaRPr lang="ru-UA"/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3</xdr:col>
      <xdr:colOff>723900</xdr:colOff>
      <xdr:row>15</xdr:row>
      <xdr:rowOff>0</xdr:rowOff>
    </xdr:to>
    <xdr:sp macro="" textlink="">
      <xdr:nvSpPr>
        <xdr:cNvPr id="35129" name="Line 2">
          <a:extLst>
            <a:ext uri="{FF2B5EF4-FFF2-40B4-BE49-F238E27FC236}">
              <a16:creationId xmlns:a16="http://schemas.microsoft.com/office/drawing/2014/main" id="{00000000-0008-0000-0400-000039890000}"/>
            </a:ext>
          </a:extLst>
        </xdr:cNvPr>
        <xdr:cNvSpPr>
          <a:spLocks noChangeShapeType="1"/>
        </xdr:cNvSpPr>
      </xdr:nvSpPr>
      <xdr:spPr bwMode="auto">
        <a:xfrm>
          <a:off x="4724400" y="8486775"/>
          <a:ext cx="201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676275</xdr:colOff>
      <xdr:row>15</xdr:row>
      <xdr:rowOff>0</xdr:rowOff>
    </xdr:from>
    <xdr:to>
      <xdr:col>7</xdr:col>
      <xdr:colOff>38100</xdr:colOff>
      <xdr:row>15</xdr:row>
      <xdr:rowOff>0</xdr:rowOff>
    </xdr:to>
    <xdr:sp macro="" textlink="">
      <xdr:nvSpPr>
        <xdr:cNvPr id="35130" name="Line 3">
          <a:extLst>
            <a:ext uri="{FF2B5EF4-FFF2-40B4-BE49-F238E27FC236}">
              <a16:creationId xmlns:a16="http://schemas.microsoft.com/office/drawing/2014/main" id="{00000000-0008-0000-0400-00003A890000}"/>
            </a:ext>
          </a:extLst>
        </xdr:cNvPr>
        <xdr:cNvSpPr>
          <a:spLocks noChangeShapeType="1"/>
        </xdr:cNvSpPr>
      </xdr:nvSpPr>
      <xdr:spPr bwMode="auto">
        <a:xfrm>
          <a:off x="7667625" y="8486775"/>
          <a:ext cx="2876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1485900</xdr:colOff>
      <xdr:row>23</xdr:row>
      <xdr:rowOff>0</xdr:rowOff>
    </xdr:from>
    <xdr:to>
      <xdr:col>0</xdr:col>
      <xdr:colOff>5810250</xdr:colOff>
      <xdr:row>23</xdr:row>
      <xdr:rowOff>0</xdr:rowOff>
    </xdr:to>
    <xdr:sp macro="" textlink="">
      <xdr:nvSpPr>
        <xdr:cNvPr id="36152" name="Line 1">
          <a:extLst>
            <a:ext uri="{FF2B5EF4-FFF2-40B4-BE49-F238E27FC236}">
              <a16:creationId xmlns:a16="http://schemas.microsoft.com/office/drawing/2014/main" id="{00000000-0008-0000-0500-0000388D0000}"/>
            </a:ext>
          </a:extLst>
        </xdr:cNvPr>
        <xdr:cNvSpPr>
          <a:spLocks noChangeShapeType="1"/>
        </xdr:cNvSpPr>
      </xdr:nvSpPr>
      <xdr:spPr bwMode="auto">
        <a:xfrm>
          <a:off x="1485900" y="18059400"/>
          <a:ext cx="432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876300</xdr:colOff>
      <xdr:row>23</xdr:row>
      <xdr:rowOff>0</xdr:rowOff>
    </xdr:from>
    <xdr:to>
      <xdr:col>3</xdr:col>
      <xdr:colOff>704850</xdr:colOff>
      <xdr:row>23</xdr:row>
      <xdr:rowOff>0</xdr:rowOff>
    </xdr:to>
    <xdr:sp macro="" textlink="">
      <xdr:nvSpPr>
        <xdr:cNvPr id="36153" name="Line 2">
          <a:extLst>
            <a:ext uri="{FF2B5EF4-FFF2-40B4-BE49-F238E27FC236}">
              <a16:creationId xmlns:a16="http://schemas.microsoft.com/office/drawing/2014/main" id="{00000000-0008-0000-0500-0000398D0000}"/>
            </a:ext>
          </a:extLst>
        </xdr:cNvPr>
        <xdr:cNvSpPr>
          <a:spLocks noChangeShapeType="1"/>
        </xdr:cNvSpPr>
      </xdr:nvSpPr>
      <xdr:spPr bwMode="auto">
        <a:xfrm>
          <a:off x="6696075" y="18059400"/>
          <a:ext cx="22479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285750</xdr:colOff>
      <xdr:row>23</xdr:row>
      <xdr:rowOff>0</xdr:rowOff>
    </xdr:from>
    <xdr:to>
      <xdr:col>5</xdr:col>
      <xdr:colOff>2305050</xdr:colOff>
      <xdr:row>23</xdr:row>
      <xdr:rowOff>0</xdr:rowOff>
    </xdr:to>
    <xdr:sp macro="" textlink="">
      <xdr:nvSpPr>
        <xdr:cNvPr id="36154" name="Line 3">
          <a:extLst>
            <a:ext uri="{FF2B5EF4-FFF2-40B4-BE49-F238E27FC236}">
              <a16:creationId xmlns:a16="http://schemas.microsoft.com/office/drawing/2014/main" id="{00000000-0008-0000-0500-00003A8D0000}"/>
            </a:ext>
          </a:extLst>
        </xdr:cNvPr>
        <xdr:cNvSpPr>
          <a:spLocks noChangeShapeType="1"/>
        </xdr:cNvSpPr>
      </xdr:nvSpPr>
      <xdr:spPr bwMode="auto">
        <a:xfrm>
          <a:off x="9858375" y="18059400"/>
          <a:ext cx="3333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58</xdr:row>
      <xdr:rowOff>0</xdr:rowOff>
    </xdr:from>
    <xdr:to>
      <xdr:col>9</xdr:col>
      <xdr:colOff>266700</xdr:colOff>
      <xdr:row>58</xdr:row>
      <xdr:rowOff>0</xdr:rowOff>
    </xdr:to>
    <xdr:sp macro="" textlink="">
      <xdr:nvSpPr>
        <xdr:cNvPr id="37176" name="Line 1">
          <a:extLst>
            <a:ext uri="{FF2B5EF4-FFF2-40B4-BE49-F238E27FC236}">
              <a16:creationId xmlns:a16="http://schemas.microsoft.com/office/drawing/2014/main" id="{00000000-0008-0000-0700-000038910000}"/>
            </a:ext>
          </a:extLst>
        </xdr:cNvPr>
        <xdr:cNvSpPr>
          <a:spLocks noChangeShapeType="1"/>
        </xdr:cNvSpPr>
      </xdr:nvSpPr>
      <xdr:spPr bwMode="auto">
        <a:xfrm>
          <a:off x="2552700" y="17230725"/>
          <a:ext cx="3552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914400</xdr:colOff>
      <xdr:row>58</xdr:row>
      <xdr:rowOff>0</xdr:rowOff>
    </xdr:from>
    <xdr:to>
      <xdr:col>19</xdr:col>
      <xdr:colOff>800100</xdr:colOff>
      <xdr:row>58</xdr:row>
      <xdr:rowOff>0</xdr:rowOff>
    </xdr:to>
    <xdr:sp macro="" textlink="">
      <xdr:nvSpPr>
        <xdr:cNvPr id="37177" name="Line 2">
          <a:extLst>
            <a:ext uri="{FF2B5EF4-FFF2-40B4-BE49-F238E27FC236}">
              <a16:creationId xmlns:a16="http://schemas.microsoft.com/office/drawing/2014/main" id="{00000000-0008-0000-0700-000039910000}"/>
            </a:ext>
          </a:extLst>
        </xdr:cNvPr>
        <xdr:cNvSpPr>
          <a:spLocks noChangeShapeType="1"/>
        </xdr:cNvSpPr>
      </xdr:nvSpPr>
      <xdr:spPr bwMode="auto">
        <a:xfrm flipV="1">
          <a:off x="9858375" y="17230725"/>
          <a:ext cx="4419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180975</xdr:colOff>
      <xdr:row>58</xdr:row>
      <xdr:rowOff>0</xdr:rowOff>
    </xdr:from>
    <xdr:to>
      <xdr:col>31</xdr:col>
      <xdr:colOff>904875</xdr:colOff>
      <xdr:row>58</xdr:row>
      <xdr:rowOff>0</xdr:rowOff>
    </xdr:to>
    <xdr:sp macro="" textlink="">
      <xdr:nvSpPr>
        <xdr:cNvPr id="37178" name="Line 3">
          <a:extLst>
            <a:ext uri="{FF2B5EF4-FFF2-40B4-BE49-F238E27FC236}">
              <a16:creationId xmlns:a16="http://schemas.microsoft.com/office/drawing/2014/main" id="{00000000-0008-0000-0700-00003A910000}"/>
            </a:ext>
          </a:extLst>
        </xdr:cNvPr>
        <xdr:cNvSpPr>
          <a:spLocks noChangeShapeType="1"/>
        </xdr:cNvSpPr>
      </xdr:nvSpPr>
      <xdr:spPr bwMode="auto">
        <a:xfrm>
          <a:off x="20802600" y="17230725"/>
          <a:ext cx="42291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WORK/S2/VICTOR/&#1042;&#1042;&#1055;/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&#1052;&#1086;&#1080;%20&#1076;&#1086;&#1082;&#1091;&#1084;&#1077;&#1085;&#1090;&#1099;/Sergey/&#1055;&#1088;&#1086;&#1075;&#1085;&#1086;&#1079;/&#1056;&#1072;&#1073;&#1086;&#1095;&#1080;&#1077;%20&#1090;&#1072;&#1073;&#1083;&#1080;&#1094;&#1099;/new/zvedena1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iadna\Sum_pok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New_monitoring/Monit_xls/M_2002/M_06_02/Monthly/10_October/1Aug2001/GDP/realgdp/LENA/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k.gov.ua/S_N_A/1July2001/GDP/realgdp/LENA/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  <sheetName val="адмін (2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  <sheetName val="січ-лют."/>
      <sheetName val="430 сыч-лютий"/>
      <sheetName val="бер"/>
      <sheetName val="430 бер"/>
      <sheetName val="січ-бер"/>
      <sheetName val="430 сыч-бер"/>
      <sheetName val="7  Інші витрати"/>
      <sheetName val="ОСВ МСФЗ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Лист1"/>
      <sheetName val="МТР все 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Info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GDP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  <sheetName val="7  Інші витрати"/>
      <sheetName val="Ф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попер_роз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  <sheetName val="Inform"/>
      <sheetName val="7  інші витрат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Обсяг помісячного надходження субвенції з державного бюджету до місцевих бюджетів на надання пільг  та житлових субсидій населенню на оплату електроенергії, природного газу, послуг тепло-, водопостачання і водовідведення, квартирної плати, вивезення побут</v>
          </cell>
        </row>
        <row r="5">
          <cell r="A5" t="str">
            <v>Код бюджету</v>
          </cell>
          <cell r="B5" t="str">
            <v>Назва адміністративно-територіальної одиниці</v>
          </cell>
          <cell r="C5" t="str">
            <v>січень</v>
          </cell>
          <cell r="D5" t="str">
            <v>лютий</v>
          </cell>
          <cell r="E5" t="str">
            <v>березень</v>
          </cell>
          <cell r="F5" t="str">
            <v>квітень</v>
          </cell>
          <cell r="G5" t="str">
            <v>травень</v>
          </cell>
        </row>
        <row r="6">
          <cell r="A6" t="str">
            <v>О1100000000</v>
          </cell>
          <cell r="B6" t="str">
            <v>бюджет Автономної Республіки Крим</v>
          </cell>
          <cell r="C6">
            <v>2463.5419999999999</v>
          </cell>
          <cell r="D6">
            <v>5004.6750000000002</v>
          </cell>
          <cell r="E6">
            <v>4874.01</v>
          </cell>
          <cell r="F6">
            <v>6713.2</v>
          </cell>
          <cell r="G6">
            <v>5483.6</v>
          </cell>
        </row>
        <row r="7">
          <cell r="A7" t="str">
            <v>О2100000000</v>
          </cell>
          <cell r="B7" t="str">
            <v>обласний бюджет Вiнницької області</v>
          </cell>
          <cell r="C7">
            <v>5585.9549999999999</v>
          </cell>
          <cell r="D7">
            <v>5130.4480000000003</v>
          </cell>
          <cell r="E7">
            <v>5614.5339999999997</v>
          </cell>
          <cell r="F7">
            <v>7821.4</v>
          </cell>
          <cell r="G7">
            <v>4676.6000000000004</v>
          </cell>
        </row>
        <row r="8">
          <cell r="A8" t="str">
            <v>О3100000000</v>
          </cell>
          <cell r="B8" t="str">
            <v>обласний бюджет Волинської області</v>
          </cell>
          <cell r="C8">
            <v>3419.413</v>
          </cell>
          <cell r="D8">
            <v>4547.1629999999996</v>
          </cell>
          <cell r="E8">
            <v>4267.8410000000003</v>
          </cell>
          <cell r="F8">
            <v>5180.2</v>
          </cell>
          <cell r="G8">
            <v>3258.4</v>
          </cell>
        </row>
        <row r="9">
          <cell r="A9" t="str">
            <v>О4100000000</v>
          </cell>
          <cell r="B9" t="str">
            <v>обласний бюджет Днiпропетровської області</v>
          </cell>
          <cell r="C9">
            <v>8288.7270000000008</v>
          </cell>
          <cell r="D9">
            <v>20991.351999999999</v>
          </cell>
          <cell r="E9">
            <v>16903.654999999999</v>
          </cell>
          <cell r="F9">
            <v>23535.787</v>
          </cell>
          <cell r="G9">
            <v>12935.2</v>
          </cell>
        </row>
        <row r="10">
          <cell r="A10" t="str">
            <v>О5100000000</v>
          </cell>
          <cell r="B10" t="str">
            <v>обласний бюджет Донецької області</v>
          </cell>
          <cell r="C10">
            <v>11729.522000000001</v>
          </cell>
          <cell r="D10">
            <v>19530.755000000001</v>
          </cell>
          <cell r="E10">
            <v>19355.436000000002</v>
          </cell>
          <cell r="F10">
            <v>26008.7</v>
          </cell>
          <cell r="G10">
            <v>15778.6</v>
          </cell>
        </row>
        <row r="11">
          <cell r="A11" t="str">
            <v>О6100000000</v>
          </cell>
          <cell r="B11" t="str">
            <v>обласний бюджет Житомирської області</v>
          </cell>
          <cell r="C11">
            <v>3202.2750000000001</v>
          </cell>
          <cell r="D11">
            <v>6561.0010000000002</v>
          </cell>
          <cell r="E11">
            <v>5316.2150000000001</v>
          </cell>
          <cell r="F11">
            <v>7407.8</v>
          </cell>
          <cell r="G11">
            <v>4605.7</v>
          </cell>
        </row>
        <row r="12">
          <cell r="A12" t="str">
            <v>О7100000000</v>
          </cell>
          <cell r="B12" t="str">
            <v>обласний бюджет Закарпатської області</v>
          </cell>
          <cell r="C12">
            <v>1513.9649999999999</v>
          </cell>
          <cell r="D12">
            <v>1806.577</v>
          </cell>
          <cell r="E12">
            <v>4712.2439999999997</v>
          </cell>
          <cell r="F12">
            <v>4277.8</v>
          </cell>
          <cell r="G12">
            <v>1586.9</v>
          </cell>
        </row>
        <row r="13">
          <cell r="A13" t="str">
            <v>О8100000000</v>
          </cell>
          <cell r="B13" t="str">
            <v>обласний бюджет Запорiзької області</v>
          </cell>
          <cell r="C13">
            <v>3867.2069999999999</v>
          </cell>
          <cell r="D13">
            <v>7903.7089999999998</v>
          </cell>
          <cell r="E13">
            <v>7399.4160000000002</v>
          </cell>
          <cell r="F13">
            <v>9874.5</v>
          </cell>
          <cell r="G13">
            <v>7155.4</v>
          </cell>
        </row>
        <row r="14">
          <cell r="A14" t="str">
            <v>О9100000000</v>
          </cell>
          <cell r="B14" t="str">
            <v>обласний бюджет Iвано-Франкiвської області</v>
          </cell>
          <cell r="C14">
            <v>3578.223</v>
          </cell>
          <cell r="D14">
            <v>5867.2309999999998</v>
          </cell>
          <cell r="E14">
            <v>6297.893</v>
          </cell>
          <cell r="F14">
            <v>9563.7000000000007</v>
          </cell>
          <cell r="G14">
            <v>3616.2</v>
          </cell>
        </row>
        <row r="15">
          <cell r="A15">
            <v>10100000000</v>
          </cell>
          <cell r="B15" t="str">
            <v>обласний бюджет Київської області</v>
          </cell>
          <cell r="C15">
            <v>10302.385</v>
          </cell>
          <cell r="D15">
            <v>16146.352999999999</v>
          </cell>
          <cell r="E15">
            <v>13833.255999999999</v>
          </cell>
          <cell r="F15">
            <v>18290.400000000001</v>
          </cell>
          <cell r="G15">
            <v>7404.9</v>
          </cell>
        </row>
        <row r="16">
          <cell r="A16">
            <v>11100000000</v>
          </cell>
          <cell r="B16" t="str">
            <v>обласний бюджет Кiровоградської області</v>
          </cell>
          <cell r="C16">
            <v>3580.96</v>
          </cell>
          <cell r="D16">
            <v>4993.7330000000002</v>
          </cell>
          <cell r="E16">
            <v>3976.05</v>
          </cell>
          <cell r="F16">
            <v>7419.8</v>
          </cell>
          <cell r="G16">
            <v>5284.3</v>
          </cell>
        </row>
        <row r="17">
          <cell r="A17">
            <v>12100000000</v>
          </cell>
          <cell r="B17" t="str">
            <v>обласний бюджет Луганської області</v>
          </cell>
          <cell r="C17">
            <v>2843.239</v>
          </cell>
          <cell r="D17">
            <v>8978.6</v>
          </cell>
          <cell r="E17">
            <v>6927.87</v>
          </cell>
          <cell r="F17">
            <v>9087.1</v>
          </cell>
          <cell r="G17">
            <v>6148.4</v>
          </cell>
        </row>
        <row r="18">
          <cell r="A18">
            <v>13100000000</v>
          </cell>
          <cell r="B18" t="str">
            <v>обласний бюджет Львiвської області</v>
          </cell>
          <cell r="C18">
            <v>13665.8</v>
          </cell>
          <cell r="D18">
            <v>12546.388000000001</v>
          </cell>
          <cell r="E18">
            <v>13924.588</v>
          </cell>
          <cell r="F18">
            <v>16320</v>
          </cell>
          <cell r="G18">
            <v>5542.7</v>
          </cell>
        </row>
        <row r="19">
          <cell r="A19">
            <v>14100000000</v>
          </cell>
          <cell r="B19" t="str">
            <v>обласний бюджет Миколаївської області</v>
          </cell>
          <cell r="C19">
            <v>1582.5519999999999</v>
          </cell>
          <cell r="D19">
            <v>4228.6229999999996</v>
          </cell>
          <cell r="E19">
            <v>4112.8190000000004</v>
          </cell>
          <cell r="F19">
            <v>5079.6000000000004</v>
          </cell>
          <cell r="G19">
            <v>4261.3</v>
          </cell>
        </row>
        <row r="20">
          <cell r="A20">
            <v>15100000000</v>
          </cell>
          <cell r="B20" t="str">
            <v>обласний бюджет Одеської області</v>
          </cell>
          <cell r="C20">
            <v>3570.1010000000001</v>
          </cell>
          <cell r="D20">
            <v>8569.5969999999998</v>
          </cell>
          <cell r="E20">
            <v>7127.8249999999998</v>
          </cell>
          <cell r="F20">
            <v>11636.5</v>
          </cell>
          <cell r="G20">
            <v>10163.4</v>
          </cell>
        </row>
        <row r="21">
          <cell r="A21">
            <v>16100000000</v>
          </cell>
          <cell r="B21" t="str">
            <v>обласний бюджет Полтавської області</v>
          </cell>
          <cell r="C21">
            <v>5666.1139999999996</v>
          </cell>
          <cell r="D21">
            <v>6422.4319999999998</v>
          </cell>
          <cell r="E21">
            <v>7489.7539999999999</v>
          </cell>
          <cell r="F21">
            <v>15258.1</v>
          </cell>
          <cell r="G21">
            <v>5827</v>
          </cell>
        </row>
        <row r="22">
          <cell r="A22">
            <v>17100000000</v>
          </cell>
          <cell r="B22" t="str">
            <v>обласний бюджет Рiвненської області</v>
          </cell>
          <cell r="C22">
            <v>1969.902</v>
          </cell>
          <cell r="D22">
            <v>3336.444</v>
          </cell>
          <cell r="E22">
            <v>5380.4470000000001</v>
          </cell>
          <cell r="F22">
            <v>5543.9</v>
          </cell>
          <cell r="G22">
            <v>2982.7</v>
          </cell>
        </row>
        <row r="23">
          <cell r="A23">
            <v>18100000000</v>
          </cell>
          <cell r="B23" t="str">
            <v>обласний бюджет Сумської області</v>
          </cell>
          <cell r="C23">
            <v>4169.5280000000002</v>
          </cell>
          <cell r="D23">
            <v>3622.9929999999999</v>
          </cell>
          <cell r="E23">
            <v>7895.424</v>
          </cell>
          <cell r="F23">
            <v>8377.1</v>
          </cell>
          <cell r="G23">
            <v>4032.7</v>
          </cell>
        </row>
        <row r="24">
          <cell r="A24">
            <v>19100000000</v>
          </cell>
          <cell r="B24" t="str">
            <v>обласний бюджет Тернопiльської області</v>
          </cell>
          <cell r="C24">
            <v>3701.9160000000002</v>
          </cell>
          <cell r="D24">
            <v>4896.8559999999998</v>
          </cell>
          <cell r="E24">
            <v>5147.2650000000003</v>
          </cell>
          <cell r="F24">
            <v>6839.9</v>
          </cell>
          <cell r="G24">
            <v>1830.2</v>
          </cell>
        </row>
        <row r="25">
          <cell r="A25">
            <v>20100000000</v>
          </cell>
          <cell r="B25" t="str">
            <v>обласний бюджет Харкiвської області</v>
          </cell>
          <cell r="C25">
            <v>8386.9330000000009</v>
          </cell>
          <cell r="D25">
            <v>11698.075000000001</v>
          </cell>
          <cell r="E25">
            <v>14592.047</v>
          </cell>
          <cell r="F25">
            <v>27208.2</v>
          </cell>
          <cell r="G25">
            <v>13691.3</v>
          </cell>
        </row>
        <row r="26">
          <cell r="A26">
            <v>21100000000</v>
          </cell>
          <cell r="B26" t="str">
            <v>обласний бюджет Херсонської області</v>
          </cell>
          <cell r="C26">
            <v>2200.9679999999998</v>
          </cell>
          <cell r="D26">
            <v>3252.5390000000002</v>
          </cell>
          <cell r="E26">
            <v>3255.58</v>
          </cell>
          <cell r="F26">
            <v>5299.7</v>
          </cell>
          <cell r="G26">
            <v>3272.2</v>
          </cell>
        </row>
        <row r="27">
          <cell r="A27">
            <v>22100000000</v>
          </cell>
          <cell r="B27" t="str">
            <v>обласний бюджет Хмельницької області</v>
          </cell>
          <cell r="C27">
            <v>4049.5320000000002</v>
          </cell>
          <cell r="D27">
            <v>6627.4</v>
          </cell>
          <cell r="E27">
            <v>4533.01</v>
          </cell>
          <cell r="F27">
            <v>8290.9</v>
          </cell>
          <cell r="G27">
            <v>5960.3</v>
          </cell>
        </row>
        <row r="28">
          <cell r="A28">
            <v>23100000000</v>
          </cell>
          <cell r="B28" t="str">
            <v>обласний бюджет Черкаської області</v>
          </cell>
          <cell r="C28">
            <v>5316.2910000000002</v>
          </cell>
          <cell r="D28">
            <v>6217.3370000000004</v>
          </cell>
          <cell r="E28">
            <v>6195.89</v>
          </cell>
          <cell r="F28">
            <v>10165</v>
          </cell>
          <cell r="G28">
            <v>4770.5</v>
          </cell>
        </row>
        <row r="29">
          <cell r="A29">
            <v>24100000000</v>
          </cell>
          <cell r="B29" t="str">
            <v>обласний бюджет Чернiвецької області</v>
          </cell>
          <cell r="C29">
            <v>1761.75</v>
          </cell>
          <cell r="D29">
            <v>2010.7829999999999</v>
          </cell>
          <cell r="E29">
            <v>1999.8030000000001</v>
          </cell>
          <cell r="F29">
            <v>3410.4</v>
          </cell>
          <cell r="G29">
            <v>2092.5</v>
          </cell>
        </row>
        <row r="30">
          <cell r="A30">
            <v>25100000000</v>
          </cell>
          <cell r="B30" t="str">
            <v>обласний бюджет Чернiгiвецької області</v>
          </cell>
          <cell r="C30">
            <v>4501.0339999999997</v>
          </cell>
          <cell r="D30">
            <v>5828.5460000000003</v>
          </cell>
          <cell r="E30">
            <v>5312.768</v>
          </cell>
          <cell r="F30">
            <v>8541</v>
          </cell>
          <cell r="G30">
            <v>4831.6000000000004</v>
          </cell>
        </row>
        <row r="31">
          <cell r="A31">
            <v>26000000000</v>
          </cell>
          <cell r="B31" t="str">
            <v>м.Київ</v>
          </cell>
          <cell r="C31">
            <v>4478.4290000000001</v>
          </cell>
          <cell r="D31">
            <v>7686.2479999999996</v>
          </cell>
          <cell r="E31">
            <v>8581.6080000000002</v>
          </cell>
          <cell r="F31">
            <v>12592.5</v>
          </cell>
          <cell r="G31">
            <v>10211.1</v>
          </cell>
        </row>
        <row r="32">
          <cell r="A32">
            <v>27000000000</v>
          </cell>
          <cell r="B32" t="str">
            <v>м.Севастополь</v>
          </cell>
          <cell r="C32">
            <v>656.43700000000001</v>
          </cell>
          <cell r="D32">
            <v>1870.8869999999999</v>
          </cell>
          <cell r="E32">
            <v>1073.652</v>
          </cell>
          <cell r="F32">
            <v>1527.6130000000001</v>
          </cell>
          <cell r="G32">
            <v>1254.8</v>
          </cell>
        </row>
        <row r="33">
          <cell r="B33" t="str">
            <v xml:space="preserve">Всього </v>
          </cell>
          <cell r="C33">
            <v>126052.70000000001</v>
          </cell>
          <cell r="D33">
            <v>196276.74499999997</v>
          </cell>
          <cell r="E33">
            <v>196100.90000000005</v>
          </cell>
          <cell r="F33">
            <v>281270.80000000005</v>
          </cell>
          <cell r="G33">
            <v>158658.49999999997</v>
          </cell>
        </row>
        <row r="38">
          <cell r="C38">
            <v>126052.7</v>
          </cell>
          <cell r="D38">
            <v>196276.74499999997</v>
          </cell>
          <cell r="E38">
            <v>196100.9</v>
          </cell>
          <cell r="F38">
            <v>281270.8</v>
          </cell>
          <cell r="G38">
            <v>158658.5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Ener "/>
      <sheetName val="Лист1"/>
      <sheetName val="ТРП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  <sheetName val="БАЗА  "/>
      <sheetName val="7  інші витрати"/>
    </sheetNames>
    <sheetDataSet>
      <sheetData sheetId="0" refreshError="1">
        <row r="1">
          <cell r="D1" t="str">
            <v>Баланс грошових доходiв i витрат населення Украјни у</v>
          </cell>
          <cell r="K1" t="str">
            <v>GOD</v>
          </cell>
        </row>
        <row r="2">
          <cell r="K2">
            <v>1993</v>
          </cell>
          <cell r="L2" t="str">
            <v>роцi</v>
          </cell>
        </row>
        <row r="3">
          <cell r="N3" t="str">
            <v>(млрд.крб)</v>
          </cell>
        </row>
        <row r="5">
          <cell r="A5" t="str">
            <v>А. ГРОШОВI ДОХОДИ</v>
          </cell>
        </row>
        <row r="6">
          <cell r="A6" t="str">
            <v>1.Заробiтна плата</v>
          </cell>
        </row>
        <row r="7">
          <cell r="A7" t="str">
            <v>2.Оплата працi робiтникiв</v>
          </cell>
        </row>
        <row r="8">
          <cell r="A8" t="str">
            <v xml:space="preserve">  кооперативiв</v>
          </cell>
        </row>
        <row r="9">
          <cell r="A9" t="str">
            <v>3.Доходи робiтникiв та служ-</v>
          </cell>
        </row>
        <row r="10">
          <cell r="A10" t="str">
            <v xml:space="preserve">  бовцiв вiд пiдприїмств та</v>
          </cell>
        </row>
        <row r="11">
          <cell r="A11" t="str">
            <v xml:space="preserve">  органiзацiй крiм зар.плати</v>
          </cell>
        </row>
        <row r="12">
          <cell r="A12" t="str">
            <v xml:space="preserve">4.Грошовi доходи вiд   </v>
          </cell>
        </row>
        <row r="13">
          <cell r="A13" t="str">
            <v xml:space="preserve">  колгоспiв            </v>
          </cell>
        </row>
        <row r="14">
          <cell r="A14" t="str">
            <v>5.Надходження вiд продажу</v>
          </cell>
        </row>
        <row r="15">
          <cell r="A15" t="str">
            <v xml:space="preserve">  продуктiв сiльсьгого госп.</v>
          </cell>
        </row>
        <row r="16">
          <cell r="A16" t="str">
            <v>Всього трудових доходiв</v>
          </cell>
        </row>
        <row r="17">
          <cell r="A17" t="str">
            <v>(рядки 1+2+3+4+5)</v>
          </cell>
        </row>
        <row r="18">
          <cell r="A18" t="str">
            <v>6.Пенсiј, допомоги,стипендiј</v>
          </cell>
        </row>
        <row r="19">
          <cell r="A19" t="str">
            <v xml:space="preserve">  та iншi надходження</v>
          </cell>
        </row>
        <row r="20">
          <cell r="A20" t="str">
            <v xml:space="preserve">     в тому числi:</v>
          </cell>
        </row>
        <row r="21">
          <cell r="A21" t="str">
            <v xml:space="preserve"> пенсiј, допомоги, стипендiј</v>
          </cell>
        </row>
        <row r="22">
          <cell r="A22" t="str">
            <v>Баланс</v>
          </cell>
        </row>
        <row r="23">
          <cell r="A23" t="str">
            <v>Б.ВИТРАТИ ТА ЗАОЩАДЖЕННЯ</v>
          </cell>
        </row>
        <row r="24">
          <cell r="A24" t="str">
            <v>1.Покупка товарiв та оплата</v>
          </cell>
        </row>
        <row r="25">
          <cell r="A25" t="str">
            <v xml:space="preserve">  послуг</v>
          </cell>
        </row>
        <row r="26">
          <cell r="A26" t="str">
            <v xml:space="preserve">    в тому числi:</v>
          </cell>
        </row>
        <row r="27">
          <cell r="A27" t="str">
            <v xml:space="preserve"> покупка товарiв       </v>
          </cell>
        </row>
        <row r="28">
          <cell r="A28" t="str">
            <v xml:space="preserve"> оплата послуг         </v>
          </cell>
        </row>
        <row r="29">
          <cell r="A29" t="str">
            <v>2.Обов'язковi платежi та</v>
          </cell>
        </row>
        <row r="30">
          <cell r="A30" t="str">
            <v xml:space="preserve">  добровiльнi внески</v>
          </cell>
        </row>
        <row r="31">
          <cell r="A31" t="str">
            <v xml:space="preserve">       iз них:</v>
          </cell>
        </row>
        <row r="32">
          <cell r="A32" t="str">
            <v xml:space="preserve"> прибутковий податок з </v>
          </cell>
        </row>
        <row r="33">
          <cell r="A33" t="str">
            <v xml:space="preserve"> населення             </v>
          </cell>
        </row>
        <row r="34">
          <cell r="A34" t="str">
            <v>3.Прирiст вкладiв,придбання</v>
          </cell>
        </row>
        <row r="35">
          <cell r="A35" t="str">
            <v xml:space="preserve">  облiгацiй Державној внутр.</v>
          </cell>
        </row>
        <row r="36">
          <cell r="A36" t="str">
            <v xml:space="preserve">  позики,iнш.цiнних паперiв  </v>
          </cell>
        </row>
        <row r="37">
          <cell r="A37" t="str">
            <v>Всього</v>
          </cell>
        </row>
        <row r="38">
          <cell r="A38" t="str">
            <v xml:space="preserve">В. Перевищення доходiв над </v>
          </cell>
        </row>
        <row r="39">
          <cell r="A39" t="str">
            <v xml:space="preserve">   витратами</v>
          </cell>
        </row>
        <row r="40">
          <cell r="A40" t="str">
            <v>Баланс</v>
          </cell>
        </row>
        <row r="41">
          <cell r="A41" t="str">
            <v>_x000C_</v>
          </cell>
        </row>
        <row r="46">
          <cell r="A46" t="str">
            <v>А. ГРОШОВI ДОХОДИ</v>
          </cell>
        </row>
        <row r="47">
          <cell r="A47" t="str">
            <v>1.Заробiтна плата</v>
          </cell>
        </row>
        <row r="48">
          <cell r="A48" t="str">
            <v>2.Оплата працi робiтникiв</v>
          </cell>
        </row>
        <row r="49">
          <cell r="A49" t="str">
            <v xml:space="preserve">  кооперативiв</v>
          </cell>
        </row>
        <row r="50">
          <cell r="A50" t="str">
            <v>3.Доходи робiтникiв та служ-</v>
          </cell>
        </row>
        <row r="51">
          <cell r="A51" t="str">
            <v xml:space="preserve">  бовцiв вiд пiдприїмств та</v>
          </cell>
        </row>
        <row r="52">
          <cell r="A52" t="str">
            <v xml:space="preserve">  органiзацiй крiм зар.плати</v>
          </cell>
        </row>
        <row r="53">
          <cell r="A53" t="str">
            <v xml:space="preserve">4.Грошовi доходи вiд   </v>
          </cell>
        </row>
        <row r="54">
          <cell r="A54" t="str">
            <v xml:space="preserve">  колгоспiв            </v>
          </cell>
        </row>
        <row r="55">
          <cell r="A55" t="str">
            <v>5.Надходження вiд продажу</v>
          </cell>
        </row>
        <row r="56">
          <cell r="A56" t="str">
            <v xml:space="preserve">  продуктiв сiльсьгого госп.</v>
          </cell>
        </row>
        <row r="57">
          <cell r="A57" t="str">
            <v>Всього трудових доходiв</v>
          </cell>
        </row>
        <row r="58">
          <cell r="A58" t="str">
            <v>(рядки 1+2+3+4+5)</v>
          </cell>
        </row>
        <row r="59">
          <cell r="A59" t="str">
            <v>6.Пенсiј, допомоги,стипендiј</v>
          </cell>
        </row>
        <row r="60">
          <cell r="A60" t="str">
            <v xml:space="preserve">  та iншi надходження</v>
          </cell>
        </row>
        <row r="61">
          <cell r="A61" t="str">
            <v xml:space="preserve">     в тому числi:</v>
          </cell>
        </row>
        <row r="62">
          <cell r="A62" t="str">
            <v xml:space="preserve"> пенсiј, допомоги, стипендiј</v>
          </cell>
        </row>
        <row r="63">
          <cell r="A63" t="str">
            <v>Баланс</v>
          </cell>
        </row>
        <row r="64">
          <cell r="A64" t="str">
            <v>Б.ВИТРАТИ ТА ЗАОЩАДЖЕННЯ</v>
          </cell>
        </row>
        <row r="65">
          <cell r="A65" t="str">
            <v>1.Покупка товарiв та оплата</v>
          </cell>
        </row>
        <row r="66">
          <cell r="A66" t="str">
            <v xml:space="preserve">  послуг</v>
          </cell>
        </row>
        <row r="67">
          <cell r="A67" t="str">
            <v xml:space="preserve">    в тому числi:</v>
          </cell>
        </row>
        <row r="68">
          <cell r="A68" t="str">
            <v xml:space="preserve"> покупка товарiв       </v>
          </cell>
        </row>
        <row r="69">
          <cell r="A69" t="str">
            <v xml:space="preserve"> оплата послуг         </v>
          </cell>
        </row>
        <row r="70">
          <cell r="A70" t="str">
            <v>2.Обов'язковi платежi та</v>
          </cell>
        </row>
        <row r="71">
          <cell r="A71" t="str">
            <v xml:space="preserve">  добровiльнi внески</v>
          </cell>
        </row>
        <row r="72">
          <cell r="A72" t="str">
            <v xml:space="preserve">       iз них:</v>
          </cell>
        </row>
        <row r="73">
          <cell r="A73" t="str">
            <v xml:space="preserve"> прибутковий податок з </v>
          </cell>
        </row>
        <row r="74">
          <cell r="A74" t="str">
            <v xml:space="preserve"> населення             </v>
          </cell>
        </row>
        <row r="75">
          <cell r="A75" t="str">
            <v>3.Прирiст вкладiв,придбання</v>
          </cell>
        </row>
        <row r="76">
          <cell r="A76" t="str">
            <v xml:space="preserve">  облiгацiй Державној внутр.</v>
          </cell>
        </row>
        <row r="77">
          <cell r="A77" t="str">
            <v xml:space="preserve">  позики,iнш.цiнних паперiв  </v>
          </cell>
        </row>
        <row r="78">
          <cell r="A78" t="str">
            <v>Всього</v>
          </cell>
        </row>
        <row r="79">
          <cell r="A79" t="str">
            <v xml:space="preserve">В. Перевищення доходiв над </v>
          </cell>
        </row>
        <row r="80">
          <cell r="A80" t="str">
            <v xml:space="preserve">   витратами</v>
          </cell>
        </row>
        <row r="81">
          <cell r="A81" t="str">
            <v>Баланс</v>
          </cell>
        </row>
        <row r="82">
          <cell r="A82" t="str">
            <v xml:space="preserve">        Довiдково: чисельнiсть населення в</v>
          </cell>
        </row>
        <row r="83">
          <cell r="A83" t="str">
            <v>_x000C_</v>
          </cell>
        </row>
        <row r="88">
          <cell r="A88" t="str">
            <v>А. ГРОШОВI ДОХОДИ</v>
          </cell>
        </row>
        <row r="89">
          <cell r="A89" t="str">
            <v>1.Заробiтна плата</v>
          </cell>
        </row>
        <row r="90">
          <cell r="A90" t="str">
            <v>2.Оплата працi робiтникiв</v>
          </cell>
        </row>
        <row r="91">
          <cell r="A91" t="str">
            <v xml:space="preserve">  кооперативiв</v>
          </cell>
        </row>
        <row r="92">
          <cell r="A92" t="str">
            <v>3.Доходи робiтникiв та служ-</v>
          </cell>
        </row>
        <row r="93">
          <cell r="A93" t="str">
            <v xml:space="preserve">  бовцiв вiд пiдприїмств та</v>
          </cell>
        </row>
        <row r="94">
          <cell r="A94" t="str">
            <v xml:space="preserve">  органiзацiй крiм зар.плати</v>
          </cell>
        </row>
        <row r="95">
          <cell r="A95" t="str">
            <v xml:space="preserve">4.Грошовi доходи вiд   </v>
          </cell>
        </row>
        <row r="96">
          <cell r="A96" t="str">
            <v xml:space="preserve">  колгоспiв            </v>
          </cell>
        </row>
        <row r="97">
          <cell r="A97" t="str">
            <v>5.Надходження вiд продажу</v>
          </cell>
        </row>
        <row r="98">
          <cell r="A98" t="str">
            <v xml:space="preserve">  продуктiв сiльсьгого госп.</v>
          </cell>
        </row>
        <row r="99">
          <cell r="A99" t="str">
            <v>Всього трудових доходiв</v>
          </cell>
        </row>
        <row r="100">
          <cell r="A100" t="str">
            <v>(рядки 1+2+3+4+5)</v>
          </cell>
        </row>
        <row r="101">
          <cell r="A101" t="str">
            <v>6.Пенсiј, допомоги,стипендiј</v>
          </cell>
        </row>
        <row r="102">
          <cell r="A102" t="str">
            <v xml:space="preserve">  та iншi надходження</v>
          </cell>
        </row>
        <row r="103">
          <cell r="A103" t="str">
            <v xml:space="preserve">     в тому числi:</v>
          </cell>
        </row>
        <row r="104">
          <cell r="A104" t="str">
            <v xml:space="preserve"> пенсiј, допомоги, стипендiј</v>
          </cell>
        </row>
        <row r="105">
          <cell r="A105" t="str">
            <v>Баланс</v>
          </cell>
        </row>
        <row r="106">
          <cell r="A106" t="str">
            <v>Б.ВИТРАТИ ТА ЗАОЩАДЖЕННЯ</v>
          </cell>
        </row>
        <row r="107">
          <cell r="A107" t="str">
            <v>1.Покупка товарiв та оплата</v>
          </cell>
        </row>
        <row r="108">
          <cell r="A108" t="str">
            <v xml:space="preserve">  послуг</v>
          </cell>
        </row>
        <row r="109">
          <cell r="A109" t="str">
            <v xml:space="preserve">    в тому числi:</v>
          </cell>
        </row>
        <row r="110">
          <cell r="A110" t="str">
            <v xml:space="preserve"> покупка товарiв       </v>
          </cell>
        </row>
        <row r="111">
          <cell r="A111" t="str">
            <v xml:space="preserve"> оплата послуг         </v>
          </cell>
        </row>
        <row r="112">
          <cell r="A112" t="str">
            <v>2.Обов'язковi платежi та</v>
          </cell>
        </row>
        <row r="113">
          <cell r="A113" t="str">
            <v xml:space="preserve">  добровiльнi внески</v>
          </cell>
        </row>
        <row r="114">
          <cell r="A114" t="str">
            <v xml:space="preserve">       iз них:</v>
          </cell>
        </row>
        <row r="115">
          <cell r="A115" t="str">
            <v xml:space="preserve"> прибутковий податок з </v>
          </cell>
        </row>
        <row r="116">
          <cell r="A116" t="str">
            <v xml:space="preserve"> населення             </v>
          </cell>
        </row>
        <row r="117">
          <cell r="A117" t="str">
            <v>3.Прирiст вкладiв,придбання</v>
          </cell>
        </row>
        <row r="118">
          <cell r="A118" t="str">
            <v xml:space="preserve">  облiгацiй Державној внутр.</v>
          </cell>
        </row>
        <row r="119">
          <cell r="A119" t="str">
            <v xml:space="preserve">  позики,iнш.цiнних паперiв  </v>
          </cell>
        </row>
        <row r="120">
          <cell r="A120" t="str">
            <v>Всього</v>
          </cell>
        </row>
        <row r="121">
          <cell r="A121" t="str">
            <v xml:space="preserve">В. Перевищення доходiв над </v>
          </cell>
        </row>
        <row r="122">
          <cell r="A122" t="str">
            <v xml:space="preserve">   витратами</v>
          </cell>
        </row>
        <row r="123">
          <cell r="A123" t="str">
            <v>Баланс</v>
          </cell>
        </row>
        <row r="124">
          <cell r="A124" t="str">
            <v>_x000C_</v>
          </cell>
        </row>
        <row r="130">
          <cell r="A130" t="str">
            <v>А. ГРОШОВI ДОХОДИ</v>
          </cell>
        </row>
        <row r="131">
          <cell r="A131" t="str">
            <v>1.Заробiтна плата</v>
          </cell>
        </row>
        <row r="132">
          <cell r="A132" t="str">
            <v>2.Оплата працi робiтникiв</v>
          </cell>
        </row>
        <row r="133">
          <cell r="A133" t="str">
            <v xml:space="preserve">  кооперативiв</v>
          </cell>
        </row>
        <row r="134">
          <cell r="A134" t="str">
            <v>3.Доходи робiтникiв та служ-</v>
          </cell>
        </row>
        <row r="135">
          <cell r="A135" t="str">
            <v xml:space="preserve">  бовцiв вiд пiдприїмств та</v>
          </cell>
        </row>
        <row r="136">
          <cell r="A136" t="str">
            <v xml:space="preserve">  органiзацiй крiм зар.плати</v>
          </cell>
        </row>
        <row r="137">
          <cell r="A137" t="str">
            <v xml:space="preserve">4.Грошовi доходи вiд   </v>
          </cell>
        </row>
        <row r="138">
          <cell r="A138" t="str">
            <v xml:space="preserve">  колгоспiв            </v>
          </cell>
        </row>
        <row r="139">
          <cell r="A139" t="str">
            <v>5.Надходження вiд продажу</v>
          </cell>
        </row>
        <row r="140">
          <cell r="A140" t="str">
            <v xml:space="preserve">  продуктiв сiльсьгого госп.</v>
          </cell>
        </row>
        <row r="141">
          <cell r="A141" t="str">
            <v>Всього трудових доходiв</v>
          </cell>
        </row>
        <row r="142">
          <cell r="A142" t="str">
            <v>(рядки 1+2+3+4+5)</v>
          </cell>
        </row>
        <row r="143">
          <cell r="A143" t="str">
            <v>6.Пенсiј, допомоги,стипендiј</v>
          </cell>
        </row>
        <row r="144">
          <cell r="A144" t="str">
            <v xml:space="preserve">  та iншi надходження</v>
          </cell>
        </row>
        <row r="145">
          <cell r="A145" t="str">
            <v xml:space="preserve">     в тому числi:</v>
          </cell>
        </row>
        <row r="146">
          <cell r="A146" t="str">
            <v xml:space="preserve"> пенсiј, допомоги, стипендiј</v>
          </cell>
        </row>
        <row r="147">
          <cell r="A147" t="str">
            <v>Баланс</v>
          </cell>
        </row>
        <row r="148">
          <cell r="A148" t="str">
            <v>Б.ВИТРАТИ ТА ЗАОЩАДЖЕННЯ</v>
          </cell>
        </row>
        <row r="149">
          <cell r="A149" t="str">
            <v>1.Покупка товарiв та оплата</v>
          </cell>
        </row>
        <row r="150">
          <cell r="A150" t="str">
            <v xml:space="preserve">  послуг</v>
          </cell>
        </row>
        <row r="151">
          <cell r="A151" t="str">
            <v xml:space="preserve">    в тому числi:</v>
          </cell>
        </row>
        <row r="152">
          <cell r="A152" t="str">
            <v xml:space="preserve"> покупка товарiв       </v>
          </cell>
        </row>
        <row r="153">
          <cell r="A153" t="str">
            <v xml:space="preserve"> оплата послуг         </v>
          </cell>
        </row>
        <row r="154">
          <cell r="A154" t="str">
            <v>2.Обов'язковi платежi та</v>
          </cell>
        </row>
        <row r="155">
          <cell r="A155" t="str">
            <v xml:space="preserve">  добровiльнi внески</v>
          </cell>
        </row>
        <row r="156">
          <cell r="A156" t="str">
            <v xml:space="preserve">       iз них:</v>
          </cell>
        </row>
        <row r="157">
          <cell r="A157" t="str">
            <v xml:space="preserve"> прибутковий податок з </v>
          </cell>
        </row>
        <row r="158">
          <cell r="A158" t="str">
            <v xml:space="preserve"> населення             </v>
          </cell>
        </row>
        <row r="159">
          <cell r="A159" t="str">
            <v>3.Прирiст вкладiв,придбання</v>
          </cell>
        </row>
        <row r="160">
          <cell r="A160" t="str">
            <v xml:space="preserve">  облiгацiй Державној внутр.</v>
          </cell>
        </row>
        <row r="161">
          <cell r="A161" t="str">
            <v xml:space="preserve">  позики,iнш.цiнних паперiв  </v>
          </cell>
        </row>
        <row r="162">
          <cell r="A162" t="str">
            <v>Всього</v>
          </cell>
        </row>
        <row r="163">
          <cell r="A163" t="str">
            <v xml:space="preserve">В. Перевищення доходiв над </v>
          </cell>
        </row>
        <row r="164">
          <cell r="A164" t="str">
            <v xml:space="preserve">   витратами</v>
          </cell>
        </row>
        <row r="165">
          <cell r="A165" t="str">
            <v>Баланс</v>
          </cell>
        </row>
        <row r="166">
          <cell r="A166" t="str">
            <v>_x000C_</v>
          </cell>
        </row>
      </sheetData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1"/>
      <sheetName val="consolidation hq formatted"/>
    </sheetNames>
    <sheetDataSet>
      <sheetData sheetId="0" refreshError="1"/>
      <sheetData sheetId="1" refreshError="1">
        <row r="6">
          <cell r="E6" t="str">
            <v>31 декабря 2005 года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Технич лист"/>
      <sheetName val="МТР Газ України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МТР Газ України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</sheetNames>
    <sheetDataSet>
      <sheetData sheetId="0" refreshError="1"/>
      <sheetData sheetId="1" refreshError="1">
        <row r="2">
          <cell r="G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  <sheetName val="Infor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1993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Лист2"/>
      <sheetName val="МТР Газ України"/>
    </sheetNames>
    <sheetDataSet>
      <sheetData sheetId="0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МТР Газ України"/>
    </sheetNames>
    <sheetDataSet>
      <sheetData sheetId="0" refreshError="1"/>
      <sheetData sheetId="1" refreshError="1">
        <row r="2">
          <cell r="F2" t="str">
            <v>Компания "Мама"</v>
          </cell>
          <cell r="G2">
            <v>0</v>
          </cell>
        </row>
        <row r="5">
          <cell r="E5" t="str">
            <v>01 января 2005 года</v>
          </cell>
        </row>
        <row r="6">
          <cell r="E6" t="str">
            <v>31 декабря 2005 года</v>
          </cell>
        </row>
        <row r="38">
          <cell r="E38" t="str">
            <v>тыс. грн.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  <sheetName val="Inform"/>
      <sheetName val="1_Структура по елементах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A1:Q248"/>
  <sheetViews>
    <sheetView tabSelected="1" view="pageBreakPreview" topLeftCell="A61" zoomScale="60" zoomScaleNormal="60" workbookViewId="0">
      <selection activeCell="F81" sqref="F81"/>
    </sheetView>
  </sheetViews>
  <sheetFormatPr defaultColWidth="9.1796875" defaultRowHeight="23"/>
  <cols>
    <col min="1" max="1" width="72.54296875" style="40" customWidth="1"/>
    <col min="2" max="2" width="17.1796875" style="87" customWidth="1"/>
    <col min="3" max="4" width="25.26953125" style="224" customWidth="1"/>
    <col min="5" max="5" width="23.453125" style="224" customWidth="1"/>
    <col min="6" max="6" width="23.81640625" style="224" customWidth="1"/>
    <col min="7" max="7" width="22.453125" style="87" customWidth="1"/>
    <col min="8" max="8" width="10" style="40" customWidth="1"/>
    <col min="9" max="9" width="9.54296875" style="40" customWidth="1"/>
    <col min="10" max="16384" width="9.1796875" style="40"/>
  </cols>
  <sheetData>
    <row r="1" spans="1:11" ht="23.25" customHeight="1">
      <c r="B1" s="90"/>
      <c r="D1" s="162"/>
      <c r="E1" s="162" t="s">
        <v>239</v>
      </c>
      <c r="F1" s="162"/>
      <c r="G1" s="40"/>
      <c r="H1" s="91"/>
      <c r="I1" s="91"/>
      <c r="J1" s="91"/>
      <c r="K1" s="91"/>
    </row>
    <row r="2" spans="1:11" ht="18.75" customHeight="1">
      <c r="A2" s="92"/>
      <c r="D2" s="163"/>
      <c r="E2" s="282" t="s">
        <v>356</v>
      </c>
      <c r="F2" s="282"/>
      <c r="G2" s="282"/>
      <c r="H2" s="91"/>
      <c r="I2" s="91"/>
      <c r="J2" s="91"/>
      <c r="K2" s="91"/>
    </row>
    <row r="3" spans="1:11" ht="18.75" customHeight="1">
      <c r="A3" s="87"/>
      <c r="C3" s="163"/>
      <c r="D3" s="163"/>
      <c r="E3" s="282"/>
      <c r="F3" s="282"/>
      <c r="G3" s="282"/>
      <c r="H3" s="91"/>
      <c r="I3" s="91"/>
      <c r="J3" s="91"/>
      <c r="K3" s="91"/>
    </row>
    <row r="4" spans="1:11" ht="18.75" customHeight="1">
      <c r="A4" s="87"/>
      <c r="C4" s="163"/>
      <c r="D4" s="163"/>
      <c r="E4" s="282"/>
      <c r="F4" s="282"/>
      <c r="G4" s="282"/>
      <c r="H4" s="91"/>
      <c r="I4" s="91"/>
      <c r="J4" s="91"/>
      <c r="K4" s="91"/>
    </row>
    <row r="5" spans="1:11" ht="71.25" customHeight="1">
      <c r="B5" s="95"/>
      <c r="C5" s="230"/>
      <c r="E5" s="283"/>
      <c r="F5" s="283"/>
      <c r="G5" s="283"/>
    </row>
    <row r="6" spans="1:11" ht="25.5" customHeight="1">
      <c r="A6" s="96"/>
      <c r="B6" s="277"/>
      <c r="C6" s="277"/>
      <c r="D6" s="277"/>
      <c r="E6" s="164"/>
      <c r="F6" s="232" t="s">
        <v>138</v>
      </c>
      <c r="G6" s="89" t="s">
        <v>260</v>
      </c>
    </row>
    <row r="7" spans="1:11" ht="25.5" customHeight="1">
      <c r="A7" s="97" t="s">
        <v>14</v>
      </c>
      <c r="B7" s="277" t="s">
        <v>548</v>
      </c>
      <c r="C7" s="277"/>
      <c r="D7" s="277"/>
      <c r="E7" s="165"/>
      <c r="F7" s="233" t="s">
        <v>131</v>
      </c>
      <c r="G7" s="156" t="s">
        <v>549</v>
      </c>
    </row>
    <row r="8" spans="1:11" ht="25.5" customHeight="1">
      <c r="A8" s="96" t="s">
        <v>15</v>
      </c>
      <c r="B8" s="277" t="s">
        <v>389</v>
      </c>
      <c r="C8" s="277"/>
      <c r="D8" s="277"/>
      <c r="E8" s="164"/>
      <c r="F8" s="233" t="s">
        <v>130</v>
      </c>
      <c r="G8" s="89"/>
    </row>
    <row r="9" spans="1:11" ht="25.5" customHeight="1">
      <c r="A9" s="96" t="s">
        <v>19</v>
      </c>
      <c r="B9" s="277"/>
      <c r="C9" s="277"/>
      <c r="D9" s="277"/>
      <c r="E9" s="164"/>
      <c r="F9" s="233" t="s">
        <v>129</v>
      </c>
      <c r="G9" s="89">
        <v>1210136600</v>
      </c>
    </row>
    <row r="10" spans="1:11" ht="25.5" customHeight="1">
      <c r="A10" s="97" t="s">
        <v>380</v>
      </c>
      <c r="B10" s="277" t="s">
        <v>390</v>
      </c>
      <c r="C10" s="277"/>
      <c r="D10" s="277"/>
      <c r="E10" s="278"/>
      <c r="F10" s="233" t="s">
        <v>9</v>
      </c>
      <c r="G10" s="89">
        <v>1009</v>
      </c>
    </row>
    <row r="11" spans="1:11" ht="25.5" customHeight="1">
      <c r="A11" s="97" t="s">
        <v>17</v>
      </c>
      <c r="B11" s="277"/>
      <c r="C11" s="277"/>
      <c r="D11" s="277"/>
      <c r="E11" s="165"/>
      <c r="F11" s="233" t="s">
        <v>8</v>
      </c>
      <c r="G11" s="89">
        <v>90219</v>
      </c>
    </row>
    <row r="12" spans="1:11" ht="48.75" customHeight="1">
      <c r="A12" s="97" t="s">
        <v>16</v>
      </c>
      <c r="B12" s="277" t="s">
        <v>564</v>
      </c>
      <c r="C12" s="277"/>
      <c r="D12" s="277"/>
      <c r="E12" s="278"/>
      <c r="F12" s="233" t="s">
        <v>10</v>
      </c>
      <c r="G12" s="89" t="s">
        <v>563</v>
      </c>
    </row>
    <row r="13" spans="1:11" ht="25.5" customHeight="1">
      <c r="A13" s="97" t="s">
        <v>327</v>
      </c>
      <c r="B13" s="277" t="s">
        <v>391</v>
      </c>
      <c r="C13" s="277"/>
      <c r="D13" s="277"/>
      <c r="E13" s="279" t="s">
        <v>193</v>
      </c>
      <c r="F13" s="280"/>
      <c r="G13" s="98"/>
    </row>
    <row r="14" spans="1:11" ht="25.5" customHeight="1">
      <c r="A14" s="97" t="s">
        <v>20</v>
      </c>
      <c r="B14" s="277" t="s">
        <v>389</v>
      </c>
      <c r="C14" s="277"/>
      <c r="D14" s="277"/>
      <c r="E14" s="279" t="s">
        <v>194</v>
      </c>
      <c r="F14" s="300"/>
      <c r="G14" s="98"/>
    </row>
    <row r="15" spans="1:11" ht="25.5" customHeight="1">
      <c r="A15" s="97" t="s">
        <v>105</v>
      </c>
      <c r="B15" s="277">
        <v>130</v>
      </c>
      <c r="C15" s="277"/>
      <c r="D15" s="277"/>
      <c r="E15" s="166"/>
      <c r="F15" s="166"/>
      <c r="G15" s="99"/>
    </row>
    <row r="16" spans="1:11" ht="25.5" customHeight="1">
      <c r="A16" s="96" t="s">
        <v>11</v>
      </c>
      <c r="B16" s="277" t="s">
        <v>392</v>
      </c>
      <c r="C16" s="277"/>
      <c r="D16" s="277"/>
      <c r="E16" s="167"/>
      <c r="F16" s="167"/>
      <c r="G16" s="100"/>
    </row>
    <row r="17" spans="1:17" ht="25.5" customHeight="1">
      <c r="A17" s="97" t="s">
        <v>12</v>
      </c>
      <c r="B17" s="277" t="s">
        <v>393</v>
      </c>
      <c r="C17" s="277"/>
      <c r="D17" s="277"/>
      <c r="E17" s="166"/>
      <c r="F17" s="166"/>
      <c r="G17" s="99"/>
    </row>
    <row r="18" spans="1:17" ht="25.5" customHeight="1">
      <c r="A18" s="96" t="s">
        <v>13</v>
      </c>
      <c r="B18" s="277" t="s">
        <v>565</v>
      </c>
      <c r="C18" s="277"/>
      <c r="D18" s="277"/>
      <c r="E18" s="167"/>
      <c r="F18" s="167"/>
      <c r="G18" s="100"/>
    </row>
    <row r="19" spans="1:17" ht="13.5" customHeight="1">
      <c r="A19" s="101"/>
      <c r="B19" s="40"/>
      <c r="C19" s="162"/>
      <c r="D19" s="162"/>
      <c r="E19" s="162"/>
      <c r="F19" s="162"/>
      <c r="G19" s="40"/>
    </row>
    <row r="20" spans="1:17" ht="46.5" customHeight="1">
      <c r="A20" s="290" t="s">
        <v>240</v>
      </c>
      <c r="B20" s="290"/>
      <c r="C20" s="290"/>
      <c r="D20" s="290"/>
      <c r="E20" s="290"/>
      <c r="F20" s="290"/>
      <c r="G20" s="290"/>
    </row>
    <row r="21" spans="1:17" ht="27.5">
      <c r="A21" s="290" t="s">
        <v>379</v>
      </c>
      <c r="B21" s="290"/>
      <c r="C21" s="290"/>
      <c r="D21" s="290"/>
      <c r="E21" s="290"/>
      <c r="F21" s="290"/>
      <c r="G21" s="290"/>
    </row>
    <row r="22" spans="1:17">
      <c r="A22" s="289" t="s">
        <v>605</v>
      </c>
      <c r="B22" s="289"/>
      <c r="C22" s="289"/>
      <c r="D22" s="289"/>
      <c r="E22" s="289"/>
      <c r="F22" s="289"/>
      <c r="G22" s="289"/>
    </row>
    <row r="23" spans="1:17">
      <c r="A23" s="294" t="s">
        <v>354</v>
      </c>
      <c r="B23" s="294"/>
      <c r="C23" s="294"/>
      <c r="D23" s="294"/>
      <c r="E23" s="294"/>
      <c r="F23" s="294"/>
      <c r="G23" s="294"/>
    </row>
    <row r="24" spans="1:17" ht="9" customHeight="1">
      <c r="A24" s="102"/>
      <c r="B24" s="102"/>
      <c r="C24" s="168"/>
      <c r="D24" s="168"/>
      <c r="E24" s="168"/>
      <c r="F24" s="168"/>
      <c r="G24" s="102"/>
    </row>
    <row r="25" spans="1:17">
      <c r="A25" s="289" t="s">
        <v>206</v>
      </c>
      <c r="B25" s="289"/>
      <c r="C25" s="289"/>
      <c r="D25" s="289"/>
      <c r="E25" s="289"/>
      <c r="F25" s="289"/>
      <c r="G25" s="289"/>
    </row>
    <row r="26" spans="1:17" ht="12" customHeight="1">
      <c r="B26" s="103"/>
      <c r="C26" s="169"/>
      <c r="D26" s="169"/>
      <c r="E26" s="169"/>
      <c r="F26" s="169"/>
      <c r="G26" s="103"/>
    </row>
    <row r="27" spans="1:17" ht="43.5" customHeight="1">
      <c r="A27" s="292" t="s">
        <v>287</v>
      </c>
      <c r="B27" s="288" t="s">
        <v>18</v>
      </c>
      <c r="C27" s="298" t="s">
        <v>355</v>
      </c>
      <c r="D27" s="291" t="s">
        <v>353</v>
      </c>
      <c r="E27" s="291"/>
      <c r="F27" s="291"/>
      <c r="G27" s="291"/>
      <c r="Q27" s="40" t="s">
        <v>372</v>
      </c>
    </row>
    <row r="28" spans="1:17" ht="44.25" customHeight="1">
      <c r="A28" s="292"/>
      <c r="B28" s="288"/>
      <c r="C28" s="299"/>
      <c r="D28" s="223" t="s">
        <v>265</v>
      </c>
      <c r="E28" s="223" t="s">
        <v>248</v>
      </c>
      <c r="F28" s="223" t="s">
        <v>275</v>
      </c>
      <c r="G28" s="104" t="s">
        <v>276</v>
      </c>
    </row>
    <row r="29" spans="1:17" ht="30" customHeight="1">
      <c r="A29" s="89">
        <v>1</v>
      </c>
      <c r="B29" s="88">
        <v>2</v>
      </c>
      <c r="C29" s="228">
        <v>3</v>
      </c>
      <c r="D29" s="228">
        <v>4</v>
      </c>
      <c r="E29" s="227">
        <v>5</v>
      </c>
      <c r="F29" s="228">
        <v>6</v>
      </c>
      <c r="G29" s="88">
        <v>7</v>
      </c>
    </row>
    <row r="30" spans="1:17" ht="25" customHeight="1">
      <c r="A30" s="287" t="s">
        <v>98</v>
      </c>
      <c r="B30" s="287"/>
      <c r="C30" s="287"/>
      <c r="D30" s="287"/>
      <c r="E30" s="287"/>
      <c r="F30" s="287"/>
      <c r="G30" s="287"/>
    </row>
    <row r="31" spans="1:17" ht="46">
      <c r="A31" s="105" t="s">
        <v>207</v>
      </c>
      <c r="B31" s="239">
        <f>'1. Фін результат'!B9</f>
        <v>1000</v>
      </c>
      <c r="C31" s="255">
        <f>'1. Фін результат'!C9</f>
        <v>55010</v>
      </c>
      <c r="D31" s="255">
        <f>'1. Фін результат'!D9</f>
        <v>135631</v>
      </c>
      <c r="E31" s="255">
        <f>'1. Фін результат'!E9</f>
        <v>89938</v>
      </c>
      <c r="F31" s="255">
        <f>E31-D31</f>
        <v>-45693</v>
      </c>
      <c r="G31" s="106">
        <f>E31/D31*100</f>
        <v>66.310799153585833</v>
      </c>
    </row>
    <row r="32" spans="1:17" ht="46">
      <c r="A32" s="105" t="s">
        <v>176</v>
      </c>
      <c r="B32" s="239">
        <f>'1. Фін результат'!B13</f>
        <v>1010</v>
      </c>
      <c r="C32" s="255">
        <f>'1. Фін результат'!C13</f>
        <v>50933</v>
      </c>
      <c r="D32" s="255">
        <f>'1. Фін результат'!D13</f>
        <v>128067</v>
      </c>
      <c r="E32" s="255">
        <f>'1. Фін результат'!E13</f>
        <v>94871</v>
      </c>
      <c r="F32" s="255">
        <f t="shared" ref="F32:F44" si="0">E32-D32</f>
        <v>-33196</v>
      </c>
      <c r="G32" s="106">
        <f t="shared" ref="G32:G44" si="1">E32/D32*100</f>
        <v>74.079192922454652</v>
      </c>
    </row>
    <row r="33" spans="1:7">
      <c r="A33" s="107" t="s">
        <v>266</v>
      </c>
      <c r="B33" s="239">
        <f>'1. Фін результат'!B58</f>
        <v>1020</v>
      </c>
      <c r="C33" s="255">
        <f>C31-C32</f>
        <v>4077</v>
      </c>
      <c r="D33" s="255">
        <f>D31-D32</f>
        <v>7564</v>
      </c>
      <c r="E33" s="255">
        <f>E31-E32</f>
        <v>-4933</v>
      </c>
      <c r="F33" s="255">
        <f t="shared" si="0"/>
        <v>-12497</v>
      </c>
      <c r="G33" s="106">
        <f t="shared" si="1"/>
        <v>-65.216816499206772</v>
      </c>
    </row>
    <row r="34" spans="1:7">
      <c r="A34" s="105" t="s">
        <v>142</v>
      </c>
      <c r="B34" s="239">
        <f>'1. Фін результат'!B70</f>
        <v>1040</v>
      </c>
      <c r="C34" s="255">
        <f>'1. Фін результат'!C70</f>
        <v>3767</v>
      </c>
      <c r="D34" s="255">
        <f>'1. Фін результат'!D70</f>
        <v>5065</v>
      </c>
      <c r="E34" s="255">
        <f>'1. Фін результат'!E70</f>
        <v>5579</v>
      </c>
      <c r="F34" s="255">
        <f t="shared" si="0"/>
        <v>514</v>
      </c>
      <c r="G34" s="106">
        <f t="shared" si="1"/>
        <v>110.14807502467919</v>
      </c>
    </row>
    <row r="35" spans="1:7">
      <c r="A35" s="105" t="s">
        <v>139</v>
      </c>
      <c r="B35" s="239">
        <f>'1. Фін результат'!B100</f>
        <v>1070</v>
      </c>
      <c r="C35" s="255"/>
      <c r="D35" s="255"/>
      <c r="E35" s="255"/>
      <c r="F35" s="255"/>
      <c r="G35" s="106"/>
    </row>
    <row r="36" spans="1:7">
      <c r="A36" s="105" t="s">
        <v>143</v>
      </c>
      <c r="B36" s="239">
        <f>'1. Фін результат'!B162</f>
        <v>1300</v>
      </c>
      <c r="C36" s="255">
        <f>'1. Фін результат'!C162</f>
        <v>1029</v>
      </c>
      <c r="D36" s="255">
        <f>'1. Фін результат'!D162</f>
        <v>-693</v>
      </c>
      <c r="E36" s="255">
        <f>'1. Фін результат'!E162</f>
        <v>611</v>
      </c>
      <c r="F36" s="255">
        <f t="shared" si="0"/>
        <v>1304</v>
      </c>
      <c r="G36" s="106">
        <f t="shared" si="1"/>
        <v>-88.167388167388168</v>
      </c>
    </row>
    <row r="37" spans="1:7" ht="45">
      <c r="A37" s="108" t="s">
        <v>4</v>
      </c>
      <c r="B37" s="239">
        <f>'1. Фін результат'!B136</f>
        <v>1100</v>
      </c>
      <c r="C37" s="255">
        <f>'1. Фін результат'!C136</f>
        <v>1339</v>
      </c>
      <c r="D37" s="255">
        <f>'1. Фін результат'!D136</f>
        <v>1809</v>
      </c>
      <c r="E37" s="255">
        <f>'1. Фін результат'!E136</f>
        <v>-9901</v>
      </c>
      <c r="F37" s="255">
        <f t="shared" si="0"/>
        <v>-11710</v>
      </c>
      <c r="G37" s="106">
        <f t="shared" si="1"/>
        <v>-547.31896075179657</v>
      </c>
    </row>
    <row r="38" spans="1:7">
      <c r="A38" s="109" t="s">
        <v>144</v>
      </c>
      <c r="B38" s="239">
        <f>'1. Фін результат'!B173</f>
        <v>1410</v>
      </c>
      <c r="C38" s="255">
        <f>'1. Фін результат'!C173</f>
        <v>2991</v>
      </c>
      <c r="D38" s="255">
        <f>'1. Фін результат'!D173</f>
        <v>6126</v>
      </c>
      <c r="E38" s="255">
        <f>'1. Фін результат'!E173</f>
        <v>-8271</v>
      </c>
      <c r="F38" s="255">
        <f t="shared" si="0"/>
        <v>-14397</v>
      </c>
      <c r="G38" s="106">
        <f t="shared" si="1"/>
        <v>-135.01469147894221</v>
      </c>
    </row>
    <row r="39" spans="1:7">
      <c r="A39" s="110" t="s">
        <v>230</v>
      </c>
      <c r="B39" s="239">
        <f>' 5. Коефіцієнти'!B8</f>
        <v>5010</v>
      </c>
      <c r="C39" s="256">
        <f>C38*100/C31</f>
        <v>5.4371932375931653</v>
      </c>
      <c r="D39" s="257">
        <f>D38*100/D31</f>
        <v>4.5166665437842379</v>
      </c>
      <c r="E39" s="257">
        <f>E38*100/E31</f>
        <v>-9.1963352531744089</v>
      </c>
      <c r="F39" s="255">
        <f>E39-D39</f>
        <v>-13.713001796958647</v>
      </c>
      <c r="G39" s="106"/>
    </row>
    <row r="40" spans="1:7" ht="46">
      <c r="A40" s="110" t="s">
        <v>145</v>
      </c>
      <c r="B40" s="239">
        <f>'1. Фін результат'!B163</f>
        <v>1310</v>
      </c>
      <c r="C40" s="255"/>
      <c r="D40" s="255"/>
      <c r="E40" s="255"/>
      <c r="F40" s="255"/>
      <c r="G40" s="106"/>
    </row>
    <row r="41" spans="1:7">
      <c r="A41" s="105" t="s">
        <v>234</v>
      </c>
      <c r="B41" s="239">
        <f>'1. Фін результат'!B164</f>
        <v>1320</v>
      </c>
      <c r="C41" s="255">
        <f>'1. Фін результат'!C164</f>
        <v>-1299</v>
      </c>
      <c r="D41" s="255">
        <f>'1. Фін результат'!D164</f>
        <v>-1050</v>
      </c>
      <c r="E41" s="255">
        <f>'1. Фін результат'!E164</f>
        <v>73</v>
      </c>
      <c r="F41" s="255">
        <f t="shared" si="0"/>
        <v>1123</v>
      </c>
      <c r="G41" s="106">
        <f t="shared" si="1"/>
        <v>-6.9523809523809526</v>
      </c>
    </row>
    <row r="42" spans="1:7">
      <c r="A42" s="109" t="s">
        <v>96</v>
      </c>
      <c r="B42" s="239">
        <f>'1. Фін результат'!B154</f>
        <v>1170</v>
      </c>
      <c r="C42" s="255">
        <f>'1. Фін результат'!C154</f>
        <v>40</v>
      </c>
      <c r="D42" s="255">
        <f>'1. Фін результат'!D154</f>
        <v>759</v>
      </c>
      <c r="E42" s="255">
        <f>'1. Фін результат'!E154</f>
        <v>-9828</v>
      </c>
      <c r="F42" s="255">
        <f t="shared" si="0"/>
        <v>-10587</v>
      </c>
      <c r="G42" s="106">
        <f t="shared" si="1"/>
        <v>-1294.8616600790513</v>
      </c>
    </row>
    <row r="43" spans="1:7">
      <c r="A43" s="111" t="s">
        <v>140</v>
      </c>
      <c r="B43" s="239">
        <f>'1. Фін результат'!B155</f>
        <v>1180</v>
      </c>
      <c r="C43" s="255">
        <f>'1. Фін результат'!C155</f>
        <v>7</v>
      </c>
      <c r="D43" s="255">
        <f>'1. Фін результат'!D155</f>
        <v>136.62</v>
      </c>
      <c r="E43" s="255">
        <f>'1. Фін результат'!E155</f>
        <v>0</v>
      </c>
      <c r="F43" s="255"/>
      <c r="G43" s="106"/>
    </row>
    <row r="44" spans="1:7">
      <c r="A44" s="108" t="s">
        <v>231</v>
      </c>
      <c r="B44" s="239">
        <f>'1. Фін результат'!B157</f>
        <v>1200</v>
      </c>
      <c r="C44" s="255">
        <f>'1. Фін результат'!C157</f>
        <v>33</v>
      </c>
      <c r="D44" s="255">
        <f>'1. Фін результат'!D157</f>
        <v>622.38</v>
      </c>
      <c r="E44" s="255">
        <f>'1. Фін результат'!E157</f>
        <v>-9828</v>
      </c>
      <c r="F44" s="255">
        <f t="shared" si="0"/>
        <v>-10450.379999999999</v>
      </c>
      <c r="G44" s="106">
        <f t="shared" si="1"/>
        <v>-1579.0995854622577</v>
      </c>
    </row>
    <row r="45" spans="1:7">
      <c r="A45" s="110" t="s">
        <v>232</v>
      </c>
      <c r="B45" s="239">
        <f>' 5. Коефіцієнти'!B11</f>
        <v>5040</v>
      </c>
      <c r="C45" s="258">
        <f>' 5. Коефіцієнти'!D11</f>
        <v>5.9989092892201413E-4</v>
      </c>
      <c r="D45" s="256">
        <f>D44/D31</f>
        <v>4.588773952857385E-3</v>
      </c>
      <c r="E45" s="256">
        <f>' 5. Коефіцієнти'!E11</f>
        <v>-0.10927527852520626</v>
      </c>
      <c r="F45" s="255">
        <f>E45-D45</f>
        <v>-0.11386405247806364</v>
      </c>
      <c r="G45" s="106"/>
    </row>
    <row r="46" spans="1:7">
      <c r="A46" s="284" t="s">
        <v>157</v>
      </c>
      <c r="B46" s="285"/>
      <c r="C46" s="285"/>
      <c r="D46" s="285"/>
      <c r="E46" s="285"/>
      <c r="F46" s="285"/>
      <c r="G46" s="286"/>
    </row>
    <row r="47" spans="1:7">
      <c r="A47" s="110" t="s">
        <v>357</v>
      </c>
      <c r="B47" s="239">
        <f>'2. Розрахунки з бюджетом'!B20</f>
        <v>2100</v>
      </c>
      <c r="C47" s="255">
        <f>'2. Розрахунки з бюджетом'!C20</f>
        <v>21.779999999999998</v>
      </c>
      <c r="D47" s="255">
        <f>'2. Розрахунки з бюджетом'!D20</f>
        <v>410.35699999999997</v>
      </c>
      <c r="E47" s="255">
        <f>'2. Розрахунки з бюджетом'!E20</f>
        <v>0</v>
      </c>
      <c r="F47" s="255">
        <f t="shared" ref="F47:F52" si="2">E47-D47</f>
        <v>-410.35699999999997</v>
      </c>
      <c r="G47" s="106">
        <f t="shared" ref="G47:G52" si="3">E47/D47*100</f>
        <v>0</v>
      </c>
    </row>
    <row r="48" spans="1:7">
      <c r="A48" s="112" t="s">
        <v>156</v>
      </c>
      <c r="B48" s="239">
        <f>'2. Розрахунки з бюджетом'!B23</f>
        <v>2110</v>
      </c>
      <c r="C48" s="255">
        <f>'2. Розрахунки з бюджетом'!C23</f>
        <v>7</v>
      </c>
      <c r="D48" s="255">
        <f>'2. Розрахунки з бюджетом'!D23</f>
        <v>136.62</v>
      </c>
      <c r="E48" s="255">
        <f>'2. Розрахунки з бюджетом'!E23</f>
        <v>65</v>
      </c>
      <c r="F48" s="255">
        <f t="shared" si="2"/>
        <v>-71.62</v>
      </c>
      <c r="G48" s="106"/>
    </row>
    <row r="49" spans="1:7" ht="46">
      <c r="A49" s="112" t="s">
        <v>348</v>
      </c>
      <c r="B49" s="239" t="s">
        <v>320</v>
      </c>
      <c r="C49" s="255">
        <f>'2. Розрахунки з бюджетом'!C24</f>
        <v>815</v>
      </c>
      <c r="D49" s="255">
        <f>'2. Розрахунки з бюджетом'!D24</f>
        <v>2300</v>
      </c>
      <c r="E49" s="255">
        <f>'2. Розрахунки з бюджетом'!E24</f>
        <v>811</v>
      </c>
      <c r="F49" s="255">
        <f t="shared" si="2"/>
        <v>-1489</v>
      </c>
      <c r="G49" s="106">
        <f t="shared" si="3"/>
        <v>35.260869565217391</v>
      </c>
    </row>
    <row r="50" spans="1:7" ht="46">
      <c r="A50" s="110" t="s">
        <v>258</v>
      </c>
      <c r="B50" s="239">
        <f>'2. Розрахунки з бюджетом'!B26</f>
        <v>2140</v>
      </c>
      <c r="C50" s="255">
        <f>'2. Розрахунки з бюджетом'!C26</f>
        <v>2498</v>
      </c>
      <c r="D50" s="255">
        <f>'2. Розрахунки з бюджетом'!D26</f>
        <v>3745</v>
      </c>
      <c r="E50" s="255">
        <f>'2. Розрахунки з бюджетом'!E26</f>
        <v>3568</v>
      </c>
      <c r="F50" s="255">
        <f t="shared" si="2"/>
        <v>-177</v>
      </c>
      <c r="G50" s="106">
        <f t="shared" si="3"/>
        <v>95.273698264352475</v>
      </c>
    </row>
    <row r="51" spans="1:7" ht="46">
      <c r="A51" s="110" t="s">
        <v>83</v>
      </c>
      <c r="B51" s="239">
        <f>'2. Розрахунки з бюджетом'!B37</f>
        <v>2150</v>
      </c>
      <c r="C51" s="255">
        <f>'2. Розрахунки з бюджетом'!C37</f>
        <v>2332</v>
      </c>
      <c r="D51" s="255">
        <f>'2. Розрахунки з бюджетом'!D37</f>
        <v>3890</v>
      </c>
      <c r="E51" s="255">
        <f>'2. Розрахунки з бюджетом'!E37</f>
        <v>3490</v>
      </c>
      <c r="F51" s="255">
        <f t="shared" si="2"/>
        <v>-400</v>
      </c>
      <c r="G51" s="106">
        <f t="shared" si="3"/>
        <v>89.717223650385606</v>
      </c>
    </row>
    <row r="52" spans="1:7">
      <c r="A52" s="109" t="s">
        <v>267</v>
      </c>
      <c r="B52" s="239">
        <f>'2. Розрахунки з бюджетом'!B38</f>
        <v>2200</v>
      </c>
      <c r="C52" s="255">
        <f>'2. Розрахунки з бюджетом'!C38</f>
        <v>5673.78</v>
      </c>
      <c r="D52" s="255">
        <f>'2. Розрахунки з бюджетом'!D38</f>
        <v>10481.977000000001</v>
      </c>
      <c r="E52" s="255">
        <f>'2. Розрахунки з бюджетом'!E38</f>
        <v>7934</v>
      </c>
      <c r="F52" s="255">
        <f t="shared" si="2"/>
        <v>-2547.9770000000008</v>
      </c>
      <c r="G52" s="106">
        <f t="shared" si="3"/>
        <v>75.691827982450249</v>
      </c>
    </row>
    <row r="53" spans="1:7">
      <c r="A53" s="284" t="s">
        <v>155</v>
      </c>
      <c r="B53" s="285"/>
      <c r="C53" s="285"/>
      <c r="D53" s="285"/>
      <c r="E53" s="285"/>
      <c r="F53" s="285"/>
      <c r="G53" s="286"/>
    </row>
    <row r="54" spans="1:7">
      <c r="A54" s="109" t="s">
        <v>146</v>
      </c>
      <c r="B54" s="239">
        <f>'3. Рух грошових коштів'!B87</f>
        <v>3600</v>
      </c>
      <c r="C54" s="255">
        <f>'3. Рух грошових коштів'!C87</f>
        <v>12469</v>
      </c>
      <c r="D54" s="255">
        <f>'3. Рух грошових коштів'!D87</f>
        <v>39735</v>
      </c>
      <c r="E54" s="255">
        <f>'3. Рух грошових коштів'!E87</f>
        <v>30806</v>
      </c>
      <c r="F54" s="255">
        <f>E54-D54</f>
        <v>-8929</v>
      </c>
      <c r="G54" s="106">
        <f>E54/D54*100</f>
        <v>77.528627154901216</v>
      </c>
    </row>
    <row r="55" spans="1:7" ht="46">
      <c r="A55" s="110" t="s">
        <v>147</v>
      </c>
      <c r="B55" s="239">
        <f>'3. Рух грошових коштів'!B32</f>
        <v>3090</v>
      </c>
      <c r="C55" s="255">
        <f>'3. Рух грошових коштів'!C32</f>
        <v>-27352</v>
      </c>
      <c r="D55" s="255">
        <f>'3. Рух грошових коштів'!D32</f>
        <v>-9060.6200000000008</v>
      </c>
      <c r="E55" s="255">
        <f>'3. Рух грошових коштів'!E32</f>
        <v>-20336</v>
      </c>
      <c r="F55" s="255">
        <f>E55-D55</f>
        <v>-11275.38</v>
      </c>
      <c r="G55" s="106">
        <f>E55/D55*100</f>
        <v>224.44380185903393</v>
      </c>
    </row>
    <row r="56" spans="1:7" ht="46">
      <c r="A56" s="110" t="s">
        <v>235</v>
      </c>
      <c r="B56" s="239">
        <f>'3. Рух грошових коштів'!B55</f>
        <v>3320</v>
      </c>
      <c r="C56" s="255">
        <f>'3. Рух грошових коштів'!C55</f>
        <v>-1435</v>
      </c>
      <c r="D56" s="255">
        <f>'3. Рух грошових коштів'!D55</f>
        <v>0</v>
      </c>
      <c r="E56" s="255">
        <f>'3. Рух грошових коштів'!E55</f>
        <v>-13300</v>
      </c>
      <c r="F56" s="255">
        <f>E56-D56</f>
        <v>-13300</v>
      </c>
      <c r="G56" s="106"/>
    </row>
    <row r="57" spans="1:7" ht="46">
      <c r="A57" s="110" t="s">
        <v>148</v>
      </c>
      <c r="B57" s="239">
        <f>'3. Рух грошових коштів'!B85</f>
        <v>3580</v>
      </c>
      <c r="C57" s="255">
        <f>'3. Рух грошових коштів'!C85</f>
        <v>33679.22</v>
      </c>
      <c r="D57" s="255">
        <f>'3. Рух грошових коштів'!D85</f>
        <v>11589.643</v>
      </c>
      <c r="E57" s="255">
        <f>'3. Рух грошових коштів'!E85</f>
        <v>21871</v>
      </c>
      <c r="F57" s="255">
        <f>E57-D57</f>
        <v>10281.357</v>
      </c>
      <c r="G57" s="106">
        <f>E57/D57*100</f>
        <v>188.71159361854373</v>
      </c>
    </row>
    <row r="58" spans="1:7" ht="54" customHeight="1">
      <c r="A58" s="110" t="s">
        <v>171</v>
      </c>
      <c r="B58" s="239">
        <f>'3. Рух грошових коштів'!B88</f>
        <v>3610</v>
      </c>
      <c r="C58" s="255">
        <f>'3. Рух грошових коштів'!C88</f>
        <v>0</v>
      </c>
      <c r="D58" s="255">
        <f>'3. Рух грошових коштів'!D88</f>
        <v>0</v>
      </c>
      <c r="E58" s="255">
        <f>'3. Рух грошових коштів'!E88</f>
        <v>0</v>
      </c>
      <c r="F58" s="255"/>
      <c r="G58" s="106"/>
    </row>
    <row r="59" spans="1:7" ht="38.25" customHeight="1">
      <c r="A59" s="109" t="s">
        <v>149</v>
      </c>
      <c r="B59" s="239">
        <f>'3. Рух грошових коштів'!B89</f>
        <v>3620</v>
      </c>
      <c r="C59" s="255">
        <f>'3. Рух грошових коштів'!C89</f>
        <v>17361.22</v>
      </c>
      <c r="D59" s="255">
        <f>'3. Рух грошових коштів'!D89</f>
        <v>42264.023000000001</v>
      </c>
      <c r="E59" s="255">
        <f>'3. Рух грошових коштів'!E89</f>
        <v>19041</v>
      </c>
      <c r="F59" s="255">
        <f>E59-D59</f>
        <v>-23223.023000000001</v>
      </c>
      <c r="G59" s="106">
        <f>E59/D59*100</f>
        <v>45.052502455812125</v>
      </c>
    </row>
    <row r="60" spans="1:7">
      <c r="A60" s="296" t="s">
        <v>214</v>
      </c>
      <c r="B60" s="297"/>
      <c r="C60" s="297"/>
      <c r="D60" s="297"/>
      <c r="E60" s="297"/>
      <c r="F60" s="297"/>
      <c r="G60" s="297"/>
    </row>
    <row r="61" spans="1:7">
      <c r="A61" s="110" t="s">
        <v>213</v>
      </c>
      <c r="B61" s="240">
        <f>'4. Кап. інвестиції'!B6</f>
        <v>4000</v>
      </c>
      <c r="C61" s="255">
        <f>'4. Кап. інвестиції'!C6</f>
        <v>1196</v>
      </c>
      <c r="D61" s="255">
        <f>'4. Кап. інвестиції'!D6</f>
        <v>0</v>
      </c>
      <c r="E61" s="255">
        <f>'4. Кап. інвестиції'!E6</f>
        <v>11083.333333333334</v>
      </c>
      <c r="F61" s="255">
        <f>E61-D61</f>
        <v>11083.333333333334</v>
      </c>
      <c r="G61" s="106"/>
    </row>
    <row r="62" spans="1:7">
      <c r="A62" s="295" t="s">
        <v>216</v>
      </c>
      <c r="B62" s="295"/>
      <c r="C62" s="295"/>
      <c r="D62" s="295"/>
      <c r="E62" s="295"/>
      <c r="F62" s="295"/>
      <c r="G62" s="295"/>
    </row>
    <row r="63" spans="1:7">
      <c r="A63" s="110" t="s">
        <v>174</v>
      </c>
      <c r="B63" s="240">
        <f>' 5. Коефіцієнти'!B9</f>
        <v>5020</v>
      </c>
      <c r="C63" s="272">
        <f>' 5. Коефіцієнти'!D9</f>
        <v>9.2949629750641494E-5</v>
      </c>
      <c r="D63" s="258">
        <f>D44/D70</f>
        <v>3.8703298343366003E-3</v>
      </c>
      <c r="E63" s="258">
        <f>' 5. Коефіцієнти'!E9</f>
        <v>-2.3772434812055536E-2</v>
      </c>
      <c r="F63" s="255">
        <f>E63-D63</f>
        <v>-2.7642764646392134E-2</v>
      </c>
      <c r="G63" s="106">
        <f>E63/D63*100</f>
        <v>-614.22245208024458</v>
      </c>
    </row>
    <row r="64" spans="1:7">
      <c r="A64" s="110" t="s">
        <v>170</v>
      </c>
      <c r="B64" s="240">
        <f>' 5. Коефіцієнти'!B10</f>
        <v>5030</v>
      </c>
      <c r="C64" s="272">
        <f>' 5. Коефіцієнти'!D10</f>
        <v>1.0820594542485589E-4</v>
      </c>
      <c r="D64" s="258">
        <f>D44/D76</f>
        <v>2.1379106610423335E-3</v>
      </c>
      <c r="E64" s="258">
        <f>' 5. Коефіцієнти'!E10</f>
        <v>-2.5235847845400904E-2</v>
      </c>
      <c r="F64" s="255">
        <f>E64-D64</f>
        <v>-2.737375850644324E-2</v>
      </c>
      <c r="G64" s="106">
        <f>E64/D64*100</f>
        <v>-1180.397680092826</v>
      </c>
    </row>
    <row r="65" spans="1:7">
      <c r="A65" s="110" t="s">
        <v>233</v>
      </c>
      <c r="B65" s="240">
        <f>' 5. Коефіцієнти'!B14</f>
        <v>5110</v>
      </c>
      <c r="C65" s="257">
        <f>' 5. Коефіцієнти'!D14</f>
        <v>33.10257245197004</v>
      </c>
      <c r="D65" s="257">
        <f>D76/D73</f>
        <v>19.089573770491803</v>
      </c>
      <c r="E65" s="257">
        <f>' 5. Коефіцієнти'!E14</f>
        <v>25.833897180762854</v>
      </c>
      <c r="F65" s="255">
        <f>E65-D65</f>
        <v>6.7443234102710505</v>
      </c>
      <c r="G65" s="106">
        <f>E65/D65*100</f>
        <v>135.32987950048556</v>
      </c>
    </row>
    <row r="66" spans="1:7">
      <c r="A66" s="284" t="s">
        <v>215</v>
      </c>
      <c r="B66" s="285"/>
      <c r="C66" s="285"/>
      <c r="D66" s="285"/>
      <c r="E66" s="285"/>
      <c r="F66" s="285"/>
      <c r="G66" s="286"/>
    </row>
    <row r="67" spans="1:7">
      <c r="A67" s="110" t="s">
        <v>150</v>
      </c>
      <c r="B67" s="240">
        <v>6000</v>
      </c>
      <c r="C67" s="255">
        <v>315358</v>
      </c>
      <c r="D67" s="255">
        <f>227075/2</f>
        <v>113537.5</v>
      </c>
      <c r="E67" s="255">
        <v>358817</v>
      </c>
      <c r="F67" s="255">
        <f>E67-D67</f>
        <v>245279.5</v>
      </c>
      <c r="G67" s="106">
        <f>E67/D67*100</f>
        <v>316.03390950126607</v>
      </c>
    </row>
    <row r="68" spans="1:7">
      <c r="A68" s="110" t="s">
        <v>151</v>
      </c>
      <c r="B68" s="240">
        <v>6010</v>
      </c>
      <c r="C68" s="255">
        <v>39673</v>
      </c>
      <c r="D68" s="255">
        <f>94541/2</f>
        <v>47270.5</v>
      </c>
      <c r="E68" s="255">
        <v>54603</v>
      </c>
      <c r="F68" s="255">
        <f>E68-D68</f>
        <v>7332.5</v>
      </c>
      <c r="G68" s="106">
        <f>E68/D68*100</f>
        <v>115.51178853619064</v>
      </c>
    </row>
    <row r="69" spans="1:7">
      <c r="A69" s="110" t="s">
        <v>270</v>
      </c>
      <c r="B69" s="240">
        <v>6020</v>
      </c>
      <c r="C69" s="255">
        <v>17361</v>
      </c>
      <c r="D69" s="255">
        <f>D59</f>
        <v>42264.023000000001</v>
      </c>
      <c r="E69" s="255">
        <v>19041</v>
      </c>
      <c r="F69" s="255">
        <f>E69-D69</f>
        <v>-23223.023000000001</v>
      </c>
      <c r="G69" s="106">
        <f>E69/D69*100</f>
        <v>45.052502455812125</v>
      </c>
    </row>
    <row r="70" spans="1:7" s="113" customFormat="1">
      <c r="A70" s="109" t="s">
        <v>268</v>
      </c>
      <c r="B70" s="240">
        <v>6030</v>
      </c>
      <c r="C70" s="255">
        <f>C67+C68</f>
        <v>355031</v>
      </c>
      <c r="D70" s="255">
        <f>D67+D68</f>
        <v>160808</v>
      </c>
      <c r="E70" s="255">
        <f>E67+E68</f>
        <v>413420</v>
      </c>
      <c r="F70" s="255">
        <f t="shared" ref="F70:F76" si="4">E70-D70</f>
        <v>252612</v>
      </c>
      <c r="G70" s="106">
        <f t="shared" ref="G70:G76" si="5">E70/D70*100</f>
        <v>257.08919954231135</v>
      </c>
    </row>
    <row r="71" spans="1:7">
      <c r="A71" s="110" t="s">
        <v>172</v>
      </c>
      <c r="B71" s="240">
        <v>6040</v>
      </c>
      <c r="C71" s="255">
        <v>1171</v>
      </c>
      <c r="D71" s="255">
        <f>1500/2</f>
        <v>750</v>
      </c>
      <c r="E71" s="255">
        <v>8899</v>
      </c>
      <c r="F71" s="255">
        <f>E71-D71</f>
        <v>8149</v>
      </c>
      <c r="G71" s="106">
        <f>E71/D71*100</f>
        <v>1186.5333333333333</v>
      </c>
    </row>
    <row r="72" spans="1:7">
      <c r="A72" s="110" t="s">
        <v>173</v>
      </c>
      <c r="B72" s="240">
        <v>6050</v>
      </c>
      <c r="C72" s="255">
        <v>9213</v>
      </c>
      <c r="D72" s="255">
        <f>29000/2</f>
        <v>14500</v>
      </c>
      <c r="E72" s="255">
        <v>15075</v>
      </c>
      <c r="F72" s="255">
        <f t="shared" si="4"/>
        <v>575</v>
      </c>
      <c r="G72" s="106">
        <f t="shared" si="5"/>
        <v>103.9655172413793</v>
      </c>
    </row>
    <row r="73" spans="1:7" s="113" customFormat="1">
      <c r="A73" s="109" t="s">
        <v>269</v>
      </c>
      <c r="B73" s="240">
        <v>6060</v>
      </c>
      <c r="C73" s="255">
        <f>C72+C71</f>
        <v>10384</v>
      </c>
      <c r="D73" s="255">
        <f>D72+D71</f>
        <v>15250</v>
      </c>
      <c r="E73" s="255">
        <f>E72+E71</f>
        <v>23974</v>
      </c>
      <c r="F73" s="255">
        <f t="shared" si="4"/>
        <v>8724</v>
      </c>
      <c r="G73" s="106">
        <f t="shared" si="5"/>
        <v>157.20655737704919</v>
      </c>
    </row>
    <row r="74" spans="1:7">
      <c r="A74" s="110" t="s">
        <v>271</v>
      </c>
      <c r="B74" s="240">
        <v>6070</v>
      </c>
      <c r="C74" s="255"/>
      <c r="D74" s="255"/>
      <c r="E74" s="255"/>
      <c r="F74" s="255"/>
      <c r="G74" s="106"/>
    </row>
    <row r="75" spans="1:7">
      <c r="A75" s="110" t="s">
        <v>272</v>
      </c>
      <c r="B75" s="240">
        <v>6080</v>
      </c>
      <c r="C75" s="255"/>
      <c r="D75" s="255"/>
      <c r="E75" s="255"/>
      <c r="F75" s="255"/>
      <c r="G75" s="106"/>
    </row>
    <row r="76" spans="1:7" s="113" customFormat="1">
      <c r="A76" s="109" t="s">
        <v>152</v>
      </c>
      <c r="B76" s="240">
        <v>6090</v>
      </c>
      <c r="C76" s="255">
        <v>304974</v>
      </c>
      <c r="D76" s="255">
        <f>291116</f>
        <v>291116</v>
      </c>
      <c r="E76" s="255">
        <v>389446</v>
      </c>
      <c r="F76" s="255">
        <f t="shared" si="4"/>
        <v>98330</v>
      </c>
      <c r="G76" s="106">
        <f t="shared" si="5"/>
        <v>133.77691367015211</v>
      </c>
    </row>
    <row r="77" spans="1:7" ht="83.25" customHeight="1">
      <c r="A77" s="94"/>
    </row>
    <row r="78" spans="1:7" ht="30" customHeight="1">
      <c r="A78" s="124" t="s">
        <v>620</v>
      </c>
      <c r="B78" s="123"/>
      <c r="C78" s="162"/>
      <c r="D78" s="162"/>
      <c r="E78" s="162"/>
      <c r="F78" s="294" t="s">
        <v>621</v>
      </c>
      <c r="G78" s="294"/>
    </row>
    <row r="79" spans="1:7" s="84" customFormat="1">
      <c r="A79" s="101" t="s">
        <v>386</v>
      </c>
      <c r="C79" s="293" t="s">
        <v>78</v>
      </c>
      <c r="D79" s="293"/>
      <c r="E79" s="162"/>
      <c r="F79" s="234" t="s">
        <v>102</v>
      </c>
    </row>
    <row r="81" spans="1:7" ht="42.75" customHeight="1">
      <c r="A81" s="93"/>
    </row>
    <row r="82" spans="1:7" ht="113.25" customHeight="1">
      <c r="A82" s="281"/>
      <c r="B82" s="281"/>
      <c r="C82" s="281"/>
      <c r="D82" s="281"/>
      <c r="E82" s="281"/>
      <c r="F82" s="281"/>
      <c r="G82" s="281"/>
    </row>
    <row r="83" spans="1:7">
      <c r="A83" s="93"/>
    </row>
    <row r="84" spans="1:7">
      <c r="A84" s="93"/>
    </row>
    <row r="85" spans="1:7">
      <c r="A85" s="93"/>
    </row>
    <row r="86" spans="1:7">
      <c r="A86" s="93"/>
    </row>
    <row r="87" spans="1:7">
      <c r="A87" s="93"/>
    </row>
    <row r="88" spans="1:7">
      <c r="A88" s="93"/>
    </row>
    <row r="89" spans="1:7">
      <c r="A89" s="93"/>
    </row>
    <row r="90" spans="1:7">
      <c r="A90" s="93"/>
    </row>
    <row r="91" spans="1:7">
      <c r="A91" s="93"/>
    </row>
    <row r="92" spans="1:7">
      <c r="A92" s="93"/>
    </row>
    <row r="93" spans="1:7">
      <c r="A93" s="93"/>
    </row>
    <row r="94" spans="1:7">
      <c r="A94" s="93"/>
    </row>
    <row r="95" spans="1:7">
      <c r="A95" s="93"/>
    </row>
    <row r="96" spans="1:7">
      <c r="A96" s="93"/>
    </row>
    <row r="97" spans="1:1">
      <c r="A97" s="93"/>
    </row>
    <row r="98" spans="1:1">
      <c r="A98" s="93"/>
    </row>
    <row r="99" spans="1:1">
      <c r="A99" s="93"/>
    </row>
    <row r="100" spans="1:1">
      <c r="A100" s="93"/>
    </row>
    <row r="101" spans="1:1">
      <c r="A101" s="93"/>
    </row>
    <row r="102" spans="1:1">
      <c r="A102" s="93"/>
    </row>
    <row r="103" spans="1:1">
      <c r="A103" s="93"/>
    </row>
    <row r="104" spans="1:1">
      <c r="A104" s="93"/>
    </row>
    <row r="105" spans="1:1">
      <c r="A105" s="93"/>
    </row>
    <row r="106" spans="1:1">
      <c r="A106" s="93"/>
    </row>
    <row r="107" spans="1:1">
      <c r="A107" s="93"/>
    </row>
    <row r="108" spans="1:1">
      <c r="A108" s="93"/>
    </row>
    <row r="109" spans="1:1">
      <c r="A109" s="93"/>
    </row>
    <row r="110" spans="1:1">
      <c r="A110" s="93"/>
    </row>
    <row r="111" spans="1:1">
      <c r="A111" s="93"/>
    </row>
    <row r="112" spans="1:1">
      <c r="A112" s="93"/>
    </row>
    <row r="113" spans="1:1">
      <c r="A113" s="93"/>
    </row>
    <row r="114" spans="1:1">
      <c r="A114" s="93"/>
    </row>
    <row r="115" spans="1:1">
      <c r="A115" s="93"/>
    </row>
    <row r="116" spans="1:1">
      <c r="A116" s="93"/>
    </row>
    <row r="117" spans="1:1">
      <c r="A117" s="93"/>
    </row>
    <row r="118" spans="1:1">
      <c r="A118" s="93"/>
    </row>
    <row r="119" spans="1:1">
      <c r="A119" s="93"/>
    </row>
    <row r="120" spans="1:1">
      <c r="A120" s="93"/>
    </row>
    <row r="121" spans="1:1">
      <c r="A121" s="93"/>
    </row>
    <row r="122" spans="1:1">
      <c r="A122" s="93"/>
    </row>
    <row r="123" spans="1:1">
      <c r="A123" s="93"/>
    </row>
    <row r="124" spans="1:1">
      <c r="A124" s="93"/>
    </row>
    <row r="125" spans="1:1">
      <c r="A125" s="93"/>
    </row>
    <row r="126" spans="1:1">
      <c r="A126" s="93"/>
    </row>
    <row r="127" spans="1:1">
      <c r="A127" s="93"/>
    </row>
    <row r="128" spans="1:1">
      <c r="A128" s="93"/>
    </row>
    <row r="129" spans="1:1">
      <c r="A129" s="93"/>
    </row>
    <row r="130" spans="1:1">
      <c r="A130" s="93"/>
    </row>
    <row r="131" spans="1:1">
      <c r="A131" s="93"/>
    </row>
    <row r="132" spans="1:1">
      <c r="A132" s="93"/>
    </row>
    <row r="133" spans="1:1">
      <c r="A133" s="93"/>
    </row>
    <row r="134" spans="1:1">
      <c r="A134" s="93"/>
    </row>
    <row r="135" spans="1:1">
      <c r="A135" s="93"/>
    </row>
    <row r="136" spans="1:1">
      <c r="A136" s="93"/>
    </row>
    <row r="137" spans="1:1">
      <c r="A137" s="93"/>
    </row>
    <row r="138" spans="1:1">
      <c r="A138" s="93"/>
    </row>
    <row r="139" spans="1:1">
      <c r="A139" s="93"/>
    </row>
    <row r="140" spans="1:1">
      <c r="A140" s="93"/>
    </row>
    <row r="141" spans="1:1">
      <c r="A141" s="93"/>
    </row>
    <row r="142" spans="1:1">
      <c r="A142" s="93"/>
    </row>
    <row r="143" spans="1:1">
      <c r="A143" s="93"/>
    </row>
    <row r="144" spans="1:1">
      <c r="A144" s="93"/>
    </row>
    <row r="145" spans="1:1">
      <c r="A145" s="93"/>
    </row>
    <row r="146" spans="1:1">
      <c r="A146" s="93"/>
    </row>
    <row r="147" spans="1:1">
      <c r="A147" s="93"/>
    </row>
    <row r="148" spans="1:1">
      <c r="A148" s="93"/>
    </row>
    <row r="149" spans="1:1">
      <c r="A149" s="93"/>
    </row>
    <row r="150" spans="1:1">
      <c r="A150" s="93"/>
    </row>
    <row r="151" spans="1:1">
      <c r="A151" s="93"/>
    </row>
    <row r="152" spans="1:1">
      <c r="A152" s="93"/>
    </row>
    <row r="153" spans="1:1">
      <c r="A153" s="93"/>
    </row>
    <row r="154" spans="1:1">
      <c r="A154" s="93"/>
    </row>
    <row r="155" spans="1:1">
      <c r="A155" s="93"/>
    </row>
    <row r="156" spans="1:1">
      <c r="A156" s="93"/>
    </row>
    <row r="157" spans="1:1">
      <c r="A157" s="93"/>
    </row>
    <row r="158" spans="1:1">
      <c r="A158" s="93"/>
    </row>
    <row r="159" spans="1:1">
      <c r="A159" s="93"/>
    </row>
    <row r="160" spans="1:1">
      <c r="A160" s="93"/>
    </row>
    <row r="161" spans="1:1">
      <c r="A161" s="93"/>
    </row>
    <row r="162" spans="1:1">
      <c r="A162" s="93"/>
    </row>
    <row r="163" spans="1:1">
      <c r="A163" s="93"/>
    </row>
    <row r="164" spans="1:1">
      <c r="A164" s="93"/>
    </row>
    <row r="165" spans="1:1">
      <c r="A165" s="93"/>
    </row>
    <row r="166" spans="1:1">
      <c r="A166" s="93"/>
    </row>
    <row r="167" spans="1:1">
      <c r="A167" s="93"/>
    </row>
    <row r="168" spans="1:1">
      <c r="A168" s="93"/>
    </row>
    <row r="169" spans="1:1">
      <c r="A169" s="93"/>
    </row>
    <row r="170" spans="1:1">
      <c r="A170" s="93"/>
    </row>
    <row r="171" spans="1:1">
      <c r="A171" s="93"/>
    </row>
    <row r="172" spans="1:1">
      <c r="A172" s="93"/>
    </row>
    <row r="173" spans="1:1">
      <c r="A173" s="93"/>
    </row>
    <row r="174" spans="1:1">
      <c r="A174" s="93"/>
    </row>
    <row r="175" spans="1:1">
      <c r="A175" s="93"/>
    </row>
    <row r="176" spans="1:1">
      <c r="A176" s="93"/>
    </row>
    <row r="177" spans="1:1">
      <c r="A177" s="93"/>
    </row>
    <row r="178" spans="1:1">
      <c r="A178" s="93"/>
    </row>
    <row r="179" spans="1:1">
      <c r="A179" s="93"/>
    </row>
    <row r="180" spans="1:1">
      <c r="A180" s="93"/>
    </row>
    <row r="181" spans="1:1">
      <c r="A181" s="93"/>
    </row>
    <row r="182" spans="1:1">
      <c r="A182" s="93"/>
    </row>
    <row r="183" spans="1:1">
      <c r="A183" s="93"/>
    </row>
    <row r="184" spans="1:1">
      <c r="A184" s="93"/>
    </row>
    <row r="185" spans="1:1">
      <c r="A185" s="93"/>
    </row>
    <row r="186" spans="1:1">
      <c r="A186" s="93"/>
    </row>
    <row r="187" spans="1:1">
      <c r="A187" s="93"/>
    </row>
    <row r="188" spans="1:1">
      <c r="A188" s="93"/>
    </row>
    <row r="189" spans="1:1">
      <c r="A189" s="93"/>
    </row>
    <row r="190" spans="1:1">
      <c r="A190" s="93"/>
    </row>
    <row r="191" spans="1:1">
      <c r="A191" s="93"/>
    </row>
    <row r="192" spans="1:1">
      <c r="A192" s="93"/>
    </row>
    <row r="193" spans="1:1">
      <c r="A193" s="93"/>
    </row>
    <row r="194" spans="1:1">
      <c r="A194" s="93"/>
    </row>
    <row r="195" spans="1:1">
      <c r="A195" s="93"/>
    </row>
    <row r="196" spans="1:1">
      <c r="A196" s="93"/>
    </row>
    <row r="197" spans="1:1">
      <c r="A197" s="93"/>
    </row>
    <row r="198" spans="1:1">
      <c r="A198" s="93"/>
    </row>
    <row r="199" spans="1:1">
      <c r="A199" s="93"/>
    </row>
    <row r="200" spans="1:1">
      <c r="A200" s="93"/>
    </row>
    <row r="201" spans="1:1">
      <c r="A201" s="93"/>
    </row>
    <row r="202" spans="1:1">
      <c r="A202" s="93"/>
    </row>
    <row r="203" spans="1:1">
      <c r="A203" s="93"/>
    </row>
    <row r="204" spans="1:1">
      <c r="A204" s="93"/>
    </row>
    <row r="205" spans="1:1">
      <c r="A205" s="93"/>
    </row>
    <row r="206" spans="1:1">
      <c r="A206" s="93"/>
    </row>
    <row r="207" spans="1:1">
      <c r="A207" s="93"/>
    </row>
    <row r="208" spans="1:1">
      <c r="A208" s="93"/>
    </row>
    <row r="209" spans="1:1">
      <c r="A209" s="93"/>
    </row>
    <row r="210" spans="1:1">
      <c r="A210" s="93"/>
    </row>
    <row r="211" spans="1:1">
      <c r="A211" s="93"/>
    </row>
    <row r="212" spans="1:1">
      <c r="A212" s="93"/>
    </row>
    <row r="213" spans="1:1">
      <c r="A213" s="93"/>
    </row>
    <row r="214" spans="1:1">
      <c r="A214" s="93"/>
    </row>
    <row r="215" spans="1:1">
      <c r="A215" s="93"/>
    </row>
    <row r="216" spans="1:1">
      <c r="A216" s="93"/>
    </row>
    <row r="217" spans="1:1">
      <c r="A217" s="93"/>
    </row>
    <row r="218" spans="1:1">
      <c r="A218" s="93"/>
    </row>
    <row r="219" spans="1:1">
      <c r="A219" s="93"/>
    </row>
    <row r="220" spans="1:1">
      <c r="A220" s="93"/>
    </row>
    <row r="221" spans="1:1">
      <c r="A221" s="93"/>
    </row>
    <row r="222" spans="1:1">
      <c r="A222" s="93"/>
    </row>
    <row r="223" spans="1:1">
      <c r="A223" s="93"/>
    </row>
    <row r="224" spans="1:1">
      <c r="A224" s="93"/>
    </row>
    <row r="225" spans="1:1">
      <c r="A225" s="93"/>
    </row>
    <row r="226" spans="1:1">
      <c r="A226" s="93"/>
    </row>
    <row r="227" spans="1:1">
      <c r="A227" s="93"/>
    </row>
    <row r="228" spans="1:1">
      <c r="A228" s="93"/>
    </row>
    <row r="229" spans="1:1">
      <c r="A229" s="93"/>
    </row>
    <row r="230" spans="1:1">
      <c r="A230" s="93"/>
    </row>
    <row r="231" spans="1:1">
      <c r="A231" s="93"/>
    </row>
    <row r="232" spans="1:1">
      <c r="A232" s="93"/>
    </row>
    <row r="233" spans="1:1">
      <c r="A233" s="93"/>
    </row>
    <row r="234" spans="1:1">
      <c r="A234" s="93"/>
    </row>
    <row r="235" spans="1:1">
      <c r="A235" s="93"/>
    </row>
    <row r="236" spans="1:1">
      <c r="A236" s="93"/>
    </row>
    <row r="237" spans="1:1">
      <c r="A237" s="93"/>
    </row>
    <row r="238" spans="1:1">
      <c r="A238" s="93"/>
    </row>
    <row r="239" spans="1:1">
      <c r="A239" s="93"/>
    </row>
    <row r="240" spans="1:1">
      <c r="A240" s="93"/>
    </row>
    <row r="241" spans="1:1">
      <c r="A241" s="93"/>
    </row>
    <row r="242" spans="1:1">
      <c r="A242" s="93"/>
    </row>
    <row r="243" spans="1:1">
      <c r="A243" s="93"/>
    </row>
    <row r="244" spans="1:1">
      <c r="A244" s="93"/>
    </row>
    <row r="245" spans="1:1">
      <c r="A245" s="93"/>
    </row>
    <row r="246" spans="1:1">
      <c r="A246" s="93"/>
    </row>
    <row r="247" spans="1:1">
      <c r="A247" s="93"/>
    </row>
    <row r="248" spans="1:1">
      <c r="A248" s="93"/>
    </row>
  </sheetData>
  <mergeCells count="34">
    <mergeCell ref="A20:G20"/>
    <mergeCell ref="F78:G78"/>
    <mergeCell ref="B14:D14"/>
    <mergeCell ref="E14:F14"/>
    <mergeCell ref="B17:D17"/>
    <mergeCell ref="B18:D18"/>
    <mergeCell ref="C79:D79"/>
    <mergeCell ref="A23:G23"/>
    <mergeCell ref="A62:G62"/>
    <mergeCell ref="A53:G53"/>
    <mergeCell ref="A60:G60"/>
    <mergeCell ref="C27:C28"/>
    <mergeCell ref="A82:G82"/>
    <mergeCell ref="E2:G5"/>
    <mergeCell ref="A66:G66"/>
    <mergeCell ref="A30:G30"/>
    <mergeCell ref="B27:B28"/>
    <mergeCell ref="B6:D6"/>
    <mergeCell ref="B15:D15"/>
    <mergeCell ref="B16:D16"/>
    <mergeCell ref="A25:G25"/>
    <mergeCell ref="A21:G21"/>
    <mergeCell ref="B7:D7"/>
    <mergeCell ref="B8:D8"/>
    <mergeCell ref="D27:G27"/>
    <mergeCell ref="A46:G46"/>
    <mergeCell ref="A22:G22"/>
    <mergeCell ref="A27:A28"/>
    <mergeCell ref="B11:D11"/>
    <mergeCell ref="B10:E10"/>
    <mergeCell ref="B9:D9"/>
    <mergeCell ref="E13:F13"/>
    <mergeCell ref="B12:E12"/>
    <mergeCell ref="B13:D13"/>
  </mergeCells>
  <phoneticPr fontId="3" type="noConversion"/>
  <pageMargins left="0.59055118110236227" right="0.39370078740157483" top="0.59055118110236227" bottom="0.39370078740157483" header="0.31496062992125984" footer="0.19685039370078741"/>
  <pageSetup paperSize="9" scale="43" orientation="portrait" r:id="rId1"/>
  <headerFooter alignWithMargins="0"/>
  <rowBreaks count="1" manualBreakCount="1">
    <brk id="59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</sheetPr>
  <dimension ref="A1:M410"/>
  <sheetViews>
    <sheetView view="pageBreakPreview" topLeftCell="A171" zoomScale="75" zoomScaleNormal="75" zoomScaleSheetLayoutView="75" workbookViewId="0">
      <selection activeCell="G184" sqref="G184:H184"/>
    </sheetView>
  </sheetViews>
  <sheetFormatPr defaultColWidth="9.1796875" defaultRowHeight="20.5" outlineLevelRow="1"/>
  <cols>
    <col min="1" max="1" width="72.54296875" style="24" customWidth="1"/>
    <col min="2" max="2" width="12" style="26" customWidth="1"/>
    <col min="3" max="3" width="17" style="235" customWidth="1"/>
    <col min="4" max="4" width="12.7265625" style="235" customWidth="1"/>
    <col min="5" max="5" width="13.54296875" style="235" customWidth="1"/>
    <col min="6" max="6" width="11.81640625" style="235" customWidth="1"/>
    <col min="7" max="7" width="15.1796875" style="26" customWidth="1"/>
    <col min="8" max="8" width="29.453125" style="26" customWidth="1"/>
    <col min="9" max="9" width="13.7265625" style="24" customWidth="1"/>
    <col min="10" max="10" width="11.54296875" style="24" bestFit="1" customWidth="1"/>
    <col min="11" max="16384" width="9.1796875" style="24"/>
  </cols>
  <sheetData>
    <row r="1" spans="1:13" hidden="1" outlineLevel="1">
      <c r="B1" s="30"/>
      <c r="C1" s="236"/>
      <c r="D1" s="236"/>
      <c r="E1" s="236"/>
      <c r="F1" s="236"/>
      <c r="G1" s="30"/>
      <c r="H1" s="37" t="s">
        <v>241</v>
      </c>
    </row>
    <row r="2" spans="1:13" hidden="1" outlineLevel="1">
      <c r="B2" s="30"/>
      <c r="C2" s="236"/>
      <c r="D2" s="236"/>
      <c r="E2" s="236"/>
      <c r="F2" s="236"/>
      <c r="G2" s="30"/>
      <c r="H2" s="37" t="s">
        <v>225</v>
      </c>
    </row>
    <row r="3" spans="1:13" s="115" customFormat="1" ht="21.5" collapsed="1">
      <c r="A3" s="305" t="s">
        <v>373</v>
      </c>
      <c r="B3" s="305"/>
      <c r="C3" s="305"/>
      <c r="D3" s="305"/>
      <c r="E3" s="305"/>
      <c r="F3" s="305"/>
      <c r="G3" s="305"/>
      <c r="H3" s="305"/>
    </row>
    <row r="4" spans="1:13" s="115" customFormat="1" ht="12.75" customHeight="1">
      <c r="A4" s="114"/>
      <c r="B4" s="116"/>
      <c r="C4" s="158"/>
      <c r="D4" s="158"/>
      <c r="E4" s="158"/>
      <c r="F4" s="158"/>
      <c r="G4" s="116"/>
      <c r="H4" s="116"/>
    </row>
    <row r="5" spans="1:13" s="115" customFormat="1" ht="25.5" customHeight="1">
      <c r="A5" s="310" t="s">
        <v>287</v>
      </c>
      <c r="B5" s="311" t="s">
        <v>18</v>
      </c>
      <c r="C5" s="312" t="s">
        <v>382</v>
      </c>
      <c r="D5" s="310" t="s">
        <v>353</v>
      </c>
      <c r="E5" s="310"/>
      <c r="F5" s="310"/>
      <c r="G5" s="310"/>
      <c r="H5" s="310"/>
    </row>
    <row r="6" spans="1:13" s="115" customFormat="1" ht="95">
      <c r="A6" s="310"/>
      <c r="B6" s="311"/>
      <c r="C6" s="313"/>
      <c r="D6" s="243" t="s">
        <v>265</v>
      </c>
      <c r="E6" s="243" t="s">
        <v>248</v>
      </c>
      <c r="F6" s="142" t="s">
        <v>381</v>
      </c>
      <c r="G6" s="142" t="s">
        <v>276</v>
      </c>
      <c r="H6" s="243" t="s">
        <v>274</v>
      </c>
    </row>
    <row r="7" spans="1:13" s="115" customFormat="1" ht="21.5">
      <c r="A7" s="242">
        <v>1</v>
      </c>
      <c r="B7" s="243">
        <v>2</v>
      </c>
      <c r="C7" s="243">
        <v>3</v>
      </c>
      <c r="D7" s="243">
        <v>4</v>
      </c>
      <c r="E7" s="243">
        <v>5</v>
      </c>
      <c r="F7" s="243">
        <v>6</v>
      </c>
      <c r="G7" s="243">
        <v>7</v>
      </c>
      <c r="H7" s="243">
        <v>8</v>
      </c>
    </row>
    <row r="8" spans="1:13" s="117" customFormat="1" ht="26.25" customHeight="1">
      <c r="A8" s="301" t="s">
        <v>273</v>
      </c>
      <c r="B8" s="302"/>
      <c r="C8" s="302"/>
      <c r="D8" s="302"/>
      <c r="E8" s="302"/>
      <c r="F8" s="302"/>
      <c r="G8" s="302"/>
      <c r="H8" s="303"/>
    </row>
    <row r="9" spans="1:13" s="117" customFormat="1" ht="43.5" customHeight="1">
      <c r="A9" s="137" t="s">
        <v>107</v>
      </c>
      <c r="B9" s="132">
        <v>1000</v>
      </c>
      <c r="C9" s="238">
        <f>C10+C11+C12</f>
        <v>55010</v>
      </c>
      <c r="D9" s="238">
        <f>D10+D11+D12</f>
        <v>135631</v>
      </c>
      <c r="E9" s="238">
        <f>E10+E11+E12</f>
        <v>89938</v>
      </c>
      <c r="F9" s="238">
        <f>E9-D9</f>
        <v>-45693</v>
      </c>
      <c r="G9" s="128">
        <f>E9/D9*100</f>
        <v>66.310799153585833</v>
      </c>
      <c r="H9" s="157"/>
      <c r="I9" s="127">
        <v>89938</v>
      </c>
      <c r="J9" s="126">
        <f>E9-I9</f>
        <v>0</v>
      </c>
    </row>
    <row r="10" spans="1:13" s="117" customFormat="1" ht="38">
      <c r="A10" s="137" t="s">
        <v>579</v>
      </c>
      <c r="B10" s="132" t="s">
        <v>394</v>
      </c>
      <c r="C10" s="238">
        <v>32083</v>
      </c>
      <c r="D10" s="273">
        <v>32280</v>
      </c>
      <c r="E10" s="238">
        <v>25234</v>
      </c>
      <c r="F10" s="238">
        <f t="shared" ref="F10:F18" si="0">E10-D10</f>
        <v>-7046</v>
      </c>
      <c r="G10" s="128">
        <f t="shared" ref="G10:G18" si="1">E10/D10*100</f>
        <v>78.172242874845111</v>
      </c>
      <c r="H10" s="157"/>
    </row>
    <row r="11" spans="1:13" s="117" customFormat="1" ht="38">
      <c r="A11" s="137" t="s">
        <v>578</v>
      </c>
      <c r="B11" s="132" t="s">
        <v>395</v>
      </c>
      <c r="C11" s="238">
        <v>21417</v>
      </c>
      <c r="D11" s="259">
        <v>101851</v>
      </c>
      <c r="E11" s="238">
        <v>63430</v>
      </c>
      <c r="F11" s="238">
        <f t="shared" si="0"/>
        <v>-38421</v>
      </c>
      <c r="G11" s="128">
        <f t="shared" si="1"/>
        <v>62.277248136984419</v>
      </c>
      <c r="H11" s="157"/>
    </row>
    <row r="12" spans="1:13" s="117" customFormat="1" ht="38">
      <c r="A12" s="144" t="s">
        <v>397</v>
      </c>
      <c r="B12" s="132" t="s">
        <v>396</v>
      </c>
      <c r="C12" s="238">
        <v>1510</v>
      </c>
      <c r="D12" s="259">
        <v>1500</v>
      </c>
      <c r="E12" s="238">
        <v>1274</v>
      </c>
      <c r="F12" s="238">
        <f t="shared" si="0"/>
        <v>-226</v>
      </c>
      <c r="G12" s="128">
        <f t="shared" si="1"/>
        <v>84.933333333333337</v>
      </c>
      <c r="H12" s="143"/>
    </row>
    <row r="13" spans="1:13" s="115" customFormat="1" ht="38">
      <c r="A13" s="137" t="s">
        <v>125</v>
      </c>
      <c r="B13" s="132">
        <v>1010</v>
      </c>
      <c r="C13" s="238">
        <f>C14+C15+C17+C18+C19+C20+C21+C16</f>
        <v>50933</v>
      </c>
      <c r="D13" s="238">
        <f>D14+D15+D16+D17+D18+D19+D20+D21+1</f>
        <v>128067</v>
      </c>
      <c r="E13" s="238">
        <f>E14+E15+E17+E18+E19+E20+E21+E16</f>
        <v>94871</v>
      </c>
      <c r="F13" s="238">
        <f t="shared" si="0"/>
        <v>-33196</v>
      </c>
      <c r="G13" s="128">
        <f>E13/D13*100</f>
        <v>74.079192922454652</v>
      </c>
      <c r="H13" s="155"/>
      <c r="I13" s="115">
        <v>94871</v>
      </c>
      <c r="J13" s="127">
        <f>E13-I13</f>
        <v>0</v>
      </c>
      <c r="M13" s="127"/>
    </row>
    <row r="14" spans="1:13" s="118" customFormat="1" ht="21.5">
      <c r="A14" s="137" t="s">
        <v>286</v>
      </c>
      <c r="B14" s="243">
        <v>1011</v>
      </c>
      <c r="C14" s="260">
        <v>9929</v>
      </c>
      <c r="D14" s="259">
        <v>15250</v>
      </c>
      <c r="E14" s="260">
        <f>44693-E15-E16-1021</f>
        <v>7365</v>
      </c>
      <c r="F14" s="238">
        <f t="shared" si="0"/>
        <v>-7885</v>
      </c>
      <c r="G14" s="128">
        <f t="shared" si="1"/>
        <v>48.295081967213115</v>
      </c>
      <c r="H14" s="139"/>
    </row>
    <row r="15" spans="1:13" s="118" customFormat="1" ht="21.5">
      <c r="A15" s="137" t="s">
        <v>65</v>
      </c>
      <c r="B15" s="243">
        <v>1012</v>
      </c>
      <c r="C15" s="260">
        <v>1712</v>
      </c>
      <c r="D15" s="259">
        <v>2400</v>
      </c>
      <c r="E15" s="260">
        <v>2240</v>
      </c>
      <c r="F15" s="238">
        <f t="shared" si="0"/>
        <v>-160</v>
      </c>
      <c r="G15" s="128">
        <f t="shared" si="1"/>
        <v>93.333333333333329</v>
      </c>
      <c r="H15" s="139"/>
    </row>
    <row r="16" spans="1:13" s="118" customFormat="1" ht="21.5">
      <c r="A16" s="137" t="s">
        <v>64</v>
      </c>
      <c r="B16" s="243">
        <v>1013</v>
      </c>
      <c r="C16" s="260"/>
      <c r="D16" s="259">
        <v>64545</v>
      </c>
      <c r="E16" s="260">
        <v>34067</v>
      </c>
      <c r="F16" s="238">
        <f t="shared" si="0"/>
        <v>-30478</v>
      </c>
      <c r="G16" s="128"/>
      <c r="H16" s="139"/>
    </row>
    <row r="17" spans="1:10" s="118" customFormat="1" ht="21.5">
      <c r="A17" s="137" t="s">
        <v>40</v>
      </c>
      <c r="B17" s="243">
        <v>1014</v>
      </c>
      <c r="C17" s="260">
        <v>7666</v>
      </c>
      <c r="D17" s="259">
        <v>14951</v>
      </c>
      <c r="E17" s="260">
        <f>15391-E78-244</f>
        <v>11616</v>
      </c>
      <c r="F17" s="238">
        <f>E17-D17</f>
        <v>-3335</v>
      </c>
      <c r="G17" s="128">
        <f t="shared" si="1"/>
        <v>77.693799745836401</v>
      </c>
      <c r="H17" s="139"/>
    </row>
    <row r="18" spans="1:10" s="118" customFormat="1" ht="21.5">
      <c r="A18" s="137" t="s">
        <v>41</v>
      </c>
      <c r="B18" s="243">
        <v>1015</v>
      </c>
      <c r="C18" s="260">
        <v>1817</v>
      </c>
      <c r="D18" s="259">
        <v>3173</v>
      </c>
      <c r="E18" s="260">
        <f>3490-E79-54</f>
        <v>2704</v>
      </c>
      <c r="F18" s="238">
        <f t="shared" si="0"/>
        <v>-469</v>
      </c>
      <c r="G18" s="128">
        <f t="shared" si="1"/>
        <v>85.219035612984555</v>
      </c>
      <c r="H18" s="139"/>
    </row>
    <row r="19" spans="1:10" s="118" customFormat="1" ht="57">
      <c r="A19" s="137" t="s">
        <v>262</v>
      </c>
      <c r="B19" s="243">
        <v>1016</v>
      </c>
      <c r="C19" s="260"/>
      <c r="D19" s="259"/>
      <c r="E19" s="260"/>
      <c r="F19" s="260"/>
      <c r="G19" s="129"/>
      <c r="H19" s="139"/>
    </row>
    <row r="20" spans="1:10" s="118" customFormat="1" ht="21.5">
      <c r="A20" s="137" t="s">
        <v>63</v>
      </c>
      <c r="B20" s="243">
        <v>1017</v>
      </c>
      <c r="C20" s="260">
        <v>1140</v>
      </c>
      <c r="D20" s="259">
        <v>2150</v>
      </c>
      <c r="E20" s="260">
        <f>1630-E80-E129-20</f>
        <v>1514</v>
      </c>
      <c r="F20" s="238">
        <f t="shared" ref="F20:F25" si="2">E20-D20</f>
        <v>-636</v>
      </c>
      <c r="G20" s="128">
        <f>E20/D20*100</f>
        <v>70.418604651162781</v>
      </c>
      <c r="H20" s="152"/>
    </row>
    <row r="21" spans="1:10" s="118" customFormat="1" ht="21.5">
      <c r="A21" s="137" t="s">
        <v>123</v>
      </c>
      <c r="B21" s="243">
        <v>1018</v>
      </c>
      <c r="C21" s="260">
        <f>C22+C23+C24+C25+C30+C31+C32+C33+C38+C39+C40+C42+C46+C47+C51+C57+C29+C52+C53+C54+C55+C44</f>
        <v>28669</v>
      </c>
      <c r="D21" s="260">
        <f>D22+D23+D24+D25+D26+D27-3+D28+D29+D30+D31+D32+D33+D36+D38+D39+D40+D41+D42+D43+D44+D45+D48+D50+D51+D57+D52</f>
        <v>25597</v>
      </c>
      <c r="E21" s="260">
        <f>E22+E23+E24+E25+E30+E31+E32+E33+E38+E39+E40+E42+E46+E47+E51+E57+E29+E35+E36+E44+E56</f>
        <v>35365</v>
      </c>
      <c r="F21" s="238">
        <f t="shared" si="2"/>
        <v>9768</v>
      </c>
      <c r="G21" s="128">
        <f>E21/D21*100</f>
        <v>138.16072195960464</v>
      </c>
      <c r="H21" s="139"/>
      <c r="J21" s="150"/>
    </row>
    <row r="22" spans="1:10" s="118" customFormat="1" ht="21.5">
      <c r="A22" s="137" t="s">
        <v>399</v>
      </c>
      <c r="B22" s="243" t="s">
        <v>398</v>
      </c>
      <c r="C22" s="260">
        <v>97</v>
      </c>
      <c r="D22" s="260">
        <v>105</v>
      </c>
      <c r="E22" s="260">
        <v>106</v>
      </c>
      <c r="F22" s="238">
        <f t="shared" si="2"/>
        <v>1</v>
      </c>
      <c r="G22" s="128">
        <f>E22/D22*100</f>
        <v>100.95238095238095</v>
      </c>
      <c r="H22" s="139"/>
    </row>
    <row r="23" spans="1:10" s="118" customFormat="1" ht="21.5">
      <c r="A23" s="137" t="s">
        <v>400</v>
      </c>
      <c r="B23" s="243" t="s">
        <v>401</v>
      </c>
      <c r="C23" s="260">
        <v>47</v>
      </c>
      <c r="D23" s="260">
        <v>80</v>
      </c>
      <c r="E23" s="260">
        <f>11</f>
        <v>11</v>
      </c>
      <c r="F23" s="238">
        <f t="shared" si="2"/>
        <v>-69</v>
      </c>
      <c r="G23" s="128">
        <f t="shared" ref="G23:G39" si="3">E23/D23*100</f>
        <v>13.750000000000002</v>
      </c>
      <c r="H23" s="139"/>
    </row>
    <row r="24" spans="1:10" s="118" customFormat="1" ht="21.5">
      <c r="A24" s="137" t="s">
        <v>495</v>
      </c>
      <c r="B24" s="243" t="s">
        <v>402</v>
      </c>
      <c r="C24" s="260">
        <v>332</v>
      </c>
      <c r="D24" s="260">
        <v>308</v>
      </c>
      <c r="E24" s="260">
        <v>1127</v>
      </c>
      <c r="F24" s="238">
        <f t="shared" si="2"/>
        <v>819</v>
      </c>
      <c r="G24" s="128">
        <f t="shared" si="3"/>
        <v>365.90909090909093</v>
      </c>
      <c r="H24" s="139"/>
    </row>
    <row r="25" spans="1:10" s="118" customFormat="1" ht="38">
      <c r="A25" s="137" t="s">
        <v>409</v>
      </c>
      <c r="B25" s="243" t="s">
        <v>403</v>
      </c>
      <c r="C25" s="260">
        <v>47</v>
      </c>
      <c r="D25" s="260">
        <v>55</v>
      </c>
      <c r="E25" s="260">
        <v>80</v>
      </c>
      <c r="F25" s="238">
        <f t="shared" si="2"/>
        <v>25</v>
      </c>
      <c r="G25" s="128">
        <f t="shared" si="3"/>
        <v>145.45454545454547</v>
      </c>
      <c r="H25" s="139"/>
    </row>
    <row r="26" spans="1:10" s="118" customFormat="1" ht="21.5">
      <c r="A26" s="137" t="s">
        <v>410</v>
      </c>
      <c r="B26" s="243" t="s">
        <v>404</v>
      </c>
      <c r="C26" s="260"/>
      <c r="D26" s="260">
        <v>9</v>
      </c>
      <c r="E26" s="260"/>
      <c r="F26" s="238">
        <f t="shared" ref="F26:F33" si="4">E26-D26</f>
        <v>-9</v>
      </c>
      <c r="G26" s="128"/>
      <c r="H26" s="139"/>
    </row>
    <row r="27" spans="1:10" s="118" customFormat="1" ht="21.5">
      <c r="A27" s="137" t="s">
        <v>411</v>
      </c>
      <c r="B27" s="243" t="s">
        <v>405</v>
      </c>
      <c r="C27" s="260"/>
      <c r="D27" s="260">
        <v>10</v>
      </c>
      <c r="E27" s="260"/>
      <c r="F27" s="238">
        <f t="shared" si="4"/>
        <v>-10</v>
      </c>
      <c r="G27" s="128">
        <f t="shared" si="3"/>
        <v>0</v>
      </c>
      <c r="H27" s="139"/>
    </row>
    <row r="28" spans="1:10" s="118" customFormat="1" ht="21.5">
      <c r="A28" s="137" t="s">
        <v>412</v>
      </c>
      <c r="B28" s="243" t="s">
        <v>406</v>
      </c>
      <c r="C28" s="260"/>
      <c r="D28" s="260">
        <v>8</v>
      </c>
      <c r="E28" s="260"/>
      <c r="F28" s="238">
        <f t="shared" si="4"/>
        <v>-8</v>
      </c>
      <c r="G28" s="128">
        <f t="shared" si="3"/>
        <v>0</v>
      </c>
      <c r="H28" s="139"/>
    </row>
    <row r="29" spans="1:10" s="118" customFormat="1" ht="21.5">
      <c r="A29" s="137" t="s">
        <v>413</v>
      </c>
      <c r="B29" s="243" t="s">
        <v>407</v>
      </c>
      <c r="C29" s="260">
        <v>12</v>
      </c>
      <c r="D29" s="260">
        <v>16</v>
      </c>
      <c r="E29" s="260">
        <v>5</v>
      </c>
      <c r="F29" s="238">
        <f t="shared" si="4"/>
        <v>-11</v>
      </c>
      <c r="G29" s="128">
        <f t="shared" si="3"/>
        <v>31.25</v>
      </c>
      <c r="H29" s="139"/>
    </row>
    <row r="30" spans="1:10" s="118" customFormat="1" ht="21.5">
      <c r="A30" s="137" t="s">
        <v>423</v>
      </c>
      <c r="B30" s="243" t="s">
        <v>408</v>
      </c>
      <c r="C30" s="260">
        <v>74</v>
      </c>
      <c r="D30" s="260">
        <v>105</v>
      </c>
      <c r="E30" s="260">
        <v>70</v>
      </c>
      <c r="F30" s="238">
        <f t="shared" si="4"/>
        <v>-35</v>
      </c>
      <c r="G30" s="128">
        <f t="shared" si="3"/>
        <v>66.666666666666657</v>
      </c>
      <c r="H30" s="139"/>
    </row>
    <row r="31" spans="1:10" s="118" customFormat="1" ht="21.5">
      <c r="A31" s="137" t="s">
        <v>551</v>
      </c>
      <c r="B31" s="243" t="s">
        <v>414</v>
      </c>
      <c r="C31" s="260">
        <v>99</v>
      </c>
      <c r="D31" s="260">
        <v>288</v>
      </c>
      <c r="E31" s="260">
        <f>101+26</f>
        <v>127</v>
      </c>
      <c r="F31" s="238">
        <f t="shared" si="4"/>
        <v>-161</v>
      </c>
      <c r="G31" s="128">
        <f t="shared" si="3"/>
        <v>44.097222222222221</v>
      </c>
      <c r="H31" s="139"/>
    </row>
    <row r="32" spans="1:10" s="118" customFormat="1" ht="38">
      <c r="A32" s="137" t="s">
        <v>540</v>
      </c>
      <c r="B32" s="243" t="s">
        <v>415</v>
      </c>
      <c r="C32" s="260">
        <v>52</v>
      </c>
      <c r="D32" s="260">
        <v>60</v>
      </c>
      <c r="E32" s="260">
        <f>31+27+6</f>
        <v>64</v>
      </c>
      <c r="F32" s="238">
        <f t="shared" si="4"/>
        <v>4</v>
      </c>
      <c r="G32" s="128">
        <f t="shared" si="3"/>
        <v>106.66666666666667</v>
      </c>
      <c r="H32" s="139"/>
    </row>
    <row r="33" spans="1:8" s="118" customFormat="1" ht="21.5">
      <c r="A33" s="137" t="s">
        <v>424</v>
      </c>
      <c r="B33" s="243" t="s">
        <v>416</v>
      </c>
      <c r="C33" s="260">
        <v>10</v>
      </c>
      <c r="D33" s="260">
        <v>103</v>
      </c>
      <c r="E33" s="260">
        <v>10</v>
      </c>
      <c r="F33" s="238">
        <f t="shared" si="4"/>
        <v>-93</v>
      </c>
      <c r="G33" s="128">
        <f t="shared" si="3"/>
        <v>9.7087378640776691</v>
      </c>
      <c r="H33" s="139"/>
    </row>
    <row r="34" spans="1:8" s="118" customFormat="1" ht="21.5">
      <c r="A34" s="137" t="s">
        <v>544</v>
      </c>
      <c r="B34" s="243" t="s">
        <v>417</v>
      </c>
      <c r="C34" s="260"/>
      <c r="D34" s="260"/>
      <c r="E34" s="260"/>
      <c r="F34" s="238"/>
      <c r="G34" s="128"/>
      <c r="H34" s="139"/>
    </row>
    <row r="35" spans="1:8" s="118" customFormat="1" ht="21.5">
      <c r="A35" s="137" t="s">
        <v>599</v>
      </c>
      <c r="B35" s="243" t="s">
        <v>418</v>
      </c>
      <c r="C35" s="260"/>
      <c r="D35" s="260"/>
      <c r="E35" s="260">
        <v>41</v>
      </c>
      <c r="F35" s="238"/>
      <c r="G35" s="128"/>
      <c r="H35" s="139"/>
    </row>
    <row r="36" spans="1:8" s="118" customFormat="1" ht="21.5">
      <c r="A36" s="137" t="s">
        <v>425</v>
      </c>
      <c r="B36" s="243" t="s">
        <v>419</v>
      </c>
      <c r="C36" s="260"/>
      <c r="D36" s="260">
        <v>40</v>
      </c>
      <c r="E36" s="260">
        <v>57</v>
      </c>
      <c r="F36" s="238">
        <f t="shared" ref="F36:F43" si="5">E36-D36</f>
        <v>17</v>
      </c>
      <c r="G36" s="128">
        <f t="shared" si="3"/>
        <v>142.5</v>
      </c>
      <c r="H36" s="139"/>
    </row>
    <row r="37" spans="1:8" s="118" customFormat="1" ht="21.5">
      <c r="A37" s="137" t="s">
        <v>552</v>
      </c>
      <c r="B37" s="243" t="s">
        <v>420</v>
      </c>
      <c r="C37" s="260"/>
      <c r="D37" s="260"/>
      <c r="E37" s="260"/>
      <c r="F37" s="238">
        <f t="shared" si="5"/>
        <v>0</v>
      </c>
      <c r="G37" s="128"/>
      <c r="H37" s="139"/>
    </row>
    <row r="38" spans="1:8" s="118" customFormat="1" ht="38">
      <c r="A38" s="145" t="s">
        <v>426</v>
      </c>
      <c r="B38" s="243" t="s">
        <v>421</v>
      </c>
      <c r="C38" s="260">
        <v>145</v>
      </c>
      <c r="D38" s="260">
        <v>148</v>
      </c>
      <c r="E38" s="260">
        <v>184</v>
      </c>
      <c r="F38" s="238">
        <f t="shared" si="5"/>
        <v>36</v>
      </c>
      <c r="G38" s="128">
        <f t="shared" si="3"/>
        <v>124.32432432432432</v>
      </c>
      <c r="H38" s="139"/>
    </row>
    <row r="39" spans="1:8" s="118" customFormat="1" ht="21.5">
      <c r="A39" s="138" t="s">
        <v>427</v>
      </c>
      <c r="B39" s="243" t="s">
        <v>422</v>
      </c>
      <c r="C39" s="260">
        <v>24</v>
      </c>
      <c r="D39" s="260">
        <v>28</v>
      </c>
      <c r="E39" s="260">
        <v>24</v>
      </c>
      <c r="F39" s="238">
        <f t="shared" si="5"/>
        <v>-4</v>
      </c>
      <c r="G39" s="128">
        <f t="shared" si="3"/>
        <v>85.714285714285708</v>
      </c>
      <c r="H39" s="139"/>
    </row>
    <row r="40" spans="1:8" s="118" customFormat="1" ht="21.5">
      <c r="A40" s="137" t="s">
        <v>47</v>
      </c>
      <c r="B40" s="243" t="s">
        <v>428</v>
      </c>
      <c r="C40" s="260">
        <v>90</v>
      </c>
      <c r="D40" s="260">
        <v>125</v>
      </c>
      <c r="E40" s="260">
        <v>75</v>
      </c>
      <c r="F40" s="238">
        <f t="shared" si="5"/>
        <v>-50</v>
      </c>
      <c r="G40" s="128">
        <f>E40/D40*100</f>
        <v>60</v>
      </c>
      <c r="H40" s="139"/>
    </row>
    <row r="41" spans="1:8" s="118" customFormat="1" ht="21.5">
      <c r="A41" s="137" t="s">
        <v>467</v>
      </c>
      <c r="B41" s="243" t="s">
        <v>501</v>
      </c>
      <c r="C41" s="260"/>
      <c r="D41" s="260">
        <v>4</v>
      </c>
      <c r="E41" s="260"/>
      <c r="F41" s="238">
        <f t="shared" si="5"/>
        <v>-4</v>
      </c>
      <c r="G41" s="128"/>
      <c r="H41" s="139"/>
    </row>
    <row r="42" spans="1:8" s="118" customFormat="1" ht="38">
      <c r="A42" s="137" t="s">
        <v>504</v>
      </c>
      <c r="B42" s="243" t="s">
        <v>502</v>
      </c>
      <c r="C42" s="260">
        <v>1151</v>
      </c>
      <c r="D42" s="260">
        <v>750</v>
      </c>
      <c r="E42" s="260">
        <v>1220</v>
      </c>
      <c r="F42" s="238">
        <f t="shared" si="5"/>
        <v>470</v>
      </c>
      <c r="G42" s="128">
        <f>E42/D42*100</f>
        <v>162.66666666666666</v>
      </c>
      <c r="H42" s="139"/>
    </row>
    <row r="43" spans="1:8" s="118" customFormat="1" ht="21.5">
      <c r="A43" s="137" t="s">
        <v>583</v>
      </c>
      <c r="B43" s="243" t="s">
        <v>503</v>
      </c>
      <c r="C43" s="260"/>
      <c r="D43" s="260">
        <v>150</v>
      </c>
      <c r="E43" s="260"/>
      <c r="F43" s="238">
        <f t="shared" si="5"/>
        <v>-150</v>
      </c>
      <c r="G43" s="128">
        <f>E43/D43*100</f>
        <v>0</v>
      </c>
      <c r="H43" s="139"/>
    </row>
    <row r="44" spans="1:8" s="118" customFormat="1" ht="21.5">
      <c r="A44" s="137" t="s">
        <v>566</v>
      </c>
      <c r="B44" s="243" t="s">
        <v>505</v>
      </c>
      <c r="C44" s="260">
        <v>15</v>
      </c>
      <c r="D44" s="260">
        <v>25</v>
      </c>
      <c r="E44" s="260">
        <v>47</v>
      </c>
      <c r="F44" s="238">
        <f>E44-D44</f>
        <v>22</v>
      </c>
      <c r="G44" s="128">
        <f>E44/D44*100</f>
        <v>188</v>
      </c>
      <c r="H44" s="139"/>
    </row>
    <row r="45" spans="1:8" s="118" customFormat="1" ht="21.5">
      <c r="A45" s="137" t="s">
        <v>567</v>
      </c>
      <c r="B45" s="243" t="s">
        <v>506</v>
      </c>
      <c r="C45" s="260"/>
      <c r="D45" s="260">
        <v>50</v>
      </c>
      <c r="E45" s="260"/>
      <c r="F45" s="238">
        <f>E45-D45</f>
        <v>-50</v>
      </c>
      <c r="G45" s="128">
        <f>E45/D45*100</f>
        <v>0</v>
      </c>
      <c r="H45" s="139"/>
    </row>
    <row r="46" spans="1:8" s="118" customFormat="1" ht="21.5">
      <c r="A46" s="137" t="s">
        <v>589</v>
      </c>
      <c r="B46" s="243" t="s">
        <v>522</v>
      </c>
      <c r="C46" s="260">
        <v>75</v>
      </c>
      <c r="D46" s="260"/>
      <c r="E46" s="260">
        <v>248</v>
      </c>
      <c r="F46" s="238">
        <f>E46-D46</f>
        <v>248</v>
      </c>
      <c r="G46" s="128"/>
      <c r="H46" s="139"/>
    </row>
    <row r="47" spans="1:8" s="118" customFormat="1" ht="21.5">
      <c r="A47" s="137" t="s">
        <v>588</v>
      </c>
      <c r="B47" s="243" t="s">
        <v>523</v>
      </c>
      <c r="C47" s="260">
        <v>12</v>
      </c>
      <c r="D47" s="260"/>
      <c r="E47" s="260">
        <v>16</v>
      </c>
      <c r="F47" s="238">
        <f>E47-D47</f>
        <v>16</v>
      </c>
      <c r="G47" s="128"/>
      <c r="H47" s="139"/>
    </row>
    <row r="48" spans="1:8" s="118" customFormat="1" ht="21.5">
      <c r="A48" s="137" t="s">
        <v>560</v>
      </c>
      <c r="B48" s="243" t="s">
        <v>524</v>
      </c>
      <c r="C48" s="260"/>
      <c r="D48" s="260"/>
      <c r="E48" s="260"/>
      <c r="F48" s="238"/>
      <c r="G48" s="128"/>
      <c r="H48" s="139"/>
    </row>
    <row r="49" spans="1:9" s="118" customFormat="1" ht="21.5">
      <c r="A49" s="137" t="s">
        <v>568</v>
      </c>
      <c r="B49" s="243" t="s">
        <v>561</v>
      </c>
      <c r="C49" s="260"/>
      <c r="D49" s="260"/>
      <c r="E49" s="260"/>
      <c r="F49" s="238">
        <f t="shared" ref="F49:F60" si="6">E49-D49</f>
        <v>0</v>
      </c>
      <c r="G49" s="128"/>
      <c r="H49" s="139"/>
    </row>
    <row r="50" spans="1:9" s="118" customFormat="1" ht="21.5">
      <c r="A50" s="137" t="s">
        <v>569</v>
      </c>
      <c r="B50" s="243" t="s">
        <v>570</v>
      </c>
      <c r="C50" s="260"/>
      <c r="D50" s="260">
        <v>125</v>
      </c>
      <c r="E50" s="260"/>
      <c r="F50" s="238">
        <f t="shared" si="6"/>
        <v>-125</v>
      </c>
      <c r="G50" s="128">
        <f>E50/D50*100</f>
        <v>0</v>
      </c>
      <c r="H50" s="139"/>
    </row>
    <row r="51" spans="1:9" s="118" customFormat="1" ht="57">
      <c r="A51" s="137" t="s">
        <v>584</v>
      </c>
      <c r="B51" s="243" t="s">
        <v>571</v>
      </c>
      <c r="C51" s="260">
        <v>418</v>
      </c>
      <c r="D51" s="260">
        <v>500</v>
      </c>
      <c r="E51" s="260">
        <v>853</v>
      </c>
      <c r="F51" s="238">
        <f t="shared" si="6"/>
        <v>353</v>
      </c>
      <c r="G51" s="128">
        <f>E51/D51*100</f>
        <v>170.6</v>
      </c>
      <c r="H51" s="139"/>
    </row>
    <row r="52" spans="1:9" s="118" customFormat="1" ht="21.5">
      <c r="A52" s="137" t="s">
        <v>585</v>
      </c>
      <c r="B52" s="243" t="s">
        <v>572</v>
      </c>
      <c r="C52" s="260">
        <v>55</v>
      </c>
      <c r="D52" s="260">
        <v>8</v>
      </c>
      <c r="E52" s="260"/>
      <c r="F52" s="238"/>
      <c r="G52" s="128"/>
      <c r="H52" s="139"/>
    </row>
    <row r="53" spans="1:9" s="118" customFormat="1" ht="21.5">
      <c r="A53" s="137" t="s">
        <v>606</v>
      </c>
      <c r="B53" s="265" t="s">
        <v>586</v>
      </c>
      <c r="C53" s="260">
        <v>58</v>
      </c>
      <c r="D53" s="260"/>
      <c r="E53" s="260"/>
      <c r="F53" s="238"/>
      <c r="G53" s="128"/>
      <c r="H53" s="139"/>
    </row>
    <row r="54" spans="1:9" s="118" customFormat="1" ht="21.5">
      <c r="A54" s="137" t="s">
        <v>610</v>
      </c>
      <c r="B54" s="265" t="s">
        <v>587</v>
      </c>
      <c r="C54" s="260">
        <v>8</v>
      </c>
      <c r="D54" s="260"/>
      <c r="E54" s="260"/>
      <c r="F54" s="238"/>
      <c r="G54" s="128"/>
      <c r="H54" s="139"/>
    </row>
    <row r="55" spans="1:9" s="118" customFormat="1" ht="21.5">
      <c r="A55" s="137" t="s">
        <v>611</v>
      </c>
      <c r="B55" s="265" t="s">
        <v>607</v>
      </c>
      <c r="C55" s="260">
        <v>789</v>
      </c>
      <c r="D55" s="260"/>
      <c r="E55" s="260"/>
      <c r="F55" s="238"/>
      <c r="G55" s="128"/>
      <c r="H55" s="139"/>
    </row>
    <row r="56" spans="1:9" s="118" customFormat="1" ht="21.5">
      <c r="A56" s="137" t="s">
        <v>600</v>
      </c>
      <c r="B56" s="265" t="s">
        <v>608</v>
      </c>
      <c r="C56" s="260"/>
      <c r="D56" s="260"/>
      <c r="E56" s="260">
        <v>8417</v>
      </c>
      <c r="F56" s="238">
        <f t="shared" si="6"/>
        <v>8417</v>
      </c>
      <c r="G56" s="128"/>
      <c r="H56" s="139"/>
    </row>
    <row r="57" spans="1:9" s="118" customFormat="1" ht="93">
      <c r="A57" s="137" t="s">
        <v>508</v>
      </c>
      <c r="B57" s="265" t="s">
        <v>609</v>
      </c>
      <c r="C57" s="260">
        <v>25059</v>
      </c>
      <c r="D57" s="260">
        <v>22500</v>
      </c>
      <c r="E57" s="260">
        <v>22583</v>
      </c>
      <c r="F57" s="238">
        <f t="shared" si="6"/>
        <v>83</v>
      </c>
      <c r="G57" s="128">
        <f>E57/D57*100</f>
        <v>100.36888888888889</v>
      </c>
      <c r="H57" s="152" t="s">
        <v>577</v>
      </c>
    </row>
    <row r="58" spans="1:9" s="117" customFormat="1" ht="21">
      <c r="A58" s="134" t="s">
        <v>23</v>
      </c>
      <c r="B58" s="135">
        <v>1020</v>
      </c>
      <c r="C58" s="261">
        <f>C9-C13</f>
        <v>4077</v>
      </c>
      <c r="D58" s="261">
        <f>D9-D13+2</f>
        <v>7566</v>
      </c>
      <c r="E58" s="261">
        <f>E9-E13</f>
        <v>-4933</v>
      </c>
      <c r="F58" s="261">
        <f t="shared" si="6"/>
        <v>-12499</v>
      </c>
      <c r="G58" s="130">
        <f>E58/D58*100</f>
        <v>-65.199577055247161</v>
      </c>
      <c r="H58" s="136"/>
    </row>
    <row r="59" spans="1:9" s="115" customFormat="1" ht="21.5">
      <c r="A59" s="137" t="s">
        <v>218</v>
      </c>
      <c r="B59" s="132">
        <v>1030</v>
      </c>
      <c r="C59" s="238">
        <f>C60+C61+C62+C63+C64+C65+C66+C67+C68</f>
        <v>1511</v>
      </c>
      <c r="D59" s="238">
        <f>D60+D61+D62+D68+D67</f>
        <v>1875</v>
      </c>
      <c r="E59" s="238">
        <f>E60+E61+E62+E63+E64+E65+E66+E67+E68</f>
        <v>880</v>
      </c>
      <c r="F59" s="238">
        <f t="shared" si="6"/>
        <v>-995</v>
      </c>
      <c r="G59" s="128">
        <f>E59/D59*100</f>
        <v>46.93333333333333</v>
      </c>
      <c r="H59" s="133"/>
      <c r="I59" s="115">
        <v>9882</v>
      </c>
    </row>
    <row r="60" spans="1:9" s="115" customFormat="1" ht="21.5">
      <c r="A60" s="131" t="s">
        <v>573</v>
      </c>
      <c r="B60" s="132" t="s">
        <v>429</v>
      </c>
      <c r="C60" s="238">
        <v>1070</v>
      </c>
      <c r="D60" s="238">
        <v>1125</v>
      </c>
      <c r="E60" s="238">
        <v>371</v>
      </c>
      <c r="F60" s="238">
        <f t="shared" si="6"/>
        <v>-754</v>
      </c>
      <c r="G60" s="128">
        <f>E60/D60*100</f>
        <v>32.977777777777781</v>
      </c>
      <c r="H60" s="133"/>
    </row>
    <row r="61" spans="1:9" s="115" customFormat="1" ht="21.5">
      <c r="A61" s="131" t="s">
        <v>427</v>
      </c>
      <c r="B61" s="132" t="s">
        <v>430</v>
      </c>
      <c r="C61" s="238">
        <v>22</v>
      </c>
      <c r="D61" s="238">
        <v>400</v>
      </c>
      <c r="E61" s="238">
        <v>359</v>
      </c>
      <c r="F61" s="238"/>
      <c r="G61" s="128"/>
      <c r="H61" s="133"/>
    </row>
    <row r="62" spans="1:9" s="115" customFormat="1" ht="21.5">
      <c r="A62" s="131" t="s">
        <v>7</v>
      </c>
      <c r="B62" s="132" t="s">
        <v>431</v>
      </c>
      <c r="C62" s="238"/>
      <c r="D62" s="238"/>
      <c r="E62" s="238"/>
      <c r="F62" s="238"/>
      <c r="G62" s="128"/>
      <c r="H62" s="133"/>
    </row>
    <row r="63" spans="1:9" s="115" customFormat="1" ht="21.5">
      <c r="A63" s="131" t="s">
        <v>601</v>
      </c>
      <c r="B63" s="132" t="s">
        <v>432</v>
      </c>
      <c r="C63" s="238"/>
      <c r="D63" s="238"/>
      <c r="E63" s="238"/>
      <c r="F63" s="238"/>
      <c r="G63" s="128"/>
      <c r="H63" s="133"/>
    </row>
    <row r="64" spans="1:9" s="115" customFormat="1" ht="21.5">
      <c r="A64" s="131" t="s">
        <v>602</v>
      </c>
      <c r="B64" s="132" t="s">
        <v>433</v>
      </c>
      <c r="C64" s="238"/>
      <c r="D64" s="238"/>
      <c r="E64" s="238"/>
      <c r="F64" s="238"/>
      <c r="G64" s="128"/>
      <c r="H64" s="133"/>
    </row>
    <row r="65" spans="1:10" s="115" customFormat="1" ht="21.5">
      <c r="A65" s="131" t="s">
        <v>437</v>
      </c>
      <c r="B65" s="132" t="s">
        <v>434</v>
      </c>
      <c r="C65" s="238"/>
      <c r="D65" s="238"/>
      <c r="E65" s="238"/>
      <c r="F65" s="238"/>
      <c r="G65" s="128"/>
      <c r="H65" s="133"/>
    </row>
    <row r="66" spans="1:10" s="115" customFormat="1" ht="21.5">
      <c r="A66" s="131" t="s">
        <v>599</v>
      </c>
      <c r="B66" s="132" t="s">
        <v>435</v>
      </c>
      <c r="C66" s="238"/>
      <c r="D66" s="238"/>
      <c r="E66" s="238"/>
      <c r="F66" s="238"/>
      <c r="G66" s="128"/>
      <c r="H66" s="133"/>
    </row>
    <row r="67" spans="1:10" s="115" customFormat="1" ht="21.5">
      <c r="A67" s="131" t="s">
        <v>574</v>
      </c>
      <c r="B67" s="132" t="s">
        <v>436</v>
      </c>
      <c r="C67" s="238">
        <v>419</v>
      </c>
      <c r="D67" s="238">
        <v>350</v>
      </c>
      <c r="E67" s="238">
        <v>150</v>
      </c>
      <c r="F67" s="238">
        <f>E67-D67</f>
        <v>-200</v>
      </c>
      <c r="G67" s="128">
        <f>E67/D67*100</f>
        <v>42.857142857142854</v>
      </c>
      <c r="H67" s="133"/>
    </row>
    <row r="68" spans="1:10" s="115" customFormat="1" ht="21.5">
      <c r="A68" s="145" t="s">
        <v>509</v>
      </c>
      <c r="B68" s="132" t="s">
        <v>510</v>
      </c>
      <c r="C68" s="238"/>
      <c r="D68" s="238"/>
      <c r="E68" s="238"/>
      <c r="F68" s="238">
        <f>E68-D68</f>
        <v>0</v>
      </c>
      <c r="G68" s="128"/>
      <c r="H68" s="133"/>
    </row>
    <row r="69" spans="1:10" s="115" customFormat="1" ht="21.5">
      <c r="A69" s="137" t="s">
        <v>219</v>
      </c>
      <c r="B69" s="132">
        <v>1031</v>
      </c>
      <c r="C69" s="238"/>
      <c r="D69" s="238"/>
      <c r="E69" s="238"/>
      <c r="F69" s="238"/>
      <c r="G69" s="128"/>
      <c r="H69" s="133"/>
    </row>
    <row r="70" spans="1:10" s="115" customFormat="1" ht="21.5">
      <c r="A70" s="137" t="s">
        <v>228</v>
      </c>
      <c r="B70" s="132">
        <v>1040</v>
      </c>
      <c r="C70" s="238">
        <f>C71+C72+C73+C74+C75+C76+C77+C78+C79+C80+C85+C91+C92+C84+C88+C90</f>
        <v>3767</v>
      </c>
      <c r="D70" s="238">
        <f>D71+D76+D77+D78+D79+D80+D84+D85+D90+D92</f>
        <v>5065</v>
      </c>
      <c r="E70" s="238">
        <f>E71+E74+E76+E77+E78+E79+E80+E84+E85+E86+E88+E89+E90+E92+E91</f>
        <v>5579</v>
      </c>
      <c r="F70" s="238">
        <f>E70-D70</f>
        <v>514</v>
      </c>
      <c r="G70" s="128">
        <f>E70/D70*100</f>
        <v>110.14807502467919</v>
      </c>
      <c r="H70" s="133"/>
      <c r="I70" s="115">
        <v>5579</v>
      </c>
      <c r="J70" s="127">
        <f>E70-I70</f>
        <v>0</v>
      </c>
    </row>
    <row r="71" spans="1:10" s="115" customFormat="1" ht="38">
      <c r="A71" s="137" t="s">
        <v>106</v>
      </c>
      <c r="B71" s="132">
        <v>1041</v>
      </c>
      <c r="C71" s="238">
        <v>435</v>
      </c>
      <c r="D71" s="238">
        <v>400</v>
      </c>
      <c r="E71" s="238">
        <f>111+244+54+20</f>
        <v>429</v>
      </c>
      <c r="F71" s="238">
        <f>E71-D71</f>
        <v>29</v>
      </c>
      <c r="G71" s="128">
        <f>E71/D71*100</f>
        <v>107.25</v>
      </c>
      <c r="H71" s="133"/>
      <c r="J71" s="127"/>
    </row>
    <row r="72" spans="1:10" s="115" customFormat="1" ht="21.5">
      <c r="A72" s="137" t="s">
        <v>209</v>
      </c>
      <c r="B72" s="132">
        <v>1042</v>
      </c>
      <c r="C72" s="238"/>
      <c r="D72" s="238"/>
      <c r="E72" s="238"/>
      <c r="F72" s="238"/>
      <c r="G72" s="128"/>
      <c r="H72" s="133"/>
    </row>
    <row r="73" spans="1:10" s="115" customFormat="1" ht="21.5">
      <c r="A73" s="137" t="s">
        <v>62</v>
      </c>
      <c r="B73" s="132">
        <v>1043</v>
      </c>
      <c r="C73" s="238"/>
      <c r="D73" s="238"/>
      <c r="E73" s="238"/>
      <c r="F73" s="238"/>
      <c r="G73" s="128"/>
      <c r="H73" s="133"/>
    </row>
    <row r="74" spans="1:10" s="115" customFormat="1" ht="21.5">
      <c r="A74" s="137" t="s">
        <v>21</v>
      </c>
      <c r="B74" s="132">
        <v>1044</v>
      </c>
      <c r="C74" s="238"/>
      <c r="D74" s="238"/>
      <c r="E74" s="238"/>
      <c r="F74" s="238"/>
      <c r="G74" s="128"/>
      <c r="H74" s="133"/>
    </row>
    <row r="75" spans="1:10" s="115" customFormat="1" ht="21.5">
      <c r="A75" s="137" t="s">
        <v>22</v>
      </c>
      <c r="B75" s="132">
        <v>1045</v>
      </c>
      <c r="C75" s="238"/>
      <c r="D75" s="238"/>
      <c r="E75" s="238"/>
      <c r="F75" s="238"/>
      <c r="G75" s="128"/>
      <c r="H75" s="133"/>
    </row>
    <row r="76" spans="1:10" s="118" customFormat="1" ht="21.5">
      <c r="A76" s="137" t="s">
        <v>38</v>
      </c>
      <c r="B76" s="132">
        <v>1046</v>
      </c>
      <c r="C76" s="238">
        <v>6</v>
      </c>
      <c r="D76" s="238">
        <v>8</v>
      </c>
      <c r="E76" s="238">
        <v>6</v>
      </c>
      <c r="F76" s="238">
        <f>E76-D76</f>
        <v>-2</v>
      </c>
      <c r="G76" s="128">
        <f>E76/D76*100</f>
        <v>75</v>
      </c>
      <c r="H76" s="133"/>
    </row>
    <row r="77" spans="1:10" s="118" customFormat="1" ht="21.5">
      <c r="A77" s="137" t="s">
        <v>39</v>
      </c>
      <c r="B77" s="132">
        <v>1047</v>
      </c>
      <c r="C77" s="238">
        <v>14</v>
      </c>
      <c r="D77" s="238">
        <v>20</v>
      </c>
      <c r="E77" s="238">
        <v>14</v>
      </c>
      <c r="F77" s="238">
        <f>E77-D77</f>
        <v>-6</v>
      </c>
      <c r="G77" s="128">
        <f>E77/D77*100</f>
        <v>70</v>
      </c>
      <c r="H77" s="133"/>
    </row>
    <row r="78" spans="1:10" s="118" customFormat="1" ht="21.5">
      <c r="A78" s="137" t="s">
        <v>40</v>
      </c>
      <c r="B78" s="132">
        <v>1048</v>
      </c>
      <c r="C78" s="238">
        <v>2362</v>
      </c>
      <c r="D78" s="238">
        <v>3224</v>
      </c>
      <c r="E78" s="238">
        <f>3775-244</f>
        <v>3531</v>
      </c>
      <c r="F78" s="238">
        <f>E78-D78</f>
        <v>307</v>
      </c>
      <c r="G78" s="128">
        <f>E78/D78*100</f>
        <v>109.52233250620347</v>
      </c>
      <c r="H78" s="133"/>
    </row>
    <row r="79" spans="1:10" s="118" customFormat="1" ht="21.5">
      <c r="A79" s="137" t="s">
        <v>41</v>
      </c>
      <c r="B79" s="132">
        <v>1049</v>
      </c>
      <c r="C79" s="238">
        <v>453</v>
      </c>
      <c r="D79" s="238">
        <v>658</v>
      </c>
      <c r="E79" s="238">
        <f>786-54</f>
        <v>732</v>
      </c>
      <c r="F79" s="238">
        <f>E79-D79</f>
        <v>74</v>
      </c>
      <c r="G79" s="128">
        <f>E79/D79*100</f>
        <v>111.24620060790274</v>
      </c>
      <c r="H79" s="133"/>
    </row>
    <row r="80" spans="1:10" s="118" customFormat="1" ht="38">
      <c r="A80" s="137" t="s">
        <v>42</v>
      </c>
      <c r="B80" s="132">
        <v>1050</v>
      </c>
      <c r="C80" s="238">
        <v>73</v>
      </c>
      <c r="D80" s="238">
        <v>145</v>
      </c>
      <c r="E80" s="238">
        <f>116-20</f>
        <v>96</v>
      </c>
      <c r="F80" s="238">
        <f>E80-D80</f>
        <v>-49</v>
      </c>
      <c r="G80" s="128">
        <f>E80/D80*100</f>
        <v>66.206896551724142</v>
      </c>
      <c r="H80" s="133"/>
    </row>
    <row r="81" spans="1:8" s="118" customFormat="1" ht="38">
      <c r="A81" s="137" t="s">
        <v>43</v>
      </c>
      <c r="B81" s="132">
        <v>1051</v>
      </c>
      <c r="C81" s="238"/>
      <c r="D81" s="238"/>
      <c r="E81" s="238"/>
      <c r="F81" s="238"/>
      <c r="G81" s="128"/>
      <c r="H81" s="133"/>
    </row>
    <row r="82" spans="1:8" s="118" customFormat="1" ht="38">
      <c r="A82" s="137" t="s">
        <v>44</v>
      </c>
      <c r="B82" s="132">
        <v>1052</v>
      </c>
      <c r="C82" s="238"/>
      <c r="D82" s="238"/>
      <c r="E82" s="238"/>
      <c r="F82" s="238"/>
      <c r="G82" s="128"/>
      <c r="H82" s="133"/>
    </row>
    <row r="83" spans="1:8" s="118" customFormat="1" ht="21.5">
      <c r="A83" s="137" t="s">
        <v>45</v>
      </c>
      <c r="B83" s="132">
        <v>1053</v>
      </c>
      <c r="C83" s="238"/>
      <c r="D83" s="238"/>
      <c r="E83" s="238"/>
      <c r="F83" s="238"/>
      <c r="G83" s="128"/>
      <c r="H83" s="133"/>
    </row>
    <row r="84" spans="1:8" s="118" customFormat="1" ht="21.5">
      <c r="A84" s="137" t="s">
        <v>46</v>
      </c>
      <c r="B84" s="132">
        <v>1054</v>
      </c>
      <c r="C84" s="238">
        <v>11</v>
      </c>
      <c r="D84" s="238">
        <v>20</v>
      </c>
      <c r="E84" s="238">
        <f>22</f>
        <v>22</v>
      </c>
      <c r="F84" s="238">
        <f>E84-D84</f>
        <v>2</v>
      </c>
      <c r="G84" s="128">
        <f>E84/D84*100</f>
        <v>110.00000000000001</v>
      </c>
      <c r="H84" s="133"/>
    </row>
    <row r="85" spans="1:8" s="118" customFormat="1" ht="21.5">
      <c r="A85" s="137" t="s">
        <v>66</v>
      </c>
      <c r="B85" s="132">
        <v>1055</v>
      </c>
      <c r="C85" s="238">
        <v>15</v>
      </c>
      <c r="D85" s="238">
        <v>75</v>
      </c>
      <c r="E85" s="238">
        <v>13</v>
      </c>
      <c r="F85" s="238">
        <f>E85-D85</f>
        <v>-62</v>
      </c>
      <c r="G85" s="128">
        <f>E85/D85*100</f>
        <v>17.333333333333336</v>
      </c>
      <c r="H85" s="133"/>
    </row>
    <row r="86" spans="1:8" s="118" customFormat="1" ht="21.5">
      <c r="A86" s="137" t="s">
        <v>47</v>
      </c>
      <c r="B86" s="132">
        <v>1056</v>
      </c>
      <c r="C86" s="238"/>
      <c r="D86" s="238"/>
      <c r="E86" s="238"/>
      <c r="F86" s="238"/>
      <c r="G86" s="128"/>
      <c r="H86" s="133"/>
    </row>
    <row r="87" spans="1:8" s="118" customFormat="1" ht="21.5">
      <c r="A87" s="137" t="s">
        <v>48</v>
      </c>
      <c r="B87" s="132">
        <v>1057</v>
      </c>
      <c r="C87" s="238"/>
      <c r="D87" s="238"/>
      <c r="E87" s="238"/>
      <c r="F87" s="238"/>
      <c r="G87" s="128"/>
      <c r="H87" s="133"/>
    </row>
    <row r="88" spans="1:8" s="118" customFormat="1" ht="38">
      <c r="A88" s="137" t="s">
        <v>49</v>
      </c>
      <c r="B88" s="132">
        <v>1058</v>
      </c>
      <c r="C88" s="238">
        <v>3</v>
      </c>
      <c r="D88" s="238"/>
      <c r="E88" s="238">
        <v>14</v>
      </c>
      <c r="F88" s="238"/>
      <c r="G88" s="128"/>
      <c r="H88" s="133"/>
    </row>
    <row r="89" spans="1:8" s="118" customFormat="1" ht="38">
      <c r="A89" s="137" t="s">
        <v>50</v>
      </c>
      <c r="B89" s="132">
        <v>1059</v>
      </c>
      <c r="C89" s="238"/>
      <c r="D89" s="238"/>
      <c r="E89" s="238"/>
      <c r="F89" s="238"/>
      <c r="G89" s="128"/>
      <c r="H89" s="133"/>
    </row>
    <row r="90" spans="1:8" s="118" customFormat="1" ht="57">
      <c r="A90" s="137" t="s">
        <v>76</v>
      </c>
      <c r="B90" s="132">
        <v>1060</v>
      </c>
      <c r="C90" s="238">
        <v>8</v>
      </c>
      <c r="D90" s="238">
        <v>25</v>
      </c>
      <c r="E90" s="238"/>
      <c r="F90" s="238"/>
      <c r="G90" s="128"/>
      <c r="H90" s="133"/>
    </row>
    <row r="91" spans="1:8" s="118" customFormat="1" ht="21.5">
      <c r="A91" s="137" t="s">
        <v>51</v>
      </c>
      <c r="B91" s="132">
        <v>1061</v>
      </c>
      <c r="C91" s="238"/>
      <c r="D91" s="238"/>
      <c r="E91" s="238"/>
      <c r="F91" s="238">
        <f>E91-D91</f>
        <v>0</v>
      </c>
      <c r="G91" s="128"/>
      <c r="H91" s="139"/>
    </row>
    <row r="92" spans="1:8" s="118" customFormat="1" ht="21.5">
      <c r="A92" s="137" t="s">
        <v>110</v>
      </c>
      <c r="B92" s="132">
        <v>1062</v>
      </c>
      <c r="C92" s="238">
        <f>C93+C94+C95+C96+C97+C99</f>
        <v>387</v>
      </c>
      <c r="D92" s="238">
        <v>490</v>
      </c>
      <c r="E92" s="238">
        <f>E93+E94+E95+E96+E97+E99+E107+E98</f>
        <v>722</v>
      </c>
      <c r="F92" s="238">
        <f t="shared" ref="F92:F97" si="7">E92-D92</f>
        <v>232</v>
      </c>
      <c r="G92" s="128">
        <f t="shared" ref="G92:G97" si="8">E92/D92*100</f>
        <v>147.34693877551018</v>
      </c>
      <c r="H92" s="133"/>
    </row>
    <row r="93" spans="1:8" s="118" customFormat="1" ht="21.5">
      <c r="A93" s="131" t="s">
        <v>438</v>
      </c>
      <c r="B93" s="132" t="s">
        <v>441</v>
      </c>
      <c r="C93" s="238">
        <v>24</v>
      </c>
      <c r="D93" s="238">
        <v>28</v>
      </c>
      <c r="E93" s="238">
        <v>24</v>
      </c>
      <c r="F93" s="238">
        <f t="shared" si="7"/>
        <v>-4</v>
      </c>
      <c r="G93" s="128">
        <f t="shared" si="8"/>
        <v>85.714285714285708</v>
      </c>
      <c r="H93" s="133"/>
    </row>
    <row r="94" spans="1:8" s="118" customFormat="1" ht="21.5">
      <c r="A94" s="131" t="s">
        <v>439</v>
      </c>
      <c r="B94" s="132" t="s">
        <v>442</v>
      </c>
      <c r="C94" s="238">
        <v>19</v>
      </c>
      <c r="D94" s="238">
        <v>18</v>
      </c>
      <c r="E94" s="238">
        <v>27</v>
      </c>
      <c r="F94" s="238">
        <f t="shared" si="7"/>
        <v>9</v>
      </c>
      <c r="G94" s="128">
        <f t="shared" si="8"/>
        <v>150</v>
      </c>
      <c r="H94" s="133"/>
    </row>
    <row r="95" spans="1:8" s="118" customFormat="1" ht="21.5">
      <c r="A95" s="131" t="s">
        <v>440</v>
      </c>
      <c r="B95" s="132" t="s">
        <v>443</v>
      </c>
      <c r="C95" s="238">
        <v>145</v>
      </c>
      <c r="D95" s="238">
        <v>148</v>
      </c>
      <c r="E95" s="238">
        <v>163</v>
      </c>
      <c r="F95" s="238">
        <f t="shared" si="7"/>
        <v>15</v>
      </c>
      <c r="G95" s="128">
        <f t="shared" si="8"/>
        <v>110.13513513513513</v>
      </c>
      <c r="H95" s="133"/>
    </row>
    <row r="96" spans="1:8" s="118" customFormat="1" ht="57">
      <c r="A96" s="138" t="s">
        <v>531</v>
      </c>
      <c r="B96" s="132" t="s">
        <v>444</v>
      </c>
      <c r="C96" s="238"/>
      <c r="D96" s="238">
        <v>13</v>
      </c>
      <c r="E96" s="238">
        <v>2</v>
      </c>
      <c r="F96" s="238">
        <f t="shared" si="7"/>
        <v>-11</v>
      </c>
      <c r="G96" s="128">
        <f t="shared" si="8"/>
        <v>15.384615384615385</v>
      </c>
      <c r="H96" s="133"/>
    </row>
    <row r="97" spans="1:8" s="118" customFormat="1" ht="21.5">
      <c r="A97" s="137" t="s">
        <v>545</v>
      </c>
      <c r="B97" s="132" t="s">
        <v>445</v>
      </c>
      <c r="C97" s="238">
        <v>73</v>
      </c>
      <c r="D97" s="238">
        <v>35</v>
      </c>
      <c r="E97" s="238">
        <f>133+7</f>
        <v>140</v>
      </c>
      <c r="F97" s="238">
        <f t="shared" si="7"/>
        <v>105</v>
      </c>
      <c r="G97" s="128">
        <f t="shared" si="8"/>
        <v>400</v>
      </c>
      <c r="H97" s="133"/>
    </row>
    <row r="98" spans="1:8" s="118" customFormat="1" ht="38">
      <c r="A98" s="137" t="s">
        <v>617</v>
      </c>
      <c r="B98" s="132" t="s">
        <v>511</v>
      </c>
      <c r="C98" s="238"/>
      <c r="D98" s="238"/>
      <c r="E98" s="238">
        <v>136</v>
      </c>
      <c r="F98" s="238"/>
      <c r="G98" s="128"/>
      <c r="H98" s="133"/>
    </row>
    <row r="99" spans="1:8" s="118" customFormat="1" ht="38">
      <c r="A99" s="137" t="s">
        <v>504</v>
      </c>
      <c r="B99" s="132" t="s">
        <v>616</v>
      </c>
      <c r="C99" s="238">
        <v>126</v>
      </c>
      <c r="D99" s="238">
        <v>250</v>
      </c>
      <c r="E99" s="238">
        <f>230</f>
        <v>230</v>
      </c>
      <c r="F99" s="238">
        <f>E99-D99</f>
        <v>-20</v>
      </c>
      <c r="G99" s="128"/>
      <c r="H99" s="133"/>
    </row>
    <row r="100" spans="1:8" s="115" customFormat="1" ht="21.5">
      <c r="A100" s="137" t="s">
        <v>229</v>
      </c>
      <c r="B100" s="132">
        <v>1070</v>
      </c>
      <c r="C100" s="238"/>
      <c r="D100" s="238"/>
      <c r="E100" s="238"/>
      <c r="F100" s="238"/>
      <c r="G100" s="128"/>
      <c r="H100" s="133"/>
    </row>
    <row r="101" spans="1:8" s="118" customFormat="1" ht="21.5">
      <c r="A101" s="137" t="s">
        <v>188</v>
      </c>
      <c r="B101" s="132">
        <v>1071</v>
      </c>
      <c r="C101" s="238"/>
      <c r="D101" s="238"/>
      <c r="E101" s="238"/>
      <c r="F101" s="238"/>
      <c r="G101" s="128"/>
      <c r="H101" s="133"/>
    </row>
    <row r="102" spans="1:8" s="118" customFormat="1" ht="21.5">
      <c r="A102" s="137" t="s">
        <v>189</v>
      </c>
      <c r="B102" s="132">
        <v>1072</v>
      </c>
      <c r="C102" s="238"/>
      <c r="D102" s="238"/>
      <c r="E102" s="238"/>
      <c r="F102" s="238"/>
      <c r="G102" s="128"/>
      <c r="H102" s="133"/>
    </row>
    <row r="103" spans="1:8" s="118" customFormat="1" ht="21.5">
      <c r="A103" s="137" t="s">
        <v>40</v>
      </c>
      <c r="B103" s="132">
        <v>1073</v>
      </c>
      <c r="C103" s="238"/>
      <c r="D103" s="238"/>
      <c r="E103" s="238"/>
      <c r="F103" s="238"/>
      <c r="G103" s="128"/>
      <c r="H103" s="133"/>
    </row>
    <row r="104" spans="1:8" s="118" customFormat="1" ht="21.5">
      <c r="A104" s="137" t="s">
        <v>63</v>
      </c>
      <c r="B104" s="132">
        <v>1074</v>
      </c>
      <c r="C104" s="238"/>
      <c r="D104" s="238"/>
      <c r="E104" s="238"/>
      <c r="F104" s="238"/>
      <c r="G104" s="128"/>
      <c r="H104" s="133"/>
    </row>
    <row r="105" spans="1:8" s="118" customFormat="1" ht="21.5">
      <c r="A105" s="137" t="s">
        <v>79</v>
      </c>
      <c r="B105" s="132">
        <v>1075</v>
      </c>
      <c r="C105" s="238"/>
      <c r="D105" s="238"/>
      <c r="E105" s="238"/>
      <c r="F105" s="238"/>
      <c r="G105" s="128"/>
      <c r="H105" s="133"/>
    </row>
    <row r="106" spans="1:8" s="118" customFormat="1" ht="21.5">
      <c r="A106" s="137" t="s">
        <v>124</v>
      </c>
      <c r="B106" s="132">
        <v>1076</v>
      </c>
      <c r="C106" s="238"/>
      <c r="D106" s="238"/>
      <c r="E106" s="238"/>
      <c r="F106" s="238"/>
      <c r="G106" s="128"/>
      <c r="H106" s="133"/>
    </row>
    <row r="107" spans="1:8" s="118" customFormat="1" ht="21.5">
      <c r="A107" s="137" t="s">
        <v>41</v>
      </c>
      <c r="B107" s="132" t="s">
        <v>446</v>
      </c>
      <c r="C107" s="238"/>
      <c r="D107" s="238"/>
      <c r="E107" s="238"/>
      <c r="F107" s="238"/>
      <c r="G107" s="128"/>
      <c r="H107" s="133"/>
    </row>
    <row r="108" spans="1:8" s="118" customFormat="1" ht="21.5">
      <c r="A108" s="146" t="s">
        <v>80</v>
      </c>
      <c r="B108" s="132">
        <v>1080</v>
      </c>
      <c r="C108" s="238">
        <f>C110+C111+C113</f>
        <v>482</v>
      </c>
      <c r="D108" s="238">
        <f>D110+D111+D113</f>
        <v>2568</v>
      </c>
      <c r="E108" s="238">
        <f>E110+E111+E113</f>
        <v>269</v>
      </c>
      <c r="F108" s="238">
        <f>E108-D108</f>
        <v>-2299</v>
      </c>
      <c r="G108" s="128">
        <f>E108/D108*100</f>
        <v>10.475077881619937</v>
      </c>
      <c r="H108" s="133"/>
    </row>
    <row r="109" spans="1:8" s="118" customFormat="1" ht="21.5">
      <c r="A109" s="137" t="s">
        <v>72</v>
      </c>
      <c r="B109" s="132">
        <v>1081</v>
      </c>
      <c r="C109" s="238"/>
      <c r="D109" s="238"/>
      <c r="E109" s="238"/>
      <c r="F109" s="238"/>
      <c r="G109" s="128"/>
      <c r="H109" s="133"/>
    </row>
    <row r="110" spans="1:8" s="118" customFormat="1" ht="21.5">
      <c r="A110" s="137" t="s">
        <v>52</v>
      </c>
      <c r="B110" s="132">
        <v>1082</v>
      </c>
      <c r="C110" s="238"/>
      <c r="D110" s="238"/>
      <c r="E110" s="238"/>
      <c r="F110" s="238"/>
      <c r="G110" s="128"/>
      <c r="H110" s="133"/>
    </row>
    <row r="111" spans="1:8" s="118" customFormat="1" ht="21.5">
      <c r="A111" s="137" t="s">
        <v>513</v>
      </c>
      <c r="B111" s="132">
        <v>1083</v>
      </c>
      <c r="C111" s="238"/>
      <c r="D111" s="238"/>
      <c r="E111" s="238"/>
      <c r="F111" s="238"/>
      <c r="G111" s="128"/>
      <c r="H111" s="133"/>
    </row>
    <row r="112" spans="1:8" s="118" customFormat="1" ht="21.5">
      <c r="A112" s="137" t="s">
        <v>219</v>
      </c>
      <c r="B112" s="132">
        <v>1084</v>
      </c>
      <c r="C112" s="238"/>
      <c r="D112" s="238"/>
      <c r="E112" s="238"/>
      <c r="F112" s="238"/>
      <c r="G112" s="128"/>
      <c r="H112" s="133"/>
    </row>
    <row r="113" spans="1:10" s="118" customFormat="1" ht="21.5">
      <c r="A113" s="137" t="s">
        <v>263</v>
      </c>
      <c r="B113" s="132">
        <v>1085</v>
      </c>
      <c r="C113" s="238">
        <f>C116+C120+C123+C127+C129+C132+C133+C135+C115+C122+C134+C128</f>
        <v>482</v>
      </c>
      <c r="D113" s="238">
        <f>D115+D116+D121+D120+D122+D123+D125+D127+D129+D130+D126+D132+D117+D133</f>
        <v>2568</v>
      </c>
      <c r="E113" s="238">
        <f>E116+E120+E123+E127+E129+E132+E133+E135+E115+E122+E134+E124</f>
        <v>269</v>
      </c>
      <c r="F113" s="238">
        <f>E113-D113</f>
        <v>-2299</v>
      </c>
      <c r="G113" s="128">
        <f>E113/D113*100</f>
        <v>10.475077881619937</v>
      </c>
      <c r="H113" s="133"/>
      <c r="J113" s="150"/>
    </row>
    <row r="114" spans="1:10" s="118" customFormat="1" ht="21.5">
      <c r="A114" s="131" t="s">
        <v>463</v>
      </c>
      <c r="B114" s="132" t="s">
        <v>447</v>
      </c>
      <c r="C114" s="238"/>
      <c r="D114" s="238"/>
      <c r="E114" s="238"/>
      <c r="F114" s="238"/>
      <c r="G114" s="128"/>
      <c r="H114" s="133"/>
    </row>
    <row r="115" spans="1:10" s="118" customFormat="1" ht="21.5">
      <c r="A115" s="131" t="s">
        <v>581</v>
      </c>
      <c r="B115" s="132" t="s">
        <v>448</v>
      </c>
      <c r="C115" s="238">
        <v>55</v>
      </c>
      <c r="D115" s="238">
        <v>38</v>
      </c>
      <c r="E115" s="238">
        <v>57</v>
      </c>
      <c r="F115" s="238">
        <f>E115-D115</f>
        <v>19</v>
      </c>
      <c r="G115" s="128">
        <f>E115/D115*100</f>
        <v>150</v>
      </c>
      <c r="H115" s="133"/>
    </row>
    <row r="116" spans="1:10" s="118" customFormat="1" ht="38">
      <c r="A116" s="131" t="s">
        <v>546</v>
      </c>
      <c r="B116" s="132" t="s">
        <v>449</v>
      </c>
      <c r="C116" s="238"/>
      <c r="D116" s="238">
        <v>175</v>
      </c>
      <c r="E116" s="238"/>
      <c r="F116" s="238"/>
      <c r="G116" s="128"/>
      <c r="H116" s="133"/>
    </row>
    <row r="117" spans="1:10" s="118" customFormat="1" ht="21.5">
      <c r="A117" s="131" t="s">
        <v>496</v>
      </c>
      <c r="B117" s="132" t="s">
        <v>450</v>
      </c>
      <c r="C117" s="238"/>
      <c r="D117" s="238"/>
      <c r="E117" s="238"/>
      <c r="F117" s="238"/>
      <c r="G117" s="128"/>
      <c r="H117" s="133"/>
    </row>
    <row r="118" spans="1:10" s="118" customFormat="1" ht="21.5">
      <c r="A118" s="131" t="s">
        <v>495</v>
      </c>
      <c r="B118" s="132" t="s">
        <v>451</v>
      </c>
      <c r="C118" s="238"/>
      <c r="D118" s="238"/>
      <c r="E118" s="238"/>
      <c r="F118" s="238"/>
      <c r="G118" s="128"/>
      <c r="H118" s="133"/>
    </row>
    <row r="119" spans="1:10" s="118" customFormat="1" ht="21.5">
      <c r="A119" s="131" t="s">
        <v>464</v>
      </c>
      <c r="B119" s="132" t="s">
        <v>452</v>
      </c>
      <c r="C119" s="238"/>
      <c r="D119" s="238"/>
      <c r="E119" s="238"/>
      <c r="F119" s="238"/>
      <c r="G119" s="128"/>
      <c r="H119" s="133"/>
    </row>
    <row r="120" spans="1:10" s="118" customFormat="1" ht="21.5">
      <c r="A120" s="131" t="s">
        <v>465</v>
      </c>
      <c r="B120" s="132" t="s">
        <v>453</v>
      </c>
      <c r="C120" s="238"/>
      <c r="D120" s="238"/>
      <c r="E120" s="238"/>
      <c r="F120" s="238"/>
      <c r="G120" s="128"/>
      <c r="H120" s="133"/>
    </row>
    <row r="121" spans="1:10" s="118" customFormat="1" ht="27" customHeight="1">
      <c r="A121" s="131" t="s">
        <v>466</v>
      </c>
      <c r="B121" s="132" t="s">
        <v>454</v>
      </c>
      <c r="C121" s="238"/>
      <c r="D121" s="238"/>
      <c r="E121" s="238"/>
      <c r="F121" s="238"/>
      <c r="G121" s="128"/>
      <c r="H121" s="133"/>
    </row>
    <row r="122" spans="1:10" s="118" customFormat="1" ht="21.5">
      <c r="A122" s="131" t="s">
        <v>575</v>
      </c>
      <c r="B122" s="132" t="s">
        <v>455</v>
      </c>
      <c r="C122" s="238"/>
      <c r="D122" s="238"/>
      <c r="E122" s="238"/>
      <c r="F122" s="238"/>
      <c r="G122" s="128"/>
      <c r="H122" s="133"/>
    </row>
    <row r="123" spans="1:10" s="118" customFormat="1" ht="21.5">
      <c r="A123" s="131" t="s">
        <v>553</v>
      </c>
      <c r="B123" s="132" t="s">
        <v>456</v>
      </c>
      <c r="C123" s="238"/>
      <c r="D123" s="238"/>
      <c r="E123" s="238"/>
      <c r="F123" s="238"/>
      <c r="G123" s="128"/>
      <c r="H123" s="133"/>
    </row>
    <row r="124" spans="1:10" s="118" customFormat="1" ht="21.5">
      <c r="A124" s="131" t="s">
        <v>602</v>
      </c>
      <c r="B124" s="132" t="s">
        <v>457</v>
      </c>
      <c r="C124" s="238"/>
      <c r="D124" s="238"/>
      <c r="E124" s="238">
        <v>21</v>
      </c>
      <c r="F124" s="238"/>
      <c r="G124" s="128"/>
      <c r="H124" s="133"/>
    </row>
    <row r="125" spans="1:10" s="118" customFormat="1" ht="21.5">
      <c r="A125" s="131" t="s">
        <v>507</v>
      </c>
      <c r="B125" s="132" t="s">
        <v>458</v>
      </c>
      <c r="C125" s="238"/>
      <c r="D125" s="238"/>
      <c r="E125" s="238"/>
      <c r="F125" s="238"/>
      <c r="G125" s="128"/>
      <c r="H125" s="133"/>
    </row>
    <row r="126" spans="1:10" s="118" customFormat="1" ht="38">
      <c r="A126" s="131" t="s">
        <v>547</v>
      </c>
      <c r="B126" s="132" t="s">
        <v>459</v>
      </c>
      <c r="C126" s="238"/>
      <c r="D126" s="238">
        <v>5</v>
      </c>
      <c r="E126" s="238"/>
      <c r="F126" s="238"/>
      <c r="G126" s="128"/>
      <c r="H126" s="133"/>
    </row>
    <row r="127" spans="1:10" s="118" customFormat="1" ht="21.5">
      <c r="A127" s="131" t="s">
        <v>467</v>
      </c>
      <c r="B127" s="132" t="s">
        <v>460</v>
      </c>
      <c r="C127" s="238"/>
      <c r="D127" s="238"/>
      <c r="E127" s="238"/>
      <c r="F127" s="238">
        <f>E127-D127</f>
        <v>0</v>
      </c>
      <c r="G127" s="128"/>
      <c r="H127" s="133"/>
    </row>
    <row r="128" spans="1:10" s="118" customFormat="1" ht="21.5">
      <c r="A128" s="131" t="s">
        <v>612</v>
      </c>
      <c r="B128" s="132" t="s">
        <v>461</v>
      </c>
      <c r="C128" s="238">
        <v>8</v>
      </c>
      <c r="D128" s="238"/>
      <c r="E128" s="238"/>
      <c r="F128" s="238"/>
      <c r="G128" s="128"/>
      <c r="H128" s="133"/>
    </row>
    <row r="129" spans="1:8" s="118" customFormat="1" ht="21.5">
      <c r="A129" s="131" t="s">
        <v>468</v>
      </c>
      <c r="B129" s="132" t="s">
        <v>462</v>
      </c>
      <c r="C129" s="238">
        <v>419</v>
      </c>
      <c r="D129" s="238">
        <v>2000</v>
      </c>
      <c r="E129" s="238"/>
      <c r="F129" s="238">
        <f>E129-D129</f>
        <v>-2000</v>
      </c>
      <c r="G129" s="128">
        <f>E129/D129*100</f>
        <v>0</v>
      </c>
      <c r="H129" s="133"/>
    </row>
    <row r="130" spans="1:8" s="118" customFormat="1" ht="24" customHeight="1">
      <c r="A130" s="131" t="s">
        <v>541</v>
      </c>
      <c r="B130" s="132" t="s">
        <v>542</v>
      </c>
      <c r="C130" s="238"/>
      <c r="D130" s="238"/>
      <c r="E130" s="238"/>
      <c r="F130" s="238"/>
      <c r="G130" s="128"/>
      <c r="H130" s="133"/>
    </row>
    <row r="131" spans="1:8" s="118" customFormat="1" ht="21.5">
      <c r="A131" s="131" t="s">
        <v>439</v>
      </c>
      <c r="B131" s="132" t="s">
        <v>543</v>
      </c>
      <c r="C131" s="238"/>
      <c r="D131" s="238"/>
      <c r="E131" s="238"/>
      <c r="F131" s="238"/>
      <c r="G131" s="128"/>
      <c r="H131" s="133"/>
    </row>
    <row r="132" spans="1:8" s="118" customFormat="1" ht="21.5">
      <c r="A132" s="138" t="s">
        <v>550</v>
      </c>
      <c r="B132" s="132" t="s">
        <v>555</v>
      </c>
      <c r="C132" s="238"/>
      <c r="D132" s="238"/>
      <c r="E132" s="238"/>
      <c r="F132" s="238"/>
      <c r="G132" s="128"/>
      <c r="H132" s="133"/>
    </row>
    <row r="133" spans="1:8" s="118" customFormat="1" ht="21.5">
      <c r="A133" s="137" t="s">
        <v>554</v>
      </c>
      <c r="B133" s="132" t="s">
        <v>556</v>
      </c>
      <c r="C133" s="238"/>
      <c r="D133" s="238">
        <v>350</v>
      </c>
      <c r="E133" s="238">
        <v>150</v>
      </c>
      <c r="F133" s="238">
        <f t="shared" ref="F133" si="9">E133-D133</f>
        <v>-200</v>
      </c>
      <c r="G133" s="128">
        <f t="shared" ref="G133" si="10">E133/D133*100</f>
        <v>42.857142857142854</v>
      </c>
      <c r="H133" s="133"/>
    </row>
    <row r="134" spans="1:8" s="118" customFormat="1" ht="21.5">
      <c r="A134" s="137" t="s">
        <v>599</v>
      </c>
      <c r="B134" s="132" t="s">
        <v>576</v>
      </c>
      <c r="C134" s="238"/>
      <c r="D134" s="238"/>
      <c r="E134" s="238">
        <v>41</v>
      </c>
      <c r="F134" s="238"/>
      <c r="G134" s="128"/>
      <c r="H134" s="133"/>
    </row>
    <row r="135" spans="1:8" s="118" customFormat="1" ht="57">
      <c r="A135" s="137" t="s">
        <v>557</v>
      </c>
      <c r="B135" s="132" t="s">
        <v>613</v>
      </c>
      <c r="C135" s="238"/>
      <c r="D135" s="238"/>
      <c r="E135" s="238"/>
      <c r="F135" s="238"/>
      <c r="G135" s="128"/>
      <c r="H135" s="133"/>
    </row>
    <row r="136" spans="1:8" s="117" customFormat="1" ht="21">
      <c r="A136" s="134" t="s">
        <v>4</v>
      </c>
      <c r="B136" s="135">
        <v>1100</v>
      </c>
      <c r="C136" s="261">
        <f>C58+C59-C70-C108</f>
        <v>1339</v>
      </c>
      <c r="D136" s="261">
        <v>1809</v>
      </c>
      <c r="E136" s="261">
        <f>E58+E59-E70-E108</f>
        <v>-9901</v>
      </c>
      <c r="F136" s="261">
        <f>E136-D136</f>
        <v>-11710</v>
      </c>
      <c r="G136" s="130">
        <f>E136/D136*100</f>
        <v>-547.31896075179657</v>
      </c>
      <c r="H136" s="136"/>
    </row>
    <row r="137" spans="1:8" s="115" customFormat="1" ht="21.5">
      <c r="A137" s="137" t="s">
        <v>108</v>
      </c>
      <c r="B137" s="132">
        <v>1110</v>
      </c>
      <c r="C137" s="238"/>
      <c r="D137" s="238"/>
      <c r="E137" s="238"/>
      <c r="F137" s="238"/>
      <c r="G137" s="128"/>
      <c r="H137" s="133"/>
    </row>
    <row r="138" spans="1:8" s="115" customFormat="1" ht="21.5">
      <c r="A138" s="137" t="s">
        <v>109</v>
      </c>
      <c r="B138" s="132">
        <v>1120</v>
      </c>
      <c r="C138" s="238"/>
      <c r="D138" s="238"/>
      <c r="E138" s="238"/>
      <c r="F138" s="238"/>
      <c r="G138" s="128"/>
      <c r="H138" s="133"/>
    </row>
    <row r="139" spans="1:8" s="115" customFormat="1" ht="21.5">
      <c r="A139" s="137" t="s">
        <v>112</v>
      </c>
      <c r="B139" s="132">
        <v>1130</v>
      </c>
      <c r="C139" s="238"/>
      <c r="D139" s="238"/>
      <c r="E139" s="238"/>
      <c r="F139" s="238"/>
      <c r="G139" s="128"/>
      <c r="H139" s="133"/>
    </row>
    <row r="140" spans="1:8" s="115" customFormat="1" ht="21.5">
      <c r="A140" s="137" t="s">
        <v>111</v>
      </c>
      <c r="B140" s="132">
        <v>1140</v>
      </c>
      <c r="C140" s="238"/>
      <c r="D140" s="238"/>
      <c r="E140" s="238"/>
      <c r="F140" s="238"/>
      <c r="G140" s="128"/>
      <c r="H140" s="133"/>
    </row>
    <row r="141" spans="1:8" s="115" customFormat="1" ht="21.5">
      <c r="A141" s="137" t="s">
        <v>220</v>
      </c>
      <c r="B141" s="132">
        <v>1150</v>
      </c>
      <c r="C141" s="238">
        <f>C142</f>
        <v>18084</v>
      </c>
      <c r="D141" s="238">
        <f>D142</f>
        <v>20650</v>
      </c>
      <c r="E141" s="238">
        <f>E142</f>
        <v>25176</v>
      </c>
      <c r="F141" s="238"/>
      <c r="G141" s="128"/>
      <c r="H141" s="133"/>
    </row>
    <row r="142" spans="1:8" s="115" customFormat="1" ht="21.5">
      <c r="A142" s="131" t="s">
        <v>590</v>
      </c>
      <c r="B142" s="132" t="s">
        <v>469</v>
      </c>
      <c r="C142" s="238">
        <v>18084</v>
      </c>
      <c r="D142" s="238">
        <v>20650</v>
      </c>
      <c r="E142" s="238">
        <v>25176</v>
      </c>
      <c r="F142" s="238"/>
      <c r="G142" s="128"/>
      <c r="H142" s="133"/>
    </row>
    <row r="143" spans="1:8" s="115" customFormat="1" ht="21.5">
      <c r="A143" s="131" t="s">
        <v>472</v>
      </c>
      <c r="B143" s="132" t="s">
        <v>470</v>
      </c>
      <c r="C143" s="238"/>
      <c r="D143" s="238"/>
      <c r="E143" s="238"/>
      <c r="F143" s="238"/>
      <c r="G143" s="128"/>
      <c r="H143" s="133"/>
    </row>
    <row r="144" spans="1:8" s="115" customFormat="1" ht="21.5">
      <c r="A144" s="137" t="s">
        <v>219</v>
      </c>
      <c r="B144" s="132">
        <v>1151</v>
      </c>
      <c r="C144" s="238"/>
      <c r="D144" s="238"/>
      <c r="E144" s="238"/>
      <c r="F144" s="238"/>
      <c r="G144" s="128"/>
      <c r="H144" s="133"/>
    </row>
    <row r="145" spans="1:8" s="115" customFormat="1" ht="21.5">
      <c r="A145" s="137" t="s">
        <v>221</v>
      </c>
      <c r="B145" s="132">
        <v>1160</v>
      </c>
      <c r="C145" s="238">
        <f>C149+C151+C150</f>
        <v>19383</v>
      </c>
      <c r="D145" s="238">
        <f>D149+D150+D151</f>
        <v>21700</v>
      </c>
      <c r="E145" s="238">
        <f>E149+E151+E150</f>
        <v>25103</v>
      </c>
      <c r="F145" s="238">
        <f>E145-D145</f>
        <v>3403</v>
      </c>
      <c r="G145" s="128">
        <f>E145/D145*100</f>
        <v>115.68202764976958</v>
      </c>
      <c r="H145" s="133"/>
    </row>
    <row r="146" spans="1:8" s="115" customFormat="1" ht="21.5" hidden="1">
      <c r="A146" s="131" t="s">
        <v>471</v>
      </c>
      <c r="B146" s="132" t="s">
        <v>473</v>
      </c>
      <c r="C146" s="238"/>
      <c r="D146" s="238"/>
      <c r="E146" s="238"/>
      <c r="F146" s="238"/>
      <c r="G146" s="128"/>
      <c r="H146" s="133"/>
    </row>
    <row r="147" spans="1:8" s="115" customFormat="1" ht="21.5" hidden="1">
      <c r="A147" s="138" t="s">
        <v>476</v>
      </c>
      <c r="B147" s="132" t="s">
        <v>474</v>
      </c>
      <c r="C147" s="238"/>
      <c r="D147" s="238"/>
      <c r="E147" s="238"/>
      <c r="F147" s="238"/>
      <c r="G147" s="128"/>
      <c r="H147" s="133"/>
    </row>
    <row r="148" spans="1:8" s="115" customFormat="1" ht="38" hidden="1">
      <c r="A148" s="137" t="s">
        <v>477</v>
      </c>
      <c r="B148" s="132" t="s">
        <v>475</v>
      </c>
      <c r="C148" s="238"/>
      <c r="D148" s="238"/>
      <c r="E148" s="238"/>
      <c r="F148" s="238"/>
      <c r="G148" s="128"/>
      <c r="H148" s="133"/>
    </row>
    <row r="149" spans="1:8" s="115" customFormat="1" ht="21.5">
      <c r="A149" s="137" t="s">
        <v>569</v>
      </c>
      <c r="B149" s="132" t="s">
        <v>473</v>
      </c>
      <c r="C149" s="238">
        <v>1170</v>
      </c>
      <c r="D149" s="238">
        <v>800</v>
      </c>
      <c r="E149" s="238">
        <v>7</v>
      </c>
      <c r="F149" s="238"/>
      <c r="G149" s="128"/>
      <c r="H149" s="133"/>
    </row>
    <row r="150" spans="1:8" s="115" customFormat="1" ht="21.5">
      <c r="A150" s="137" t="s">
        <v>7</v>
      </c>
      <c r="B150" s="132" t="s">
        <v>474</v>
      </c>
      <c r="C150" s="238">
        <v>18084</v>
      </c>
      <c r="D150" s="238">
        <v>20650</v>
      </c>
      <c r="E150" s="238">
        <v>25048</v>
      </c>
      <c r="F150" s="238"/>
      <c r="G150" s="128"/>
      <c r="H150" s="133"/>
    </row>
    <row r="151" spans="1:8" s="115" customFormat="1" ht="21.5">
      <c r="A151" s="137" t="s">
        <v>478</v>
      </c>
      <c r="B151" s="132" t="s">
        <v>475</v>
      </c>
      <c r="C151" s="238">
        <v>129</v>
      </c>
      <c r="D151" s="238">
        <v>250</v>
      </c>
      <c r="E151" s="238">
        <v>48</v>
      </c>
      <c r="F151" s="238">
        <f>E151-D151</f>
        <v>-202</v>
      </c>
      <c r="G151" s="128">
        <f>E151/D151*100</f>
        <v>19.2</v>
      </c>
      <c r="H151" s="133"/>
    </row>
    <row r="152" spans="1:8" s="115" customFormat="1" ht="21.5" hidden="1">
      <c r="A152" s="137" t="s">
        <v>497</v>
      </c>
      <c r="B152" s="132" t="s">
        <v>512</v>
      </c>
      <c r="C152" s="238"/>
      <c r="D152" s="238"/>
      <c r="E152" s="238"/>
      <c r="F152" s="238"/>
      <c r="G152" s="128"/>
      <c r="H152" s="133"/>
    </row>
    <row r="153" spans="1:8" s="115" customFormat="1" ht="21.5">
      <c r="A153" s="137" t="s">
        <v>219</v>
      </c>
      <c r="B153" s="132">
        <v>1161</v>
      </c>
      <c r="C153" s="238"/>
      <c r="D153" s="238"/>
      <c r="E153" s="238"/>
      <c r="F153" s="238"/>
      <c r="G153" s="128"/>
      <c r="H153" s="133"/>
    </row>
    <row r="154" spans="1:8" s="117" customFormat="1" ht="21">
      <c r="A154" s="134" t="s">
        <v>96</v>
      </c>
      <c r="B154" s="135">
        <v>1170</v>
      </c>
      <c r="C154" s="261">
        <f>C136+C141-C145</f>
        <v>40</v>
      </c>
      <c r="D154" s="261">
        <f>D136+D141-D145</f>
        <v>759</v>
      </c>
      <c r="E154" s="261">
        <f>E136+E141-E145</f>
        <v>-9828</v>
      </c>
      <c r="F154" s="261">
        <f>E154-D154</f>
        <v>-10587</v>
      </c>
      <c r="G154" s="130">
        <f>E154/D154*100</f>
        <v>-1294.8616600790513</v>
      </c>
      <c r="H154" s="136"/>
    </row>
    <row r="155" spans="1:8" s="115" customFormat="1" ht="21.5">
      <c r="A155" s="137" t="s">
        <v>140</v>
      </c>
      <c r="B155" s="132">
        <v>1180</v>
      </c>
      <c r="C155" s="273">
        <f>ROUND(C154*18%,0)</f>
        <v>7</v>
      </c>
      <c r="D155" s="273">
        <f>D154*0.18</f>
        <v>136.62</v>
      </c>
      <c r="E155" s="273"/>
      <c r="F155" s="238">
        <f>E155-D155</f>
        <v>-136.62</v>
      </c>
      <c r="G155" s="128"/>
      <c r="H155" s="133"/>
    </row>
    <row r="156" spans="1:8" s="115" customFormat="1" ht="38">
      <c r="A156" s="137" t="s">
        <v>141</v>
      </c>
      <c r="B156" s="132">
        <v>1190</v>
      </c>
      <c r="C156" s="238"/>
      <c r="D156" s="238"/>
      <c r="E156" s="238"/>
      <c r="F156" s="238"/>
      <c r="G156" s="128"/>
      <c r="H156" s="133"/>
    </row>
    <row r="157" spans="1:8" s="117" customFormat="1" ht="21">
      <c r="A157" s="134" t="s">
        <v>97</v>
      </c>
      <c r="B157" s="135">
        <v>1200</v>
      </c>
      <c r="C157" s="261">
        <f>C154-C155</f>
        <v>33</v>
      </c>
      <c r="D157" s="261">
        <f>D154-D155</f>
        <v>622.38</v>
      </c>
      <c r="E157" s="261">
        <f>E154-E155</f>
        <v>-9828</v>
      </c>
      <c r="F157" s="261">
        <f>E157-D157</f>
        <v>-10450.379999999999</v>
      </c>
      <c r="G157" s="130">
        <f>E157/D157*100</f>
        <v>-1579.0995854622577</v>
      </c>
      <c r="H157" s="136"/>
    </row>
    <row r="158" spans="1:8" s="115" customFormat="1" ht="21.5">
      <c r="A158" s="137" t="s">
        <v>24</v>
      </c>
      <c r="B158" s="242">
        <v>1201</v>
      </c>
      <c r="C158" s="262">
        <f>SUMIF(C157,"&gt;0")</f>
        <v>33</v>
      </c>
      <c r="D158" s="262">
        <f>SUMIF(D157,"&gt;0")</f>
        <v>622.38</v>
      </c>
      <c r="E158" s="262">
        <f>SUMIF(E157,"&gt;0")</f>
        <v>0</v>
      </c>
      <c r="F158" s="238">
        <f>E158-D158</f>
        <v>-622.38</v>
      </c>
      <c r="G158" s="128">
        <f>E158/D158*100</f>
        <v>0</v>
      </c>
      <c r="H158" s="139"/>
    </row>
    <row r="159" spans="1:8" s="115" customFormat="1" ht="21.5">
      <c r="A159" s="137" t="s">
        <v>25</v>
      </c>
      <c r="B159" s="242">
        <v>1202</v>
      </c>
      <c r="C159" s="262">
        <f>SUMIF(C157,"&lt;0")</f>
        <v>0</v>
      </c>
      <c r="D159" s="262">
        <f>SUMIF(D157,"&lt;0")</f>
        <v>0</v>
      </c>
      <c r="E159" s="262">
        <f>SUMIF(E157,"&lt;0")</f>
        <v>-9828</v>
      </c>
      <c r="F159" s="260"/>
      <c r="G159" s="129"/>
      <c r="H159" s="139"/>
    </row>
    <row r="160" spans="1:8" s="115" customFormat="1" ht="21.5">
      <c r="A160" s="137" t="s">
        <v>264</v>
      </c>
      <c r="B160" s="132">
        <v>1210</v>
      </c>
      <c r="C160" s="238"/>
      <c r="D160" s="238"/>
      <c r="E160" s="238"/>
      <c r="F160" s="238"/>
      <c r="G160" s="128"/>
      <c r="H160" s="133"/>
    </row>
    <row r="161" spans="1:9" s="117" customFormat="1" ht="27.75" customHeight="1">
      <c r="A161" s="301" t="s">
        <v>277</v>
      </c>
      <c r="B161" s="302"/>
      <c r="C161" s="302"/>
      <c r="D161" s="302"/>
      <c r="E161" s="302"/>
      <c r="F161" s="302"/>
      <c r="G161" s="302"/>
      <c r="H161" s="303"/>
    </row>
    <row r="162" spans="1:9" s="115" customFormat="1" ht="38">
      <c r="A162" s="140" t="s">
        <v>278</v>
      </c>
      <c r="B162" s="242">
        <v>1300</v>
      </c>
      <c r="C162" s="260">
        <f>C59-C108</f>
        <v>1029</v>
      </c>
      <c r="D162" s="260">
        <v>-693</v>
      </c>
      <c r="E162" s="260">
        <f>E59-E108</f>
        <v>611</v>
      </c>
      <c r="F162" s="238">
        <f>E162-D162</f>
        <v>1304</v>
      </c>
      <c r="G162" s="128">
        <f>E162/D162*100</f>
        <v>-88.167388167388168</v>
      </c>
      <c r="H162" s="139"/>
    </row>
    <row r="163" spans="1:9" s="115" customFormat="1" ht="70.5" customHeight="1">
      <c r="A163" s="141" t="s">
        <v>279</v>
      </c>
      <c r="B163" s="242">
        <v>1310</v>
      </c>
      <c r="C163" s="260">
        <f>C137+C138-C139-C140</f>
        <v>0</v>
      </c>
      <c r="D163" s="260">
        <f>D137+D138-D139-D140</f>
        <v>0</v>
      </c>
      <c r="E163" s="260">
        <f>E137+E138-E139-E140</f>
        <v>0</v>
      </c>
      <c r="F163" s="260"/>
      <c r="G163" s="129"/>
      <c r="H163" s="139"/>
    </row>
    <row r="164" spans="1:9" s="115" customFormat="1" ht="38">
      <c r="A164" s="140" t="s">
        <v>280</v>
      </c>
      <c r="B164" s="242">
        <v>1320</v>
      </c>
      <c r="C164" s="260">
        <f>C141-C145</f>
        <v>-1299</v>
      </c>
      <c r="D164" s="260">
        <f>D141-D145</f>
        <v>-1050</v>
      </c>
      <c r="E164" s="260">
        <f>E141-E145</f>
        <v>73</v>
      </c>
      <c r="F164" s="238">
        <f>E164-D164</f>
        <v>1123</v>
      </c>
      <c r="G164" s="128">
        <f>E164/D164*100</f>
        <v>-6.9523809523809526</v>
      </c>
      <c r="H164" s="139"/>
    </row>
    <row r="165" spans="1:9" s="115" customFormat="1" ht="46.5" customHeight="1">
      <c r="A165" s="137" t="s">
        <v>383</v>
      </c>
      <c r="B165" s="132">
        <v>1330</v>
      </c>
      <c r="C165" s="238">
        <f>C9+C59+C137+C138+C141</f>
        <v>74605</v>
      </c>
      <c r="D165" s="238">
        <f>D9+D59+D137+D138+D141</f>
        <v>158156</v>
      </c>
      <c r="E165" s="238">
        <f>E9+E59+E137+E138+E141</f>
        <v>115994</v>
      </c>
      <c r="F165" s="238">
        <f>E165-D165</f>
        <v>-42162</v>
      </c>
      <c r="G165" s="128">
        <f>E165/D165*100</f>
        <v>73.341510913275499</v>
      </c>
      <c r="H165" s="133"/>
    </row>
    <row r="166" spans="1:9" s="115" customFormat="1" ht="65.25" customHeight="1">
      <c r="A166" s="137" t="s">
        <v>384</v>
      </c>
      <c r="B166" s="132">
        <v>1340</v>
      </c>
      <c r="C166" s="238">
        <f>C13+C70+C100+C108+C139+C140+C145+C155+C156</f>
        <v>74572</v>
      </c>
      <c r="D166" s="238">
        <v>157534</v>
      </c>
      <c r="E166" s="238">
        <f>E13+E70+E100+E108+E139+E140+E145+E155+E156</f>
        <v>125822</v>
      </c>
      <c r="F166" s="238">
        <f>E166-D166</f>
        <v>-31712</v>
      </c>
      <c r="G166" s="128">
        <f>E166/D166*100</f>
        <v>79.869742404814204</v>
      </c>
      <c r="H166" s="139"/>
      <c r="I166" s="127"/>
    </row>
    <row r="167" spans="1:9" s="115" customFormat="1" ht="21.5">
      <c r="A167" s="304" t="s">
        <v>169</v>
      </c>
      <c r="B167" s="304"/>
      <c r="C167" s="304"/>
      <c r="D167" s="304"/>
      <c r="E167" s="304"/>
      <c r="F167" s="304"/>
      <c r="G167" s="304"/>
      <c r="H167" s="304"/>
    </row>
    <row r="168" spans="1:9" s="115" customFormat="1" ht="38">
      <c r="A168" s="137" t="s">
        <v>281</v>
      </c>
      <c r="B168" s="132">
        <v>1400</v>
      </c>
      <c r="C168" s="238">
        <f>C136</f>
        <v>1339</v>
      </c>
      <c r="D168" s="238">
        <f>D136</f>
        <v>1809</v>
      </c>
      <c r="E168" s="238">
        <f>E136</f>
        <v>-9901</v>
      </c>
      <c r="F168" s="238">
        <f>E168-D168</f>
        <v>-11710</v>
      </c>
      <c r="G168" s="128">
        <f>E168/D168*100</f>
        <v>-547.31896075179657</v>
      </c>
      <c r="H168" s="133"/>
    </row>
    <row r="169" spans="1:9" s="115" customFormat="1" ht="21.5">
      <c r="A169" s="137" t="s">
        <v>282</v>
      </c>
      <c r="B169" s="132">
        <v>1401</v>
      </c>
      <c r="C169" s="238">
        <f>C180</f>
        <v>1652</v>
      </c>
      <c r="D169" s="238">
        <f>D180</f>
        <v>4317</v>
      </c>
      <c r="E169" s="238">
        <f>E180</f>
        <v>1630</v>
      </c>
      <c r="F169" s="238">
        <f>E169-D169</f>
        <v>-2687</v>
      </c>
      <c r="G169" s="128">
        <f>E169/D169*100</f>
        <v>37.757702107945335</v>
      </c>
      <c r="H169" s="133"/>
    </row>
    <row r="170" spans="1:9" s="115" customFormat="1" ht="21.5">
      <c r="A170" s="137" t="s">
        <v>283</v>
      </c>
      <c r="B170" s="132">
        <v>1402</v>
      </c>
      <c r="C170" s="238"/>
      <c r="D170" s="238"/>
      <c r="E170" s="238"/>
      <c r="F170" s="238"/>
      <c r="G170" s="128"/>
      <c r="H170" s="133"/>
    </row>
    <row r="171" spans="1:9" s="115" customFormat="1" ht="28.5" customHeight="1">
      <c r="A171" s="137" t="s">
        <v>284</v>
      </c>
      <c r="B171" s="132">
        <v>1403</v>
      </c>
      <c r="C171" s="238"/>
      <c r="D171" s="238"/>
      <c r="E171" s="238"/>
      <c r="F171" s="238"/>
      <c r="G171" s="128"/>
      <c r="H171" s="133"/>
    </row>
    <row r="172" spans="1:9" s="115" customFormat="1" ht="38">
      <c r="A172" s="137" t="s">
        <v>328</v>
      </c>
      <c r="B172" s="132">
        <v>1404</v>
      </c>
      <c r="C172" s="238"/>
      <c r="D172" s="238"/>
      <c r="E172" s="238"/>
      <c r="F172" s="238"/>
      <c r="G172" s="128"/>
      <c r="H172" s="133"/>
    </row>
    <row r="173" spans="1:9" s="117" customFormat="1" ht="21">
      <c r="A173" s="134" t="s">
        <v>144</v>
      </c>
      <c r="B173" s="135">
        <v>1410</v>
      </c>
      <c r="C173" s="261">
        <f>SUM(C168:C172)</f>
        <v>2991</v>
      </c>
      <c r="D173" s="261">
        <f>SUM(D168:D172)</f>
        <v>6126</v>
      </c>
      <c r="E173" s="261">
        <f>SUM(E168:E172)</f>
        <v>-8271</v>
      </c>
      <c r="F173" s="261">
        <f>E173-D173</f>
        <v>-14397</v>
      </c>
      <c r="G173" s="130">
        <f>E173/D173*100</f>
        <v>-135.01469147894221</v>
      </c>
      <c r="H173" s="136"/>
    </row>
    <row r="174" spans="1:9" s="115" customFormat="1" ht="21.5">
      <c r="A174" s="307" t="s">
        <v>236</v>
      </c>
      <c r="B174" s="308"/>
      <c r="C174" s="308"/>
      <c r="D174" s="308"/>
      <c r="E174" s="308"/>
      <c r="F174" s="308"/>
      <c r="G174" s="308"/>
      <c r="H174" s="309"/>
    </row>
    <row r="175" spans="1:9" s="115" customFormat="1" ht="21.5">
      <c r="A175" s="137" t="s">
        <v>285</v>
      </c>
      <c r="B175" s="132">
        <v>1500</v>
      </c>
      <c r="C175" s="238">
        <f>C176+C177</f>
        <v>11710</v>
      </c>
      <c r="D175" s="238">
        <f>D176+D177</f>
        <v>82245</v>
      </c>
      <c r="E175" s="238">
        <f>E176+E177</f>
        <v>43672</v>
      </c>
      <c r="F175" s="238">
        <f>E175-D175</f>
        <v>-38573</v>
      </c>
      <c r="G175" s="128">
        <f>E175/D175*100</f>
        <v>53.099884491458447</v>
      </c>
      <c r="H175" s="133"/>
    </row>
    <row r="176" spans="1:9" s="115" customFormat="1" ht="21.5">
      <c r="A176" s="137" t="s">
        <v>286</v>
      </c>
      <c r="B176" s="147">
        <v>1501</v>
      </c>
      <c r="C176" s="260">
        <f>C14</f>
        <v>9929</v>
      </c>
      <c r="D176" s="260">
        <v>15250</v>
      </c>
      <c r="E176" s="260">
        <f>E14</f>
        <v>7365</v>
      </c>
      <c r="F176" s="238">
        <f t="shared" ref="F176:F182" si="11">E176-D176</f>
        <v>-7885</v>
      </c>
      <c r="G176" s="128">
        <f t="shared" ref="G176:G182" si="12">E176/D176*100</f>
        <v>48.295081967213115</v>
      </c>
      <c r="H176" s="139"/>
    </row>
    <row r="177" spans="1:8" s="115" customFormat="1" ht="21.5">
      <c r="A177" s="137" t="s">
        <v>28</v>
      </c>
      <c r="B177" s="147">
        <v>1502</v>
      </c>
      <c r="C177" s="260">
        <f>C15+69</f>
        <v>1781</v>
      </c>
      <c r="D177" s="260">
        <v>66995</v>
      </c>
      <c r="E177" s="260">
        <f>E15+E16</f>
        <v>36307</v>
      </c>
      <c r="F177" s="238">
        <f t="shared" si="11"/>
        <v>-30688</v>
      </c>
      <c r="G177" s="128">
        <f t="shared" si="12"/>
        <v>54.193596537055001</v>
      </c>
      <c r="H177" s="139"/>
    </row>
    <row r="178" spans="1:8" s="115" customFormat="1" ht="21.5">
      <c r="A178" s="137" t="s">
        <v>5</v>
      </c>
      <c r="B178" s="148">
        <v>1510</v>
      </c>
      <c r="C178" s="238">
        <f>C17+C78+284</f>
        <v>10312</v>
      </c>
      <c r="D178" s="238">
        <v>18443</v>
      </c>
      <c r="E178" s="238">
        <f>E17+E78+244</f>
        <v>15391</v>
      </c>
      <c r="F178" s="238">
        <f t="shared" si="11"/>
        <v>-3052</v>
      </c>
      <c r="G178" s="128">
        <f t="shared" si="12"/>
        <v>83.451716098248667</v>
      </c>
      <c r="H178" s="133"/>
    </row>
    <row r="179" spans="1:8" s="115" customFormat="1" ht="21.5">
      <c r="A179" s="137" t="s">
        <v>6</v>
      </c>
      <c r="B179" s="148">
        <v>1520</v>
      </c>
      <c r="C179" s="238">
        <f>C18+C79+62</f>
        <v>2332</v>
      </c>
      <c r="D179" s="238">
        <v>3890</v>
      </c>
      <c r="E179" s="238">
        <f>E18+E79+54</f>
        <v>3490</v>
      </c>
      <c r="F179" s="238">
        <f t="shared" si="11"/>
        <v>-400</v>
      </c>
      <c r="G179" s="128">
        <f t="shared" si="12"/>
        <v>89.717223650385606</v>
      </c>
      <c r="H179" s="133"/>
    </row>
    <row r="180" spans="1:8" s="115" customFormat="1" ht="21.5">
      <c r="A180" s="137" t="s">
        <v>7</v>
      </c>
      <c r="B180" s="148">
        <v>1530</v>
      </c>
      <c r="C180" s="238">
        <f>C20+C80+C129+20</f>
        <v>1652</v>
      </c>
      <c r="D180" s="238">
        <v>4317</v>
      </c>
      <c r="E180" s="238">
        <f>E20+E80+E129+20</f>
        <v>1630</v>
      </c>
      <c r="F180" s="238">
        <f t="shared" si="11"/>
        <v>-2687</v>
      </c>
      <c r="G180" s="128">
        <f t="shared" si="12"/>
        <v>37.757702107945335</v>
      </c>
      <c r="H180" s="133"/>
    </row>
    <row r="181" spans="1:8" s="115" customFormat="1" ht="21.5">
      <c r="A181" s="137" t="s">
        <v>29</v>
      </c>
      <c r="B181" s="148">
        <v>1540</v>
      </c>
      <c r="C181" s="238">
        <f>C166-C155-C175-C178-C179-C180</f>
        <v>48559</v>
      </c>
      <c r="D181" s="238">
        <v>26802</v>
      </c>
      <c r="E181" s="238">
        <f>E166-E155-E175-E178-E179-E180</f>
        <v>61639</v>
      </c>
      <c r="F181" s="238">
        <f t="shared" si="11"/>
        <v>34837</v>
      </c>
      <c r="G181" s="128">
        <f t="shared" si="12"/>
        <v>229.9791060368629</v>
      </c>
      <c r="H181" s="133"/>
    </row>
    <row r="182" spans="1:8" s="117" customFormat="1" ht="21">
      <c r="A182" s="134" t="s">
        <v>58</v>
      </c>
      <c r="B182" s="149">
        <v>1550</v>
      </c>
      <c r="C182" s="261">
        <f>C175+C178+C179+C180+C181</f>
        <v>74565</v>
      </c>
      <c r="D182" s="261">
        <f>D175+D178+D179+D180+D181</f>
        <v>135697</v>
      </c>
      <c r="E182" s="261">
        <f>E175+E178+E179+E180+E181</f>
        <v>125822</v>
      </c>
      <c r="F182" s="261">
        <f t="shared" si="11"/>
        <v>-9875</v>
      </c>
      <c r="G182" s="130">
        <f t="shared" si="12"/>
        <v>92.722757319616505</v>
      </c>
      <c r="H182" s="136"/>
    </row>
    <row r="183" spans="1:8" s="117" customFormat="1" ht="56.25" customHeight="1">
      <c r="A183" s="119"/>
      <c r="B183" s="120"/>
      <c r="C183" s="219"/>
      <c r="D183" s="159"/>
      <c r="E183" s="159"/>
      <c r="F183" s="159"/>
      <c r="G183" s="120"/>
      <c r="H183" s="120"/>
    </row>
    <row r="184" spans="1:8" ht="28.5" customHeight="1">
      <c r="A184" s="124" t="s">
        <v>620</v>
      </c>
      <c r="B184" s="122"/>
      <c r="C184" s="160"/>
      <c r="D184" s="160"/>
      <c r="E184" s="160"/>
      <c r="F184" s="160"/>
      <c r="G184" s="306" t="s">
        <v>621</v>
      </c>
      <c r="H184" s="306"/>
    </row>
    <row r="185" spans="1:8" s="35" customFormat="1">
      <c r="A185" s="29" t="s">
        <v>385</v>
      </c>
      <c r="B185" s="306" t="s">
        <v>78</v>
      </c>
      <c r="C185" s="306"/>
      <c r="D185" s="306"/>
      <c r="E185" s="306"/>
      <c r="F185" s="179"/>
      <c r="G185" s="35" t="s">
        <v>102</v>
      </c>
    </row>
    <row r="186" spans="1:8" ht="35.25" customHeight="1">
      <c r="A186" s="27"/>
      <c r="B186" s="231"/>
      <c r="C186" s="220"/>
      <c r="D186" s="220"/>
      <c r="E186" s="220"/>
      <c r="F186" s="220"/>
    </row>
    <row r="187" spans="1:8" s="40" customFormat="1" ht="102.75" customHeight="1">
      <c r="A187" s="281"/>
      <c r="B187" s="281"/>
      <c r="C187" s="281"/>
      <c r="D187" s="281"/>
      <c r="E187" s="281"/>
      <c r="F187" s="281"/>
      <c r="G187" s="281"/>
      <c r="H187" s="281"/>
    </row>
    <row r="188" spans="1:8">
      <c r="A188" s="27"/>
    </row>
    <row r="189" spans="1:8">
      <c r="A189" s="27"/>
    </row>
    <row r="190" spans="1:8">
      <c r="A190" s="27"/>
    </row>
    <row r="191" spans="1:8">
      <c r="A191" s="27"/>
    </row>
    <row r="192" spans="1:8">
      <c r="A192" s="27"/>
    </row>
    <row r="193" spans="1:1">
      <c r="A193" s="27"/>
    </row>
    <row r="194" spans="1:1">
      <c r="A194" s="27"/>
    </row>
    <row r="195" spans="1:1">
      <c r="A195" s="27"/>
    </row>
    <row r="196" spans="1:1">
      <c r="A196" s="27"/>
    </row>
    <row r="197" spans="1:1">
      <c r="A197" s="27"/>
    </row>
    <row r="198" spans="1:1">
      <c r="A198" s="27"/>
    </row>
    <row r="199" spans="1:1">
      <c r="A199" s="27"/>
    </row>
    <row r="200" spans="1:1">
      <c r="A200" s="27"/>
    </row>
    <row r="201" spans="1:1">
      <c r="A201" s="27"/>
    </row>
    <row r="202" spans="1:1">
      <c r="A202" s="27"/>
    </row>
    <row r="203" spans="1:1">
      <c r="A203" s="27"/>
    </row>
    <row r="204" spans="1:1">
      <c r="A204" s="27"/>
    </row>
    <row r="205" spans="1:1">
      <c r="A205" s="27"/>
    </row>
    <row r="206" spans="1:1">
      <c r="A206" s="27"/>
    </row>
    <row r="207" spans="1:1">
      <c r="A207" s="27"/>
    </row>
    <row r="208" spans="1:1">
      <c r="A208" s="27"/>
    </row>
    <row r="209" spans="1:1">
      <c r="A209" s="27"/>
    </row>
    <row r="210" spans="1:1">
      <c r="A210" s="27"/>
    </row>
    <row r="211" spans="1:1">
      <c r="A211" s="27"/>
    </row>
    <row r="212" spans="1:1">
      <c r="A212" s="27"/>
    </row>
    <row r="213" spans="1:1">
      <c r="A213" s="27"/>
    </row>
    <row r="214" spans="1:1">
      <c r="A214" s="27"/>
    </row>
    <row r="215" spans="1:1">
      <c r="A215" s="27"/>
    </row>
    <row r="216" spans="1:1">
      <c r="A216" s="27"/>
    </row>
    <row r="217" spans="1:1">
      <c r="A217" s="27"/>
    </row>
    <row r="218" spans="1:1">
      <c r="A218" s="27"/>
    </row>
    <row r="219" spans="1:1">
      <c r="A219" s="27"/>
    </row>
    <row r="220" spans="1:1">
      <c r="A220" s="27"/>
    </row>
    <row r="221" spans="1:1">
      <c r="A221" s="27"/>
    </row>
    <row r="222" spans="1:1">
      <c r="A222" s="27"/>
    </row>
    <row r="223" spans="1:1">
      <c r="A223" s="27"/>
    </row>
    <row r="224" spans="1:1">
      <c r="A224" s="27"/>
    </row>
    <row r="225" spans="1:1">
      <c r="A225" s="27"/>
    </row>
    <row r="226" spans="1:1">
      <c r="A226" s="27"/>
    </row>
    <row r="227" spans="1:1">
      <c r="A227" s="27"/>
    </row>
    <row r="228" spans="1:1">
      <c r="A228" s="27"/>
    </row>
    <row r="229" spans="1:1">
      <c r="A229" s="27"/>
    </row>
    <row r="230" spans="1:1">
      <c r="A230" s="27"/>
    </row>
    <row r="231" spans="1:1">
      <c r="A231" s="27"/>
    </row>
    <row r="232" spans="1:1">
      <c r="A232" s="27"/>
    </row>
    <row r="233" spans="1:1">
      <c r="A233" s="27"/>
    </row>
    <row r="234" spans="1:1">
      <c r="A234" s="27"/>
    </row>
    <row r="235" spans="1:1">
      <c r="A235" s="27"/>
    </row>
    <row r="236" spans="1:1">
      <c r="A236" s="27"/>
    </row>
    <row r="237" spans="1:1">
      <c r="A237" s="27"/>
    </row>
    <row r="238" spans="1:1">
      <c r="A238" s="27"/>
    </row>
    <row r="239" spans="1:1">
      <c r="A239" s="27"/>
    </row>
    <row r="240" spans="1:1">
      <c r="A240" s="27"/>
    </row>
    <row r="241" spans="1:1">
      <c r="A241" s="27"/>
    </row>
    <row r="242" spans="1:1">
      <c r="A242" s="27"/>
    </row>
    <row r="243" spans="1:1">
      <c r="A243" s="27"/>
    </row>
    <row r="244" spans="1:1">
      <c r="A244" s="36"/>
    </row>
    <row r="245" spans="1:1">
      <c r="A245" s="36"/>
    </row>
    <row r="246" spans="1:1">
      <c r="A246" s="36"/>
    </row>
    <row r="247" spans="1:1">
      <c r="A247" s="36"/>
    </row>
    <row r="248" spans="1:1">
      <c r="A248" s="36"/>
    </row>
    <row r="249" spans="1:1">
      <c r="A249" s="36"/>
    </row>
    <row r="250" spans="1:1">
      <c r="A250" s="36"/>
    </row>
    <row r="251" spans="1:1">
      <c r="A251" s="36"/>
    </row>
    <row r="252" spans="1:1">
      <c r="A252" s="36"/>
    </row>
    <row r="253" spans="1:1">
      <c r="A253" s="36"/>
    </row>
    <row r="254" spans="1:1">
      <c r="A254" s="36"/>
    </row>
    <row r="255" spans="1:1">
      <c r="A255" s="36"/>
    </row>
    <row r="256" spans="1:1">
      <c r="A256" s="36"/>
    </row>
    <row r="257" spans="1:1">
      <c r="A257" s="36"/>
    </row>
    <row r="258" spans="1:1">
      <c r="A258" s="36"/>
    </row>
    <row r="259" spans="1:1">
      <c r="A259" s="36"/>
    </row>
    <row r="260" spans="1:1">
      <c r="A260" s="36"/>
    </row>
    <row r="261" spans="1:1">
      <c r="A261" s="36"/>
    </row>
    <row r="262" spans="1:1">
      <c r="A262" s="36"/>
    </row>
    <row r="263" spans="1:1">
      <c r="A263" s="36"/>
    </row>
    <row r="264" spans="1:1">
      <c r="A264" s="36"/>
    </row>
    <row r="265" spans="1:1">
      <c r="A265" s="36"/>
    </row>
    <row r="266" spans="1:1">
      <c r="A266" s="36"/>
    </row>
    <row r="267" spans="1:1">
      <c r="A267" s="36"/>
    </row>
    <row r="268" spans="1:1">
      <c r="A268" s="36"/>
    </row>
    <row r="269" spans="1:1">
      <c r="A269" s="36"/>
    </row>
    <row r="270" spans="1:1">
      <c r="A270" s="36"/>
    </row>
    <row r="271" spans="1:1">
      <c r="A271" s="36"/>
    </row>
    <row r="272" spans="1:1">
      <c r="A272" s="36"/>
    </row>
    <row r="273" spans="1:1">
      <c r="A273" s="36"/>
    </row>
    <row r="274" spans="1:1">
      <c r="A274" s="36"/>
    </row>
    <row r="275" spans="1:1">
      <c r="A275" s="36"/>
    </row>
    <row r="276" spans="1:1">
      <c r="A276" s="36"/>
    </row>
    <row r="277" spans="1:1">
      <c r="A277" s="36"/>
    </row>
    <row r="278" spans="1:1">
      <c r="A278" s="36"/>
    </row>
    <row r="279" spans="1:1">
      <c r="A279" s="36"/>
    </row>
    <row r="280" spans="1:1">
      <c r="A280" s="36"/>
    </row>
    <row r="281" spans="1:1">
      <c r="A281" s="36"/>
    </row>
    <row r="282" spans="1:1">
      <c r="A282" s="36"/>
    </row>
    <row r="283" spans="1:1">
      <c r="A283" s="36"/>
    </row>
    <row r="284" spans="1:1">
      <c r="A284" s="36"/>
    </row>
    <row r="285" spans="1:1">
      <c r="A285" s="36"/>
    </row>
    <row r="286" spans="1:1">
      <c r="A286" s="36"/>
    </row>
    <row r="287" spans="1:1">
      <c r="A287" s="36"/>
    </row>
    <row r="288" spans="1:1">
      <c r="A288" s="36"/>
    </row>
    <row r="289" spans="1:1">
      <c r="A289" s="36"/>
    </row>
    <row r="290" spans="1:1">
      <c r="A290" s="36"/>
    </row>
    <row r="291" spans="1:1">
      <c r="A291" s="36"/>
    </row>
    <row r="292" spans="1:1">
      <c r="A292" s="36"/>
    </row>
    <row r="293" spans="1:1">
      <c r="A293" s="36"/>
    </row>
    <row r="294" spans="1:1">
      <c r="A294" s="36"/>
    </row>
    <row r="295" spans="1:1">
      <c r="A295" s="36"/>
    </row>
    <row r="296" spans="1:1">
      <c r="A296" s="36"/>
    </row>
    <row r="297" spans="1:1">
      <c r="A297" s="36"/>
    </row>
    <row r="298" spans="1:1">
      <c r="A298" s="36"/>
    </row>
    <row r="299" spans="1:1">
      <c r="A299" s="36"/>
    </row>
    <row r="300" spans="1:1">
      <c r="A300" s="36"/>
    </row>
    <row r="301" spans="1:1">
      <c r="A301" s="36"/>
    </row>
    <row r="302" spans="1:1">
      <c r="A302" s="36"/>
    </row>
    <row r="303" spans="1:1">
      <c r="A303" s="36"/>
    </row>
    <row r="304" spans="1:1">
      <c r="A304" s="36"/>
    </row>
    <row r="305" spans="1:1">
      <c r="A305" s="36"/>
    </row>
    <row r="306" spans="1:1">
      <c r="A306" s="36"/>
    </row>
    <row r="307" spans="1:1">
      <c r="A307" s="36"/>
    </row>
    <row r="308" spans="1:1">
      <c r="A308" s="36"/>
    </row>
    <row r="309" spans="1:1">
      <c r="A309" s="36"/>
    </row>
    <row r="310" spans="1:1">
      <c r="A310" s="36"/>
    </row>
    <row r="311" spans="1:1">
      <c r="A311" s="36"/>
    </row>
    <row r="312" spans="1:1">
      <c r="A312" s="36"/>
    </row>
    <row r="313" spans="1:1">
      <c r="A313" s="36"/>
    </row>
    <row r="314" spans="1:1">
      <c r="A314" s="36"/>
    </row>
    <row r="315" spans="1:1">
      <c r="A315" s="36"/>
    </row>
    <row r="316" spans="1:1">
      <c r="A316" s="36"/>
    </row>
    <row r="317" spans="1:1">
      <c r="A317" s="36"/>
    </row>
    <row r="318" spans="1:1">
      <c r="A318" s="36"/>
    </row>
    <row r="319" spans="1:1">
      <c r="A319" s="36"/>
    </row>
    <row r="320" spans="1:1">
      <c r="A320" s="36"/>
    </row>
    <row r="321" spans="1:1">
      <c r="A321" s="36"/>
    </row>
    <row r="322" spans="1:1">
      <c r="A322" s="36"/>
    </row>
    <row r="323" spans="1:1">
      <c r="A323" s="36"/>
    </row>
    <row r="324" spans="1:1">
      <c r="A324" s="36"/>
    </row>
    <row r="325" spans="1:1">
      <c r="A325" s="36"/>
    </row>
    <row r="326" spans="1:1">
      <c r="A326" s="36"/>
    </row>
    <row r="327" spans="1:1">
      <c r="A327" s="36"/>
    </row>
    <row r="328" spans="1:1">
      <c r="A328" s="36"/>
    </row>
    <row r="329" spans="1:1">
      <c r="A329" s="36"/>
    </row>
    <row r="330" spans="1:1">
      <c r="A330" s="36"/>
    </row>
    <row r="331" spans="1:1">
      <c r="A331" s="36"/>
    </row>
    <row r="332" spans="1:1">
      <c r="A332" s="36"/>
    </row>
    <row r="333" spans="1:1">
      <c r="A333" s="36"/>
    </row>
    <row r="334" spans="1:1">
      <c r="A334" s="36"/>
    </row>
    <row r="335" spans="1:1">
      <c r="A335" s="36"/>
    </row>
    <row r="336" spans="1:1">
      <c r="A336" s="36"/>
    </row>
    <row r="337" spans="1:1">
      <c r="A337" s="36"/>
    </row>
    <row r="338" spans="1:1">
      <c r="A338" s="36"/>
    </row>
    <row r="339" spans="1:1">
      <c r="A339" s="36"/>
    </row>
    <row r="340" spans="1:1">
      <c r="A340" s="36"/>
    </row>
    <row r="341" spans="1:1">
      <c r="A341" s="36"/>
    </row>
    <row r="342" spans="1:1">
      <c r="A342" s="36"/>
    </row>
    <row r="343" spans="1:1">
      <c r="A343" s="36"/>
    </row>
    <row r="344" spans="1:1">
      <c r="A344" s="36"/>
    </row>
    <row r="345" spans="1:1">
      <c r="A345" s="36"/>
    </row>
    <row r="346" spans="1:1">
      <c r="A346" s="36"/>
    </row>
    <row r="347" spans="1:1">
      <c r="A347" s="36"/>
    </row>
    <row r="348" spans="1:1">
      <c r="A348" s="36"/>
    </row>
    <row r="349" spans="1:1">
      <c r="A349" s="36"/>
    </row>
    <row r="350" spans="1:1">
      <c r="A350" s="36"/>
    </row>
    <row r="351" spans="1:1">
      <c r="A351" s="36"/>
    </row>
    <row r="352" spans="1:1">
      <c r="A352" s="36"/>
    </row>
    <row r="353" spans="1:1">
      <c r="A353" s="36"/>
    </row>
    <row r="354" spans="1:1">
      <c r="A354" s="36"/>
    </row>
    <row r="355" spans="1:1">
      <c r="A355" s="36"/>
    </row>
    <row r="356" spans="1:1">
      <c r="A356" s="36"/>
    </row>
    <row r="357" spans="1:1">
      <c r="A357" s="36"/>
    </row>
    <row r="358" spans="1:1">
      <c r="A358" s="36"/>
    </row>
    <row r="359" spans="1:1">
      <c r="A359" s="36"/>
    </row>
    <row r="360" spans="1:1">
      <c r="A360" s="36"/>
    </row>
    <row r="361" spans="1:1">
      <c r="A361" s="36"/>
    </row>
    <row r="362" spans="1:1">
      <c r="A362" s="36"/>
    </row>
    <row r="363" spans="1:1">
      <c r="A363" s="36"/>
    </row>
    <row r="364" spans="1:1">
      <c r="A364" s="36"/>
    </row>
    <row r="365" spans="1:1">
      <c r="A365" s="36"/>
    </row>
    <row r="366" spans="1:1">
      <c r="A366" s="36"/>
    </row>
    <row r="367" spans="1:1">
      <c r="A367" s="36"/>
    </row>
    <row r="368" spans="1:1">
      <c r="A368" s="36"/>
    </row>
    <row r="369" spans="1:1">
      <c r="A369" s="36"/>
    </row>
    <row r="370" spans="1:1">
      <c r="A370" s="36"/>
    </row>
    <row r="371" spans="1:1">
      <c r="A371" s="36"/>
    </row>
    <row r="372" spans="1:1">
      <c r="A372" s="36"/>
    </row>
    <row r="373" spans="1:1">
      <c r="A373" s="36"/>
    </row>
    <row r="374" spans="1:1">
      <c r="A374" s="36"/>
    </row>
    <row r="375" spans="1:1">
      <c r="A375" s="36"/>
    </row>
    <row r="376" spans="1:1">
      <c r="A376" s="36"/>
    </row>
    <row r="377" spans="1:1">
      <c r="A377" s="36"/>
    </row>
    <row r="378" spans="1:1">
      <c r="A378" s="36"/>
    </row>
    <row r="379" spans="1:1">
      <c r="A379" s="36"/>
    </row>
    <row r="380" spans="1:1">
      <c r="A380" s="36"/>
    </row>
    <row r="381" spans="1:1">
      <c r="A381" s="36"/>
    </row>
    <row r="382" spans="1:1">
      <c r="A382" s="36"/>
    </row>
    <row r="383" spans="1:1">
      <c r="A383" s="36"/>
    </row>
    <row r="384" spans="1:1">
      <c r="A384" s="36"/>
    </row>
    <row r="385" spans="1:1">
      <c r="A385" s="36"/>
    </row>
    <row r="386" spans="1:1">
      <c r="A386" s="36"/>
    </row>
    <row r="387" spans="1:1">
      <c r="A387" s="36"/>
    </row>
    <row r="388" spans="1:1">
      <c r="A388" s="36"/>
    </row>
    <row r="389" spans="1:1">
      <c r="A389" s="36"/>
    </row>
    <row r="390" spans="1:1">
      <c r="A390" s="36"/>
    </row>
    <row r="391" spans="1:1">
      <c r="A391" s="36"/>
    </row>
    <row r="392" spans="1:1">
      <c r="A392" s="36"/>
    </row>
    <row r="393" spans="1:1">
      <c r="A393" s="36"/>
    </row>
    <row r="394" spans="1:1">
      <c r="A394" s="36"/>
    </row>
    <row r="395" spans="1:1">
      <c r="A395" s="36"/>
    </row>
    <row r="396" spans="1:1">
      <c r="A396" s="36"/>
    </row>
    <row r="397" spans="1:1">
      <c r="A397" s="36"/>
    </row>
    <row r="398" spans="1:1">
      <c r="A398" s="36"/>
    </row>
    <row r="399" spans="1:1">
      <c r="A399" s="36"/>
    </row>
    <row r="400" spans="1:1">
      <c r="A400" s="36"/>
    </row>
    <row r="401" spans="1:1">
      <c r="A401" s="36"/>
    </row>
    <row r="402" spans="1:1">
      <c r="A402" s="36"/>
    </row>
    <row r="403" spans="1:1">
      <c r="A403" s="36"/>
    </row>
    <row r="404" spans="1:1">
      <c r="A404" s="36"/>
    </row>
    <row r="405" spans="1:1">
      <c r="A405" s="36"/>
    </row>
    <row r="406" spans="1:1">
      <c r="A406" s="36"/>
    </row>
    <row r="407" spans="1:1">
      <c r="A407" s="36"/>
    </row>
    <row r="408" spans="1:1">
      <c r="A408" s="36"/>
    </row>
    <row r="409" spans="1:1">
      <c r="A409" s="36"/>
    </row>
    <row r="410" spans="1:1">
      <c r="A410" s="36"/>
    </row>
  </sheetData>
  <mergeCells count="12">
    <mergeCell ref="A161:H161"/>
    <mergeCell ref="A167:H167"/>
    <mergeCell ref="A3:H3"/>
    <mergeCell ref="G184:H184"/>
    <mergeCell ref="A187:H187"/>
    <mergeCell ref="A174:H174"/>
    <mergeCell ref="D5:H5"/>
    <mergeCell ref="B5:B6"/>
    <mergeCell ref="A5:A6"/>
    <mergeCell ref="C5:C6"/>
    <mergeCell ref="A8:H8"/>
    <mergeCell ref="B185:E185"/>
  </mergeCells>
  <phoneticPr fontId="0" type="noConversion"/>
  <pageMargins left="0.39370078740157483" right="0.39370078740157483" top="0.39370078740157483" bottom="0.39370078740157483" header="0.19685039370078741" footer="0.11811023622047245"/>
  <pageSetup paperSize="9" scale="42" orientation="portrait" r:id="rId1"/>
  <headerFooter alignWithMargins="0"/>
  <rowBreaks count="2" manualBreakCount="2">
    <brk id="69" max="7" man="1"/>
    <brk id="136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3"/>
  </sheetPr>
  <dimension ref="A1:K188"/>
  <sheetViews>
    <sheetView view="pageBreakPreview" topLeftCell="A30" zoomScale="75" zoomScaleNormal="75" zoomScaleSheetLayoutView="75" workbookViewId="0">
      <selection activeCell="A40" sqref="A40"/>
    </sheetView>
  </sheetViews>
  <sheetFormatPr defaultColWidth="9.1796875" defaultRowHeight="20.5" outlineLevelRow="1"/>
  <cols>
    <col min="1" max="1" width="64.1796875" style="43" customWidth="1"/>
    <col min="2" max="2" width="15.26953125" style="44" customWidth="1"/>
    <col min="3" max="3" width="18.7265625" style="170" customWidth="1"/>
    <col min="4" max="4" width="14.54296875" style="170" customWidth="1"/>
    <col min="5" max="5" width="14" style="170" customWidth="1"/>
    <col min="6" max="6" width="18.7265625" style="44" customWidth="1"/>
    <col min="7" max="7" width="15.54296875" style="44" customWidth="1"/>
    <col min="8" max="8" width="10" style="43" customWidth="1"/>
    <col min="9" max="9" width="0.26953125" style="43" customWidth="1"/>
    <col min="10" max="11" width="9.1796875" style="43" hidden="1" customWidth="1"/>
    <col min="12" max="16384" width="9.1796875" style="43"/>
  </cols>
  <sheetData>
    <row r="1" spans="1:7" hidden="1" outlineLevel="1">
      <c r="C1" s="44"/>
      <c r="D1" s="44"/>
      <c r="E1" s="44"/>
      <c r="G1" s="253" t="s">
        <v>241</v>
      </c>
    </row>
    <row r="2" spans="1:7" hidden="1" outlineLevel="1">
      <c r="C2" s="44"/>
      <c r="D2" s="44"/>
      <c r="E2" s="44"/>
      <c r="G2" s="253" t="s">
        <v>226</v>
      </c>
    </row>
    <row r="3" spans="1:7" collapsed="1">
      <c r="A3" s="319" t="s">
        <v>374</v>
      </c>
      <c r="B3" s="319"/>
      <c r="C3" s="319"/>
      <c r="D3" s="319"/>
      <c r="E3" s="319"/>
      <c r="F3" s="319"/>
      <c r="G3" s="319"/>
    </row>
    <row r="4" spans="1:7" ht="38.25" customHeight="1">
      <c r="A4" s="320" t="s">
        <v>287</v>
      </c>
      <c r="B4" s="321" t="s">
        <v>18</v>
      </c>
      <c r="C4" s="322" t="s">
        <v>355</v>
      </c>
      <c r="D4" s="320" t="s">
        <v>353</v>
      </c>
      <c r="E4" s="320"/>
      <c r="F4" s="320"/>
      <c r="G4" s="320"/>
    </row>
    <row r="5" spans="1:7" ht="38.25" customHeight="1">
      <c r="A5" s="320"/>
      <c r="B5" s="321"/>
      <c r="C5" s="323"/>
      <c r="D5" s="249" t="s">
        <v>265</v>
      </c>
      <c r="E5" s="249" t="s">
        <v>248</v>
      </c>
      <c r="F5" s="248" t="s">
        <v>275</v>
      </c>
      <c r="G5" s="248" t="s">
        <v>276</v>
      </c>
    </row>
    <row r="6" spans="1:7">
      <c r="A6" s="244">
        <v>1</v>
      </c>
      <c r="B6" s="245">
        <v>2</v>
      </c>
      <c r="C6" s="244">
        <v>3</v>
      </c>
      <c r="D6" s="244">
        <v>4</v>
      </c>
      <c r="E6" s="245">
        <v>5</v>
      </c>
      <c r="F6" s="244">
        <v>6</v>
      </c>
      <c r="G6" s="245">
        <v>7</v>
      </c>
    </row>
    <row r="7" spans="1:7">
      <c r="A7" s="315" t="s">
        <v>153</v>
      </c>
      <c r="B7" s="316"/>
      <c r="C7" s="316"/>
      <c r="D7" s="316"/>
      <c r="E7" s="316"/>
      <c r="F7" s="316"/>
      <c r="G7" s="317"/>
    </row>
    <row r="8" spans="1:7" ht="45.75" customHeight="1">
      <c r="A8" s="121" t="s">
        <v>60</v>
      </c>
      <c r="B8" s="254">
        <v>2000</v>
      </c>
      <c r="C8" s="267">
        <v>316</v>
      </c>
      <c r="D8" s="267">
        <v>401</v>
      </c>
      <c r="E8" s="267">
        <v>-6452</v>
      </c>
      <c r="F8" s="251">
        <f>E8-D8</f>
        <v>-6853</v>
      </c>
      <c r="G8" s="252">
        <f>E8/D8*100</f>
        <v>-1608.9775561097256</v>
      </c>
    </row>
    <row r="9" spans="1:7" ht="41">
      <c r="A9" s="33" t="s">
        <v>208</v>
      </c>
      <c r="B9" s="254">
        <v>2010</v>
      </c>
      <c r="C9" s="267">
        <f>C10+C11</f>
        <v>21.779999999999998</v>
      </c>
      <c r="D9" s="267">
        <f>D10+D11</f>
        <v>410.35699999999997</v>
      </c>
      <c r="E9" s="267">
        <f>E10+E11</f>
        <v>0</v>
      </c>
      <c r="F9" s="251">
        <f>E9-D9</f>
        <v>-410.35699999999997</v>
      </c>
      <c r="G9" s="252">
        <f>E9/D9*100</f>
        <v>0</v>
      </c>
    </row>
    <row r="10" spans="1:7" ht="41">
      <c r="A10" s="32" t="s">
        <v>359</v>
      </c>
      <c r="B10" s="254">
        <v>2011</v>
      </c>
      <c r="C10" s="267">
        <f>'1. Фін результат'!C157*0.15</f>
        <v>4.95</v>
      </c>
      <c r="D10" s="267">
        <f>'1. Фін результат'!D157*0.15</f>
        <v>93.356999999999999</v>
      </c>
      <c r="E10" s="267"/>
      <c r="F10" s="251">
        <f>E10-D10</f>
        <v>-93.356999999999999</v>
      </c>
      <c r="G10" s="252">
        <f>E10/D10*100</f>
        <v>0</v>
      </c>
    </row>
    <row r="11" spans="1:7" ht="90">
      <c r="A11" s="5" t="s">
        <v>360</v>
      </c>
      <c r="B11" s="254">
        <v>2012</v>
      </c>
      <c r="C11" s="267">
        <f>('1. Фін результат'!C157-'2. Розрахунки з бюджетом'!C10)*0.6</f>
        <v>16.829999999999998</v>
      </c>
      <c r="D11" s="267">
        <v>317</v>
      </c>
      <c r="E11" s="267"/>
      <c r="F11" s="251">
        <f>E11-D11</f>
        <v>-317</v>
      </c>
      <c r="G11" s="252">
        <f>E11/D11*100</f>
        <v>0</v>
      </c>
    </row>
    <row r="12" spans="1:7">
      <c r="A12" s="32" t="s">
        <v>195</v>
      </c>
      <c r="B12" s="254">
        <v>2020</v>
      </c>
      <c r="C12" s="267"/>
      <c r="D12" s="267"/>
      <c r="E12" s="267"/>
      <c r="F12" s="251"/>
      <c r="G12" s="252"/>
    </row>
    <row r="13" spans="1:7" s="45" customFormat="1">
      <c r="A13" s="33" t="s">
        <v>71</v>
      </c>
      <c r="B13" s="254">
        <v>2030</v>
      </c>
      <c r="C13" s="267"/>
      <c r="D13" s="267"/>
      <c r="E13" s="267"/>
      <c r="F13" s="251"/>
      <c r="G13" s="252"/>
    </row>
    <row r="14" spans="1:7" ht="24" customHeight="1">
      <c r="A14" s="12" t="s">
        <v>132</v>
      </c>
      <c r="B14" s="254">
        <v>2031</v>
      </c>
      <c r="C14" s="267"/>
      <c r="D14" s="267"/>
      <c r="E14" s="267"/>
      <c r="F14" s="251"/>
      <c r="G14" s="252"/>
    </row>
    <row r="15" spans="1:7">
      <c r="A15" s="33" t="s">
        <v>26</v>
      </c>
      <c r="B15" s="254">
        <v>2040</v>
      </c>
      <c r="C15" s="267"/>
      <c r="D15" s="267"/>
      <c r="E15" s="267"/>
      <c r="F15" s="251"/>
      <c r="G15" s="252"/>
    </row>
    <row r="16" spans="1:7">
      <c r="A16" s="33" t="s">
        <v>114</v>
      </c>
      <c r="B16" s="254">
        <v>2050</v>
      </c>
      <c r="C16" s="267"/>
      <c r="D16" s="267"/>
      <c r="E16" s="267"/>
      <c r="F16" s="251"/>
      <c r="G16" s="252"/>
    </row>
    <row r="17" spans="1:10">
      <c r="A17" s="33" t="s">
        <v>115</v>
      </c>
      <c r="B17" s="254">
        <v>2060</v>
      </c>
      <c r="C17" s="267">
        <v>-66</v>
      </c>
      <c r="D17" s="267"/>
      <c r="E17" s="267">
        <v>52</v>
      </c>
      <c r="F17" s="251"/>
      <c r="G17" s="252"/>
    </row>
    <row r="18" spans="1:10" ht="45" customHeight="1">
      <c r="A18" s="33" t="s">
        <v>61</v>
      </c>
      <c r="B18" s="254">
        <v>2070</v>
      </c>
      <c r="C18" s="60">
        <f>C8+'1. Фін результат'!C157-'2. Розрахунки з бюджетом'!C9+'2. Розрахунки з бюджетом'!C12-'2. Розрахунки з бюджетом'!C13-'2. Розрахунки з бюджетом'!C15-'2. Розрахунки з бюджетом'!C16-'2. Розрахунки з бюджетом'!C17</f>
        <v>393.22</v>
      </c>
      <c r="D18" s="60">
        <v>613</v>
      </c>
      <c r="E18" s="60">
        <f>E8+'1. Фін результат'!E157-'2. Розрахунки з бюджетом'!E9+'2. Розрахунки з бюджетом'!E12-'2. Розрахунки з бюджетом'!E13-'2. Розрахунки з бюджетом'!E15-'2. Розрахунки з бюджетом'!E16-'2. Розрахунки з бюджетом'!E17</f>
        <v>-16332</v>
      </c>
      <c r="F18" s="60">
        <f>E18-D18</f>
        <v>-16945</v>
      </c>
      <c r="G18" s="61">
        <f>E18/D18*100</f>
        <v>-2664.274061990212</v>
      </c>
      <c r="H18" s="153"/>
      <c r="J18" s="153"/>
    </row>
    <row r="19" spans="1:10" ht="41.25" customHeight="1">
      <c r="A19" s="315" t="s">
        <v>154</v>
      </c>
      <c r="B19" s="316"/>
      <c r="C19" s="316"/>
      <c r="D19" s="316"/>
      <c r="E19" s="316"/>
      <c r="F19" s="316"/>
      <c r="G19" s="317"/>
    </row>
    <row r="20" spans="1:10" ht="41">
      <c r="A20" s="33" t="s">
        <v>208</v>
      </c>
      <c r="B20" s="254">
        <v>2100</v>
      </c>
      <c r="C20" s="267">
        <f>C21+C22</f>
        <v>21.779999999999998</v>
      </c>
      <c r="D20" s="267">
        <f>D21+D22</f>
        <v>410.35699999999997</v>
      </c>
      <c r="E20" s="267">
        <f>E21+E22</f>
        <v>0</v>
      </c>
      <c r="F20" s="251">
        <f>E20-D20</f>
        <v>-410.35699999999997</v>
      </c>
      <c r="G20" s="252">
        <f>E20/D20*100</f>
        <v>0</v>
      </c>
    </row>
    <row r="21" spans="1:10" ht="41">
      <c r="A21" s="32" t="s">
        <v>359</v>
      </c>
      <c r="B21" s="254">
        <v>2101</v>
      </c>
      <c r="C21" s="267">
        <f t="shared" ref="C21:E22" si="0">C10</f>
        <v>4.95</v>
      </c>
      <c r="D21" s="267">
        <f t="shared" si="0"/>
        <v>93.356999999999999</v>
      </c>
      <c r="E21" s="267">
        <f t="shared" si="0"/>
        <v>0</v>
      </c>
      <c r="F21" s="251">
        <f>E21-D21</f>
        <v>-93.356999999999999</v>
      </c>
      <c r="G21" s="252">
        <f>E21/D21*100</f>
        <v>0</v>
      </c>
    </row>
    <row r="22" spans="1:10" ht="90">
      <c r="A22" s="5" t="s">
        <v>360</v>
      </c>
      <c r="B22" s="254">
        <v>2102</v>
      </c>
      <c r="C22" s="267">
        <f t="shared" si="0"/>
        <v>16.829999999999998</v>
      </c>
      <c r="D22" s="267">
        <f t="shared" si="0"/>
        <v>317</v>
      </c>
      <c r="E22" s="267">
        <f t="shared" si="0"/>
        <v>0</v>
      </c>
      <c r="F22" s="251">
        <f>E22-D22</f>
        <v>-317</v>
      </c>
      <c r="G22" s="252">
        <f>E22/D22*100</f>
        <v>0</v>
      </c>
    </row>
    <row r="23" spans="1:10" s="45" customFormat="1">
      <c r="A23" s="33" t="s">
        <v>156</v>
      </c>
      <c r="B23" s="244">
        <v>2110</v>
      </c>
      <c r="C23" s="46">
        <f>'1. Фін результат'!C155</f>
        <v>7</v>
      </c>
      <c r="D23" s="46">
        <f>'1. Фін результат'!D155</f>
        <v>136.62</v>
      </c>
      <c r="E23" s="46">
        <v>65</v>
      </c>
      <c r="F23" s="251">
        <f>E23-D23</f>
        <v>-71.62</v>
      </c>
      <c r="G23" s="252"/>
    </row>
    <row r="24" spans="1:10" ht="61.5">
      <c r="A24" s="33" t="s">
        <v>338</v>
      </c>
      <c r="B24" s="244">
        <v>2120</v>
      </c>
      <c r="C24" s="46">
        <v>815</v>
      </c>
      <c r="D24" s="46">
        <v>2300</v>
      </c>
      <c r="E24" s="46">
        <v>811</v>
      </c>
      <c r="F24" s="251">
        <f>E24-D24</f>
        <v>-1489</v>
      </c>
      <c r="G24" s="252">
        <f>E24/D24*100</f>
        <v>35.260869565217391</v>
      </c>
    </row>
    <row r="25" spans="1:10" ht="61.5" customHeight="1">
      <c r="A25" s="33" t="s">
        <v>339</v>
      </c>
      <c r="B25" s="244">
        <v>2130</v>
      </c>
      <c r="C25" s="46"/>
      <c r="D25" s="46"/>
      <c r="E25" s="46"/>
      <c r="F25" s="46"/>
      <c r="G25" s="47"/>
    </row>
    <row r="26" spans="1:10" s="41" customFormat="1" ht="39.75" customHeight="1">
      <c r="A26" s="16" t="s">
        <v>257</v>
      </c>
      <c r="B26" s="48">
        <v>2140</v>
      </c>
      <c r="C26" s="263">
        <f>C30+C29+C35</f>
        <v>2498</v>
      </c>
      <c r="D26" s="263">
        <f>D30+D29+D35</f>
        <v>3745</v>
      </c>
      <c r="E26" s="263">
        <f>E30+E29+E35</f>
        <v>3568</v>
      </c>
      <c r="F26" s="60">
        <f>E26-D26</f>
        <v>-177</v>
      </c>
      <c r="G26" s="61">
        <f>E26/D26*100</f>
        <v>95.273698264352475</v>
      </c>
    </row>
    <row r="27" spans="1:10">
      <c r="A27" s="33" t="s">
        <v>84</v>
      </c>
      <c r="B27" s="244">
        <v>2141</v>
      </c>
      <c r="C27" s="46"/>
      <c r="D27" s="46"/>
      <c r="E27" s="46"/>
      <c r="F27" s="46"/>
      <c r="G27" s="47"/>
    </row>
    <row r="28" spans="1:10">
      <c r="A28" s="33" t="s">
        <v>104</v>
      </c>
      <c r="B28" s="244">
        <v>2142</v>
      </c>
      <c r="C28" s="46"/>
      <c r="D28" s="46"/>
      <c r="E28" s="46"/>
      <c r="F28" s="46"/>
      <c r="G28" s="47"/>
    </row>
    <row r="29" spans="1:10">
      <c r="A29" s="33" t="s">
        <v>99</v>
      </c>
      <c r="B29" s="244">
        <v>2143</v>
      </c>
      <c r="C29" s="46">
        <f>'1. Фін результат'!C95</f>
        <v>145</v>
      </c>
      <c r="D29" s="46">
        <v>148</v>
      </c>
      <c r="E29" s="46">
        <f>'1. Фін результат'!E95</f>
        <v>163</v>
      </c>
      <c r="F29" s="251">
        <f>E29-D29</f>
        <v>15</v>
      </c>
      <c r="G29" s="252">
        <f>E29/D29*100</f>
        <v>110.13513513513513</v>
      </c>
    </row>
    <row r="30" spans="1:10">
      <c r="A30" s="33" t="s">
        <v>82</v>
      </c>
      <c r="B30" s="244">
        <v>2144</v>
      </c>
      <c r="C30" s="46">
        <v>2154</v>
      </c>
      <c r="D30" s="46">
        <v>3320</v>
      </c>
      <c r="E30" s="46">
        <v>3144</v>
      </c>
      <c r="F30" s="251">
        <f>E30-D30</f>
        <v>-176</v>
      </c>
      <c r="G30" s="252">
        <f>E30/D30*100</f>
        <v>94.698795180722897</v>
      </c>
    </row>
    <row r="31" spans="1:10" s="45" customFormat="1">
      <c r="A31" s="33" t="s">
        <v>175</v>
      </c>
      <c r="B31" s="244">
        <v>2145</v>
      </c>
      <c r="C31" s="46"/>
      <c r="D31" s="46"/>
      <c r="E31" s="46"/>
      <c r="F31" s="46"/>
      <c r="G31" s="47"/>
    </row>
    <row r="32" spans="1:10" ht="61.5">
      <c r="A32" s="33" t="s">
        <v>133</v>
      </c>
      <c r="B32" s="244" t="s">
        <v>222</v>
      </c>
      <c r="C32" s="46"/>
      <c r="D32" s="46"/>
      <c r="E32" s="46"/>
      <c r="F32" s="46"/>
      <c r="G32" s="47"/>
    </row>
    <row r="33" spans="1:9">
      <c r="A33" s="33" t="s">
        <v>27</v>
      </c>
      <c r="B33" s="244" t="s">
        <v>223</v>
      </c>
      <c r="C33" s="46"/>
      <c r="D33" s="46"/>
      <c r="E33" s="46"/>
      <c r="F33" s="46"/>
      <c r="G33" s="47"/>
    </row>
    <row r="34" spans="1:9" s="45" customFormat="1">
      <c r="A34" s="33" t="s">
        <v>116</v>
      </c>
      <c r="B34" s="244">
        <v>2146</v>
      </c>
      <c r="C34" s="46"/>
      <c r="D34" s="46"/>
      <c r="E34" s="46"/>
      <c r="F34" s="46"/>
      <c r="G34" s="47"/>
    </row>
    <row r="35" spans="1:9">
      <c r="A35" s="33" t="s">
        <v>88</v>
      </c>
      <c r="B35" s="244">
        <v>2147</v>
      </c>
      <c r="C35" s="46">
        <f>C36</f>
        <v>199</v>
      </c>
      <c r="D35" s="46">
        <f>D36</f>
        <v>277</v>
      </c>
      <c r="E35" s="46">
        <f>E36</f>
        <v>261</v>
      </c>
      <c r="F35" s="251">
        <f>E35-D35</f>
        <v>-16</v>
      </c>
      <c r="G35" s="252">
        <f>E35/D35*100</f>
        <v>94.223826714801433</v>
      </c>
    </row>
    <row r="36" spans="1:9">
      <c r="A36" s="33" t="s">
        <v>480</v>
      </c>
      <c r="B36" s="244" t="s">
        <v>479</v>
      </c>
      <c r="C36" s="46">
        <v>199</v>
      </c>
      <c r="D36" s="46">
        <v>277</v>
      </c>
      <c r="E36" s="46">
        <v>261</v>
      </c>
      <c r="F36" s="251">
        <f>E36-D36</f>
        <v>-16</v>
      </c>
      <c r="G36" s="252">
        <f>E36/D36*100</f>
        <v>94.223826714801433</v>
      </c>
    </row>
    <row r="37" spans="1:9" s="45" customFormat="1" ht="41">
      <c r="A37" s="33" t="s">
        <v>83</v>
      </c>
      <c r="B37" s="244">
        <v>2150</v>
      </c>
      <c r="C37" s="276">
        <f>'1. Фін результат'!C179</f>
        <v>2332</v>
      </c>
      <c r="D37" s="276">
        <v>3890</v>
      </c>
      <c r="E37" s="276">
        <f>'1. Фін результат'!E179</f>
        <v>3490</v>
      </c>
      <c r="F37" s="251">
        <f>E37-D37</f>
        <v>-400</v>
      </c>
      <c r="G37" s="252">
        <f>E37/D37*100</f>
        <v>89.717223650385606</v>
      </c>
    </row>
    <row r="38" spans="1:9" s="45" customFormat="1" ht="25.5" customHeight="1">
      <c r="A38" s="42" t="s">
        <v>358</v>
      </c>
      <c r="B38" s="48">
        <v>2200</v>
      </c>
      <c r="C38" s="263">
        <f>C20+C24+C26+C37+C23</f>
        <v>5673.78</v>
      </c>
      <c r="D38" s="263">
        <f>D20+D24+D26+D37+D23</f>
        <v>10481.977000000001</v>
      </c>
      <c r="E38" s="263">
        <f>E20+E24+E26+E37+E23</f>
        <v>7934</v>
      </c>
      <c r="F38" s="60">
        <f>E38-D38</f>
        <v>-2547.9770000000008</v>
      </c>
      <c r="G38" s="61">
        <f>E38/D38*100</f>
        <v>75.691827982450249</v>
      </c>
      <c r="H38" s="45" t="s">
        <v>372</v>
      </c>
    </row>
    <row r="39" spans="1:9" s="45" customFormat="1" ht="82.5" customHeight="1">
      <c r="A39" s="49"/>
      <c r="B39" s="44"/>
      <c r="C39" s="170"/>
      <c r="D39" s="170"/>
      <c r="E39" s="170"/>
      <c r="F39" s="44"/>
      <c r="G39" s="44"/>
    </row>
    <row r="40" spans="1:9" s="24" customFormat="1" ht="20.149999999999999" customHeight="1">
      <c r="A40" s="125" t="s">
        <v>620</v>
      </c>
      <c r="B40" s="122"/>
      <c r="C40" s="160"/>
      <c r="D40" s="160"/>
      <c r="E40" s="160"/>
      <c r="F40" s="306" t="s">
        <v>621</v>
      </c>
      <c r="G40" s="306"/>
    </row>
    <row r="41" spans="1:9" s="35" customFormat="1" ht="20.149999999999999" customHeight="1">
      <c r="A41" s="26" t="s">
        <v>77</v>
      </c>
      <c r="C41" s="318" t="s">
        <v>78</v>
      </c>
      <c r="D41" s="318"/>
      <c r="E41" s="160"/>
      <c r="F41" s="324" t="s">
        <v>102</v>
      </c>
      <c r="G41" s="324"/>
    </row>
    <row r="42" spans="1:9" s="44" customFormat="1" ht="29.25" customHeight="1">
      <c r="A42" s="50"/>
      <c r="C42" s="170"/>
      <c r="D42" s="170"/>
      <c r="E42" s="170"/>
      <c r="H42" s="43"/>
      <c r="I42" s="43"/>
    </row>
    <row r="43" spans="1:9" s="115" customFormat="1" ht="80.25" customHeight="1">
      <c r="A43" s="314"/>
      <c r="B43" s="314"/>
      <c r="C43" s="314"/>
      <c r="D43" s="314"/>
      <c r="E43" s="314"/>
      <c r="F43" s="314"/>
      <c r="G43" s="314"/>
      <c r="H43" s="314"/>
    </row>
    <row r="44" spans="1:9" s="44" customFormat="1">
      <c r="A44" s="50"/>
      <c r="C44" s="170"/>
      <c r="D44" s="170"/>
      <c r="E44" s="170"/>
      <c r="H44" s="43"/>
      <c r="I44" s="43"/>
    </row>
    <row r="45" spans="1:9" s="44" customFormat="1">
      <c r="A45" s="50"/>
      <c r="C45" s="170"/>
      <c r="D45" s="170"/>
      <c r="E45" s="170"/>
      <c r="H45" s="43"/>
      <c r="I45" s="43"/>
    </row>
    <row r="46" spans="1:9" s="44" customFormat="1">
      <c r="A46" s="50"/>
      <c r="C46" s="170"/>
      <c r="D46" s="170"/>
      <c r="E46" s="170"/>
      <c r="H46" s="43"/>
      <c r="I46" s="43"/>
    </row>
    <row r="47" spans="1:9" s="44" customFormat="1">
      <c r="A47" s="50"/>
      <c r="C47" s="170"/>
      <c r="D47" s="170"/>
      <c r="E47" s="170"/>
      <c r="H47" s="43"/>
      <c r="I47" s="43"/>
    </row>
    <row r="48" spans="1:9" s="44" customFormat="1">
      <c r="A48" s="50"/>
      <c r="C48" s="170"/>
      <c r="D48" s="170"/>
      <c r="E48" s="170"/>
      <c r="H48" s="43"/>
      <c r="I48" s="43"/>
    </row>
    <row r="49" spans="1:9" s="44" customFormat="1">
      <c r="A49" s="50"/>
      <c r="C49" s="170"/>
      <c r="D49" s="170"/>
      <c r="E49" s="170"/>
      <c r="H49" s="43"/>
      <c r="I49" s="43"/>
    </row>
    <row r="50" spans="1:9" s="44" customFormat="1">
      <c r="A50" s="50"/>
      <c r="C50" s="170"/>
      <c r="D50" s="170"/>
      <c r="E50" s="170"/>
      <c r="H50" s="43"/>
      <c r="I50" s="43"/>
    </row>
    <row r="51" spans="1:9" s="44" customFormat="1">
      <c r="A51" s="50"/>
      <c r="C51" s="170"/>
      <c r="D51" s="170"/>
      <c r="E51" s="170"/>
      <c r="H51" s="43"/>
      <c r="I51" s="43"/>
    </row>
    <row r="52" spans="1:9" s="44" customFormat="1">
      <c r="A52" s="50"/>
      <c r="C52" s="170"/>
      <c r="D52" s="170"/>
      <c r="E52" s="170"/>
      <c r="H52" s="43"/>
      <c r="I52" s="43"/>
    </row>
    <row r="53" spans="1:9" s="44" customFormat="1">
      <c r="A53" s="50"/>
      <c r="C53" s="170"/>
      <c r="D53" s="170"/>
      <c r="E53" s="170"/>
      <c r="H53" s="43"/>
      <c r="I53" s="43"/>
    </row>
    <row r="54" spans="1:9" s="44" customFormat="1">
      <c r="A54" s="50"/>
      <c r="C54" s="170"/>
      <c r="D54" s="170"/>
      <c r="E54" s="170"/>
      <c r="H54" s="43"/>
      <c r="I54" s="43"/>
    </row>
    <row r="55" spans="1:9" s="44" customFormat="1">
      <c r="A55" s="50"/>
      <c r="C55" s="170"/>
      <c r="D55" s="170"/>
      <c r="E55" s="170"/>
      <c r="H55" s="43"/>
      <c r="I55" s="43"/>
    </row>
    <row r="56" spans="1:9" s="44" customFormat="1">
      <c r="A56" s="50"/>
      <c r="C56" s="170"/>
      <c r="D56" s="170"/>
      <c r="E56" s="170"/>
      <c r="H56" s="43"/>
      <c r="I56" s="43"/>
    </row>
    <row r="57" spans="1:9" s="44" customFormat="1">
      <c r="A57" s="50"/>
      <c r="C57" s="170"/>
      <c r="D57" s="170"/>
      <c r="E57" s="170"/>
      <c r="H57" s="43"/>
      <c r="I57" s="43"/>
    </row>
    <row r="58" spans="1:9" s="44" customFormat="1">
      <c r="A58" s="50"/>
      <c r="C58" s="170"/>
      <c r="D58" s="170"/>
      <c r="E58" s="170"/>
      <c r="H58" s="43"/>
      <c r="I58" s="43"/>
    </row>
    <row r="59" spans="1:9" s="44" customFormat="1">
      <c r="A59" s="50"/>
      <c r="C59" s="170"/>
      <c r="D59" s="170"/>
      <c r="E59" s="170"/>
      <c r="H59" s="43"/>
      <c r="I59" s="43"/>
    </row>
    <row r="60" spans="1:9" s="44" customFormat="1">
      <c r="A60" s="50"/>
      <c r="C60" s="170"/>
      <c r="D60" s="170"/>
      <c r="E60" s="170"/>
      <c r="H60" s="43"/>
      <c r="I60" s="43"/>
    </row>
    <row r="61" spans="1:9" s="44" customFormat="1">
      <c r="A61" s="50"/>
      <c r="C61" s="170"/>
      <c r="D61" s="170"/>
      <c r="E61" s="170"/>
      <c r="H61" s="43"/>
      <c r="I61" s="43"/>
    </row>
    <row r="62" spans="1:9" s="44" customFormat="1">
      <c r="A62" s="50"/>
      <c r="C62" s="170"/>
      <c r="D62" s="170"/>
      <c r="E62" s="170"/>
      <c r="H62" s="43"/>
      <c r="I62" s="43"/>
    </row>
    <row r="63" spans="1:9" s="44" customFormat="1">
      <c r="A63" s="50"/>
      <c r="C63" s="170"/>
      <c r="D63" s="170"/>
      <c r="E63" s="170"/>
      <c r="H63" s="43"/>
      <c r="I63" s="43"/>
    </row>
    <row r="64" spans="1:9" s="44" customFormat="1">
      <c r="A64" s="50"/>
      <c r="C64" s="170"/>
      <c r="D64" s="170"/>
      <c r="E64" s="170"/>
      <c r="H64" s="43"/>
      <c r="I64" s="43"/>
    </row>
    <row r="65" spans="1:9" s="44" customFormat="1">
      <c r="A65" s="50"/>
      <c r="C65" s="170"/>
      <c r="D65" s="170"/>
      <c r="E65" s="170"/>
      <c r="H65" s="43"/>
      <c r="I65" s="43"/>
    </row>
    <row r="66" spans="1:9" s="44" customFormat="1">
      <c r="A66" s="50"/>
      <c r="C66" s="170"/>
      <c r="D66" s="170"/>
      <c r="E66" s="170"/>
      <c r="H66" s="43"/>
      <c r="I66" s="43"/>
    </row>
    <row r="67" spans="1:9" s="44" customFormat="1">
      <c r="A67" s="50"/>
      <c r="C67" s="170"/>
      <c r="D67" s="170"/>
      <c r="E67" s="170"/>
      <c r="H67" s="43"/>
      <c r="I67" s="43"/>
    </row>
    <row r="68" spans="1:9" s="44" customFormat="1">
      <c r="A68" s="50"/>
      <c r="C68" s="170"/>
      <c r="D68" s="170"/>
      <c r="E68" s="170"/>
      <c r="H68" s="43"/>
      <c r="I68" s="43"/>
    </row>
    <row r="69" spans="1:9" s="44" customFormat="1">
      <c r="A69" s="50"/>
      <c r="C69" s="170"/>
      <c r="D69" s="170"/>
      <c r="E69" s="170"/>
      <c r="H69" s="43"/>
      <c r="I69" s="43"/>
    </row>
    <row r="70" spans="1:9" s="44" customFormat="1">
      <c r="A70" s="50"/>
      <c r="C70" s="170"/>
      <c r="D70" s="170"/>
      <c r="E70" s="170"/>
      <c r="H70" s="43"/>
      <c r="I70" s="43"/>
    </row>
    <row r="71" spans="1:9" s="44" customFormat="1">
      <c r="A71" s="50"/>
      <c r="C71" s="170"/>
      <c r="D71" s="170"/>
      <c r="E71" s="170"/>
      <c r="H71" s="43"/>
      <c r="I71" s="43"/>
    </row>
    <row r="72" spans="1:9" s="44" customFormat="1">
      <c r="A72" s="50"/>
      <c r="C72" s="170"/>
      <c r="D72" s="170"/>
      <c r="E72" s="170"/>
      <c r="H72" s="43"/>
      <c r="I72" s="43"/>
    </row>
    <row r="73" spans="1:9" s="44" customFormat="1">
      <c r="A73" s="50"/>
      <c r="C73" s="170"/>
      <c r="D73" s="170"/>
      <c r="E73" s="170"/>
      <c r="H73" s="43"/>
      <c r="I73" s="43"/>
    </row>
    <row r="74" spans="1:9" s="44" customFormat="1">
      <c r="A74" s="50"/>
      <c r="C74" s="170"/>
      <c r="D74" s="170"/>
      <c r="E74" s="170"/>
      <c r="H74" s="43"/>
      <c r="I74" s="43"/>
    </row>
    <row r="75" spans="1:9" s="44" customFormat="1">
      <c r="A75" s="50"/>
      <c r="C75" s="170"/>
      <c r="D75" s="170"/>
      <c r="E75" s="170"/>
      <c r="H75" s="43"/>
      <c r="I75" s="43"/>
    </row>
    <row r="76" spans="1:9" s="44" customFormat="1">
      <c r="A76" s="50"/>
      <c r="C76" s="170"/>
      <c r="D76" s="170"/>
      <c r="E76" s="170"/>
      <c r="H76" s="43"/>
      <c r="I76" s="43"/>
    </row>
    <row r="77" spans="1:9" s="44" customFormat="1">
      <c r="A77" s="50"/>
      <c r="C77" s="170"/>
      <c r="D77" s="170"/>
      <c r="E77" s="170"/>
      <c r="H77" s="43"/>
      <c r="I77" s="43"/>
    </row>
    <row r="78" spans="1:9" s="44" customFormat="1">
      <c r="A78" s="50"/>
      <c r="C78" s="170"/>
      <c r="D78" s="170"/>
      <c r="E78" s="170"/>
      <c r="H78" s="43"/>
      <c r="I78" s="43"/>
    </row>
    <row r="79" spans="1:9" s="44" customFormat="1">
      <c r="A79" s="50"/>
      <c r="C79" s="170"/>
      <c r="D79" s="170"/>
      <c r="E79" s="170"/>
      <c r="H79" s="43"/>
      <c r="I79" s="43"/>
    </row>
    <row r="80" spans="1:9" s="44" customFormat="1">
      <c r="A80" s="50"/>
      <c r="C80" s="170"/>
      <c r="D80" s="170"/>
      <c r="E80" s="170"/>
      <c r="H80" s="43"/>
      <c r="I80" s="43"/>
    </row>
    <row r="81" spans="1:9" s="44" customFormat="1">
      <c r="A81" s="50"/>
      <c r="C81" s="170"/>
      <c r="D81" s="170"/>
      <c r="E81" s="170"/>
      <c r="H81" s="43"/>
      <c r="I81" s="43"/>
    </row>
    <row r="82" spans="1:9" s="44" customFormat="1">
      <c r="A82" s="50"/>
      <c r="C82" s="170"/>
      <c r="D82" s="170"/>
      <c r="E82" s="170"/>
      <c r="H82" s="43"/>
      <c r="I82" s="43"/>
    </row>
    <row r="83" spans="1:9" s="44" customFormat="1">
      <c r="A83" s="50"/>
      <c r="C83" s="170"/>
      <c r="D83" s="170"/>
      <c r="E83" s="170"/>
      <c r="H83" s="43"/>
      <c r="I83" s="43"/>
    </row>
    <row r="84" spans="1:9" s="44" customFormat="1">
      <c r="A84" s="50"/>
      <c r="C84" s="170"/>
      <c r="D84" s="170"/>
      <c r="E84" s="170"/>
      <c r="H84" s="43"/>
      <c r="I84" s="43"/>
    </row>
    <row r="85" spans="1:9" s="44" customFormat="1">
      <c r="A85" s="50"/>
      <c r="C85" s="170"/>
      <c r="D85" s="170"/>
      <c r="E85" s="170"/>
      <c r="H85" s="43"/>
      <c r="I85" s="43"/>
    </row>
    <row r="86" spans="1:9" s="44" customFormat="1">
      <c r="A86" s="50"/>
      <c r="C86" s="170"/>
      <c r="D86" s="170"/>
      <c r="E86" s="170"/>
      <c r="H86" s="43"/>
      <c r="I86" s="43"/>
    </row>
    <row r="87" spans="1:9" s="44" customFormat="1">
      <c r="A87" s="50"/>
      <c r="C87" s="170"/>
      <c r="D87" s="170"/>
      <c r="E87" s="170"/>
      <c r="H87" s="43"/>
      <c r="I87" s="43"/>
    </row>
    <row r="88" spans="1:9" s="44" customFormat="1">
      <c r="A88" s="50"/>
      <c r="C88" s="170"/>
      <c r="D88" s="170"/>
      <c r="E88" s="170"/>
      <c r="H88" s="43"/>
      <c r="I88" s="43"/>
    </row>
    <row r="89" spans="1:9" s="44" customFormat="1">
      <c r="A89" s="50"/>
      <c r="C89" s="170"/>
      <c r="D89" s="170"/>
      <c r="E89" s="170"/>
      <c r="H89" s="43"/>
      <c r="I89" s="43"/>
    </row>
    <row r="90" spans="1:9" s="44" customFormat="1">
      <c r="A90" s="50"/>
      <c r="C90" s="170"/>
      <c r="D90" s="170"/>
      <c r="E90" s="170"/>
      <c r="H90" s="43"/>
      <c r="I90" s="43"/>
    </row>
    <row r="91" spans="1:9" s="44" customFormat="1">
      <c r="A91" s="50"/>
      <c r="C91" s="170"/>
      <c r="D91" s="170"/>
      <c r="E91" s="170"/>
      <c r="H91" s="43"/>
      <c r="I91" s="43"/>
    </row>
    <row r="92" spans="1:9" s="44" customFormat="1">
      <c r="A92" s="50"/>
      <c r="C92" s="170"/>
      <c r="D92" s="170"/>
      <c r="E92" s="170"/>
      <c r="H92" s="43"/>
      <c r="I92" s="43"/>
    </row>
    <row r="93" spans="1:9" s="44" customFormat="1">
      <c r="A93" s="50"/>
      <c r="C93" s="170"/>
      <c r="D93" s="170"/>
      <c r="E93" s="170"/>
      <c r="H93" s="43"/>
      <c r="I93" s="43"/>
    </row>
    <row r="94" spans="1:9" s="44" customFormat="1">
      <c r="A94" s="50"/>
      <c r="C94" s="170"/>
      <c r="D94" s="170"/>
      <c r="E94" s="170"/>
      <c r="H94" s="43"/>
      <c r="I94" s="43"/>
    </row>
    <row r="95" spans="1:9" s="44" customFormat="1">
      <c r="A95" s="50"/>
      <c r="C95" s="170"/>
      <c r="D95" s="170"/>
      <c r="E95" s="170"/>
      <c r="H95" s="43"/>
      <c r="I95" s="43"/>
    </row>
    <row r="96" spans="1:9" s="44" customFormat="1">
      <c r="A96" s="50"/>
      <c r="C96" s="170"/>
      <c r="D96" s="170"/>
      <c r="E96" s="170"/>
      <c r="H96" s="43"/>
      <c r="I96" s="43"/>
    </row>
    <row r="97" spans="1:9" s="44" customFormat="1">
      <c r="A97" s="50"/>
      <c r="C97" s="170"/>
      <c r="D97" s="170"/>
      <c r="E97" s="170"/>
      <c r="H97" s="43"/>
      <c r="I97" s="43"/>
    </row>
    <row r="98" spans="1:9" s="44" customFormat="1">
      <c r="A98" s="50"/>
      <c r="C98" s="170"/>
      <c r="D98" s="170"/>
      <c r="E98" s="170"/>
      <c r="H98" s="43"/>
      <c r="I98" s="43"/>
    </row>
    <row r="99" spans="1:9" s="44" customFormat="1">
      <c r="A99" s="50"/>
      <c r="C99" s="170"/>
      <c r="D99" s="170"/>
      <c r="E99" s="170"/>
      <c r="H99" s="43"/>
      <c r="I99" s="43"/>
    </row>
    <row r="100" spans="1:9" s="44" customFormat="1">
      <c r="A100" s="50"/>
      <c r="C100" s="170"/>
      <c r="D100" s="170"/>
      <c r="E100" s="170"/>
      <c r="H100" s="43"/>
      <c r="I100" s="43"/>
    </row>
    <row r="101" spans="1:9" s="44" customFormat="1">
      <c r="A101" s="50"/>
      <c r="C101" s="170"/>
      <c r="D101" s="170"/>
      <c r="E101" s="170"/>
      <c r="H101" s="43"/>
      <c r="I101" s="43"/>
    </row>
    <row r="102" spans="1:9" s="44" customFormat="1">
      <c r="A102" s="50"/>
      <c r="C102" s="170"/>
      <c r="D102" s="170"/>
      <c r="E102" s="170"/>
      <c r="H102" s="43"/>
      <c r="I102" s="43"/>
    </row>
    <row r="103" spans="1:9" s="44" customFormat="1">
      <c r="A103" s="50"/>
      <c r="C103" s="170"/>
      <c r="D103" s="170"/>
      <c r="E103" s="170"/>
      <c r="H103" s="43"/>
      <c r="I103" s="43"/>
    </row>
    <row r="104" spans="1:9" s="44" customFormat="1">
      <c r="A104" s="50"/>
      <c r="C104" s="170"/>
      <c r="D104" s="170"/>
      <c r="E104" s="170"/>
      <c r="H104" s="43"/>
      <c r="I104" s="43"/>
    </row>
    <row r="105" spans="1:9" s="44" customFormat="1">
      <c r="A105" s="50"/>
      <c r="C105" s="170"/>
      <c r="D105" s="170"/>
      <c r="E105" s="170"/>
      <c r="H105" s="43"/>
      <c r="I105" s="43"/>
    </row>
    <row r="106" spans="1:9" s="44" customFormat="1">
      <c r="A106" s="50"/>
      <c r="C106" s="170"/>
      <c r="D106" s="170"/>
      <c r="E106" s="170"/>
      <c r="H106" s="43"/>
      <c r="I106" s="43"/>
    </row>
    <row r="107" spans="1:9" s="44" customFormat="1">
      <c r="A107" s="50"/>
      <c r="C107" s="170"/>
      <c r="D107" s="170"/>
      <c r="E107" s="170"/>
      <c r="H107" s="43"/>
      <c r="I107" s="43"/>
    </row>
    <row r="108" spans="1:9" s="44" customFormat="1">
      <c r="A108" s="50"/>
      <c r="C108" s="170"/>
      <c r="D108" s="170"/>
      <c r="E108" s="170"/>
      <c r="H108" s="43"/>
      <c r="I108" s="43"/>
    </row>
    <row r="109" spans="1:9" s="44" customFormat="1">
      <c r="A109" s="50"/>
      <c r="C109" s="170"/>
      <c r="D109" s="170"/>
      <c r="E109" s="170"/>
      <c r="H109" s="43"/>
      <c r="I109" s="43"/>
    </row>
    <row r="110" spans="1:9" s="44" customFormat="1">
      <c r="A110" s="50"/>
      <c r="C110" s="170"/>
      <c r="D110" s="170"/>
      <c r="E110" s="170"/>
      <c r="H110" s="43"/>
      <c r="I110" s="43"/>
    </row>
    <row r="111" spans="1:9" s="44" customFormat="1">
      <c r="A111" s="50"/>
      <c r="C111" s="170"/>
      <c r="D111" s="170"/>
      <c r="E111" s="170"/>
      <c r="H111" s="43"/>
      <c r="I111" s="43"/>
    </row>
    <row r="112" spans="1:9" s="44" customFormat="1">
      <c r="A112" s="50"/>
      <c r="C112" s="170"/>
      <c r="D112" s="170"/>
      <c r="E112" s="170"/>
      <c r="H112" s="43"/>
      <c r="I112" s="43"/>
    </row>
    <row r="113" spans="1:9" s="44" customFormat="1">
      <c r="A113" s="50"/>
      <c r="C113" s="170"/>
      <c r="D113" s="170"/>
      <c r="E113" s="170"/>
      <c r="H113" s="43"/>
      <c r="I113" s="43"/>
    </row>
    <row r="114" spans="1:9" s="44" customFormat="1">
      <c r="A114" s="50"/>
      <c r="C114" s="170"/>
      <c r="D114" s="170"/>
      <c r="E114" s="170"/>
      <c r="H114" s="43"/>
      <c r="I114" s="43"/>
    </row>
    <row r="115" spans="1:9" s="44" customFormat="1">
      <c r="A115" s="50"/>
      <c r="C115" s="170"/>
      <c r="D115" s="170"/>
      <c r="E115" s="170"/>
      <c r="H115" s="43"/>
      <c r="I115" s="43"/>
    </row>
    <row r="116" spans="1:9" s="44" customFormat="1">
      <c r="A116" s="50"/>
      <c r="C116" s="170"/>
      <c r="D116" s="170"/>
      <c r="E116" s="170"/>
      <c r="H116" s="43"/>
      <c r="I116" s="43"/>
    </row>
    <row r="117" spans="1:9" s="44" customFormat="1">
      <c r="A117" s="50"/>
      <c r="C117" s="170"/>
      <c r="D117" s="170"/>
      <c r="E117" s="170"/>
      <c r="H117" s="43"/>
      <c r="I117" s="43"/>
    </row>
    <row r="118" spans="1:9" s="44" customFormat="1">
      <c r="A118" s="50"/>
      <c r="C118" s="170"/>
      <c r="D118" s="170"/>
      <c r="E118" s="170"/>
      <c r="H118" s="43"/>
      <c r="I118" s="43"/>
    </row>
    <row r="119" spans="1:9" s="44" customFormat="1">
      <c r="A119" s="50"/>
      <c r="C119" s="170"/>
      <c r="D119" s="170"/>
      <c r="E119" s="170"/>
      <c r="H119" s="43"/>
      <c r="I119" s="43"/>
    </row>
    <row r="120" spans="1:9" s="44" customFormat="1">
      <c r="A120" s="50"/>
      <c r="C120" s="170"/>
      <c r="D120" s="170"/>
      <c r="E120" s="170"/>
      <c r="H120" s="43"/>
      <c r="I120" s="43"/>
    </row>
    <row r="121" spans="1:9" s="44" customFormat="1">
      <c r="A121" s="50"/>
      <c r="C121" s="170"/>
      <c r="D121" s="170"/>
      <c r="E121" s="170"/>
      <c r="H121" s="43"/>
      <c r="I121" s="43"/>
    </row>
    <row r="122" spans="1:9" s="44" customFormat="1">
      <c r="A122" s="50"/>
      <c r="C122" s="170"/>
      <c r="D122" s="170"/>
      <c r="E122" s="170"/>
      <c r="H122" s="43"/>
      <c r="I122" s="43"/>
    </row>
    <row r="123" spans="1:9" s="44" customFormat="1">
      <c r="A123" s="50"/>
      <c r="C123" s="170"/>
      <c r="D123" s="170"/>
      <c r="E123" s="170"/>
      <c r="H123" s="43"/>
      <c r="I123" s="43"/>
    </row>
    <row r="124" spans="1:9" s="44" customFormat="1">
      <c r="A124" s="50"/>
      <c r="C124" s="170"/>
      <c r="D124" s="170"/>
      <c r="E124" s="170"/>
      <c r="H124" s="43"/>
      <c r="I124" s="43"/>
    </row>
    <row r="125" spans="1:9" s="44" customFormat="1">
      <c r="A125" s="50"/>
      <c r="C125" s="170"/>
      <c r="D125" s="170"/>
      <c r="E125" s="170"/>
      <c r="H125" s="43"/>
      <c r="I125" s="43"/>
    </row>
    <row r="126" spans="1:9" s="44" customFormat="1">
      <c r="A126" s="50"/>
      <c r="C126" s="170"/>
      <c r="D126" s="170"/>
      <c r="E126" s="170"/>
      <c r="H126" s="43"/>
      <c r="I126" s="43"/>
    </row>
    <row r="127" spans="1:9" s="44" customFormat="1">
      <c r="A127" s="50"/>
      <c r="C127" s="170"/>
      <c r="D127" s="170"/>
      <c r="E127" s="170"/>
      <c r="H127" s="43"/>
      <c r="I127" s="43"/>
    </row>
    <row r="128" spans="1:9" s="44" customFormat="1">
      <c r="A128" s="50"/>
      <c r="C128" s="170"/>
      <c r="D128" s="170"/>
      <c r="E128" s="170"/>
      <c r="H128" s="43"/>
      <c r="I128" s="43"/>
    </row>
    <row r="129" spans="1:9" s="44" customFormat="1">
      <c r="A129" s="50"/>
      <c r="C129" s="170"/>
      <c r="D129" s="170"/>
      <c r="E129" s="170"/>
      <c r="H129" s="43"/>
      <c r="I129" s="43"/>
    </row>
    <row r="130" spans="1:9" s="44" customFormat="1">
      <c r="A130" s="50"/>
      <c r="C130" s="170"/>
      <c r="D130" s="170"/>
      <c r="E130" s="170"/>
      <c r="H130" s="43"/>
      <c r="I130" s="43"/>
    </row>
    <row r="131" spans="1:9" s="44" customFormat="1">
      <c r="A131" s="50"/>
      <c r="C131" s="170"/>
      <c r="D131" s="170"/>
      <c r="E131" s="170"/>
      <c r="H131" s="43"/>
      <c r="I131" s="43"/>
    </row>
    <row r="132" spans="1:9" s="44" customFormat="1">
      <c r="A132" s="50"/>
      <c r="C132" s="170"/>
      <c r="D132" s="170"/>
      <c r="E132" s="170"/>
      <c r="H132" s="43"/>
      <c r="I132" s="43"/>
    </row>
    <row r="133" spans="1:9" s="44" customFormat="1">
      <c r="A133" s="50"/>
      <c r="C133" s="170"/>
      <c r="D133" s="170"/>
      <c r="E133" s="170"/>
      <c r="H133" s="43"/>
      <c r="I133" s="43"/>
    </row>
    <row r="134" spans="1:9" s="44" customFormat="1">
      <c r="A134" s="50"/>
      <c r="C134" s="170"/>
      <c r="D134" s="170"/>
      <c r="E134" s="170"/>
      <c r="H134" s="43"/>
      <c r="I134" s="43"/>
    </row>
    <row r="135" spans="1:9" s="44" customFormat="1">
      <c r="A135" s="50"/>
      <c r="C135" s="170"/>
      <c r="D135" s="170"/>
      <c r="E135" s="170"/>
      <c r="H135" s="43"/>
      <c r="I135" s="43"/>
    </row>
    <row r="136" spans="1:9" s="44" customFormat="1">
      <c r="A136" s="50"/>
      <c r="C136" s="170"/>
      <c r="D136" s="170"/>
      <c r="E136" s="170"/>
      <c r="H136" s="43"/>
      <c r="I136" s="43"/>
    </row>
    <row r="137" spans="1:9" s="44" customFormat="1">
      <c r="A137" s="50"/>
      <c r="C137" s="170"/>
      <c r="D137" s="170"/>
      <c r="E137" s="170"/>
      <c r="H137" s="43"/>
      <c r="I137" s="43"/>
    </row>
    <row r="138" spans="1:9" s="44" customFormat="1">
      <c r="A138" s="50"/>
      <c r="C138" s="170"/>
      <c r="D138" s="170"/>
      <c r="E138" s="170"/>
      <c r="H138" s="43"/>
      <c r="I138" s="43"/>
    </row>
    <row r="139" spans="1:9" s="44" customFormat="1">
      <c r="A139" s="50"/>
      <c r="C139" s="170"/>
      <c r="D139" s="170"/>
      <c r="E139" s="170"/>
      <c r="H139" s="43"/>
      <c r="I139" s="43"/>
    </row>
    <row r="140" spans="1:9" s="44" customFormat="1">
      <c r="A140" s="50"/>
      <c r="C140" s="170"/>
      <c r="D140" s="170"/>
      <c r="E140" s="170"/>
      <c r="H140" s="43"/>
      <c r="I140" s="43"/>
    </row>
    <row r="141" spans="1:9" s="44" customFormat="1">
      <c r="A141" s="50"/>
      <c r="C141" s="170"/>
      <c r="D141" s="170"/>
      <c r="E141" s="170"/>
      <c r="H141" s="43"/>
      <c r="I141" s="43"/>
    </row>
    <row r="142" spans="1:9" s="44" customFormat="1">
      <c r="A142" s="50"/>
      <c r="C142" s="170"/>
      <c r="D142" s="170"/>
      <c r="E142" s="170"/>
      <c r="H142" s="43"/>
      <c r="I142" s="43"/>
    </row>
    <row r="143" spans="1:9" s="44" customFormat="1">
      <c r="A143" s="50"/>
      <c r="C143" s="170"/>
      <c r="D143" s="170"/>
      <c r="E143" s="170"/>
      <c r="H143" s="43"/>
      <c r="I143" s="43"/>
    </row>
    <row r="144" spans="1:9" s="44" customFormat="1">
      <c r="A144" s="50"/>
      <c r="C144" s="170"/>
      <c r="D144" s="170"/>
      <c r="E144" s="170"/>
      <c r="H144" s="43"/>
      <c r="I144" s="43"/>
    </row>
    <row r="145" spans="1:9" s="44" customFormat="1">
      <c r="A145" s="50"/>
      <c r="C145" s="170"/>
      <c r="D145" s="170"/>
      <c r="E145" s="170"/>
      <c r="H145" s="43"/>
      <c r="I145" s="43"/>
    </row>
    <row r="146" spans="1:9" s="44" customFormat="1">
      <c r="A146" s="50"/>
      <c r="C146" s="170"/>
      <c r="D146" s="170"/>
      <c r="E146" s="170"/>
      <c r="H146" s="43"/>
      <c r="I146" s="43"/>
    </row>
    <row r="147" spans="1:9" s="44" customFormat="1">
      <c r="A147" s="50"/>
      <c r="C147" s="170"/>
      <c r="D147" s="170"/>
      <c r="E147" s="170"/>
      <c r="H147" s="43"/>
      <c r="I147" s="43"/>
    </row>
    <row r="148" spans="1:9" s="44" customFormat="1">
      <c r="A148" s="50"/>
      <c r="C148" s="170"/>
      <c r="D148" s="170"/>
      <c r="E148" s="170"/>
      <c r="H148" s="43"/>
      <c r="I148" s="43"/>
    </row>
    <row r="149" spans="1:9" s="44" customFormat="1">
      <c r="A149" s="50"/>
      <c r="C149" s="170"/>
      <c r="D149" s="170"/>
      <c r="E149" s="170"/>
      <c r="H149" s="43"/>
      <c r="I149" s="43"/>
    </row>
    <row r="150" spans="1:9" s="44" customFormat="1">
      <c r="A150" s="50"/>
      <c r="C150" s="170"/>
      <c r="D150" s="170"/>
      <c r="E150" s="170"/>
      <c r="H150" s="43"/>
      <c r="I150" s="43"/>
    </row>
    <row r="151" spans="1:9" s="44" customFormat="1">
      <c r="A151" s="50"/>
      <c r="C151" s="170"/>
      <c r="D151" s="170"/>
      <c r="E151" s="170"/>
      <c r="H151" s="43"/>
      <c r="I151" s="43"/>
    </row>
    <row r="152" spans="1:9" s="44" customFormat="1">
      <c r="A152" s="50"/>
      <c r="C152" s="170"/>
      <c r="D152" s="170"/>
      <c r="E152" s="170"/>
      <c r="H152" s="43"/>
      <c r="I152" s="43"/>
    </row>
    <row r="153" spans="1:9" s="44" customFormat="1">
      <c r="A153" s="50"/>
      <c r="C153" s="170"/>
      <c r="D153" s="170"/>
      <c r="E153" s="170"/>
      <c r="H153" s="43"/>
      <c r="I153" s="43"/>
    </row>
    <row r="154" spans="1:9" s="44" customFormat="1">
      <c r="A154" s="50"/>
      <c r="C154" s="170"/>
      <c r="D154" s="170"/>
      <c r="E154" s="170"/>
      <c r="H154" s="43"/>
      <c r="I154" s="43"/>
    </row>
    <row r="155" spans="1:9" s="44" customFormat="1">
      <c r="A155" s="50"/>
      <c r="C155" s="170"/>
      <c r="D155" s="170"/>
      <c r="E155" s="170"/>
      <c r="H155" s="43"/>
      <c r="I155" s="43"/>
    </row>
    <row r="156" spans="1:9" s="44" customFormat="1">
      <c r="A156" s="50"/>
      <c r="C156" s="170"/>
      <c r="D156" s="170"/>
      <c r="E156" s="170"/>
      <c r="H156" s="43"/>
      <c r="I156" s="43"/>
    </row>
    <row r="157" spans="1:9" s="44" customFormat="1">
      <c r="A157" s="50"/>
      <c r="C157" s="170"/>
      <c r="D157" s="170"/>
      <c r="E157" s="170"/>
      <c r="H157" s="43"/>
      <c r="I157" s="43"/>
    </row>
    <row r="158" spans="1:9" s="44" customFormat="1">
      <c r="A158" s="50"/>
      <c r="C158" s="170"/>
      <c r="D158" s="170"/>
      <c r="E158" s="170"/>
      <c r="H158" s="43"/>
      <c r="I158" s="43"/>
    </row>
    <row r="159" spans="1:9" s="44" customFormat="1">
      <c r="A159" s="50"/>
      <c r="C159" s="170"/>
      <c r="D159" s="170"/>
      <c r="E159" s="170"/>
      <c r="H159" s="43"/>
      <c r="I159" s="43"/>
    </row>
    <row r="160" spans="1:9" s="44" customFormat="1">
      <c r="A160" s="50"/>
      <c r="C160" s="170"/>
      <c r="D160" s="170"/>
      <c r="E160" s="170"/>
      <c r="H160" s="43"/>
      <c r="I160" s="43"/>
    </row>
    <row r="161" spans="1:9" s="44" customFormat="1">
      <c r="A161" s="50"/>
      <c r="C161" s="170"/>
      <c r="D161" s="170"/>
      <c r="E161" s="170"/>
      <c r="H161" s="43"/>
      <c r="I161" s="43"/>
    </row>
    <row r="162" spans="1:9" s="44" customFormat="1">
      <c r="A162" s="50"/>
      <c r="C162" s="170"/>
      <c r="D162" s="170"/>
      <c r="E162" s="170"/>
      <c r="H162" s="43"/>
      <c r="I162" s="43"/>
    </row>
    <row r="163" spans="1:9" s="44" customFormat="1">
      <c r="A163" s="50"/>
      <c r="C163" s="170"/>
      <c r="D163" s="170"/>
      <c r="E163" s="170"/>
      <c r="H163" s="43"/>
      <c r="I163" s="43"/>
    </row>
    <row r="164" spans="1:9" s="44" customFormat="1">
      <c r="A164" s="50"/>
      <c r="C164" s="170"/>
      <c r="D164" s="170"/>
      <c r="E164" s="170"/>
      <c r="H164" s="43"/>
      <c r="I164" s="43"/>
    </row>
    <row r="165" spans="1:9" s="44" customFormat="1">
      <c r="A165" s="50"/>
      <c r="C165" s="170"/>
      <c r="D165" s="170"/>
      <c r="E165" s="170"/>
      <c r="H165" s="43"/>
      <c r="I165" s="43"/>
    </row>
    <row r="166" spans="1:9" s="44" customFormat="1">
      <c r="A166" s="50"/>
      <c r="C166" s="170"/>
      <c r="D166" s="170"/>
      <c r="E166" s="170"/>
      <c r="H166" s="43"/>
      <c r="I166" s="43"/>
    </row>
    <row r="167" spans="1:9" s="44" customFormat="1">
      <c r="A167" s="50"/>
      <c r="C167" s="170"/>
      <c r="D167" s="170"/>
      <c r="E167" s="170"/>
      <c r="H167" s="43"/>
      <c r="I167" s="43"/>
    </row>
    <row r="168" spans="1:9" s="44" customFormat="1">
      <c r="A168" s="50"/>
      <c r="C168" s="170"/>
      <c r="D168" s="170"/>
      <c r="E168" s="170"/>
      <c r="H168" s="43"/>
      <c r="I168" s="43"/>
    </row>
    <row r="169" spans="1:9" s="44" customFormat="1">
      <c r="A169" s="50"/>
      <c r="C169" s="170"/>
      <c r="D169" s="170"/>
      <c r="E169" s="170"/>
      <c r="H169" s="43"/>
      <c r="I169" s="43"/>
    </row>
    <row r="170" spans="1:9" s="44" customFormat="1">
      <c r="A170" s="50"/>
      <c r="C170" s="170"/>
      <c r="D170" s="170"/>
      <c r="E170" s="170"/>
      <c r="H170" s="43"/>
      <c r="I170" s="43"/>
    </row>
    <row r="171" spans="1:9" s="44" customFormat="1">
      <c r="A171" s="50"/>
      <c r="C171" s="170"/>
      <c r="D171" s="170"/>
      <c r="E171" s="170"/>
      <c r="H171" s="43"/>
      <c r="I171" s="43"/>
    </row>
    <row r="172" spans="1:9" s="44" customFormat="1">
      <c r="A172" s="50"/>
      <c r="C172" s="170"/>
      <c r="D172" s="170"/>
      <c r="E172" s="170"/>
      <c r="H172" s="43"/>
      <c r="I172" s="43"/>
    </row>
    <row r="173" spans="1:9" s="44" customFormat="1">
      <c r="A173" s="50"/>
      <c r="C173" s="170"/>
      <c r="D173" s="170"/>
      <c r="E173" s="170"/>
      <c r="H173" s="43"/>
      <c r="I173" s="43"/>
    </row>
    <row r="174" spans="1:9" s="44" customFormat="1">
      <c r="A174" s="50"/>
      <c r="C174" s="170"/>
      <c r="D174" s="170"/>
      <c r="E174" s="170"/>
      <c r="H174" s="43"/>
      <c r="I174" s="43"/>
    </row>
    <row r="175" spans="1:9" s="44" customFormat="1">
      <c r="A175" s="50"/>
      <c r="C175" s="170"/>
      <c r="D175" s="170"/>
      <c r="E175" s="170"/>
      <c r="H175" s="43"/>
      <c r="I175" s="43"/>
    </row>
    <row r="176" spans="1:9" s="44" customFormat="1">
      <c r="A176" s="50"/>
      <c r="C176" s="170"/>
      <c r="D176" s="170"/>
      <c r="E176" s="170"/>
      <c r="H176" s="43"/>
      <c r="I176" s="43"/>
    </row>
    <row r="177" spans="1:9" s="44" customFormat="1">
      <c r="A177" s="50"/>
      <c r="C177" s="170"/>
      <c r="D177" s="170"/>
      <c r="E177" s="170"/>
      <c r="H177" s="43"/>
      <c r="I177" s="43"/>
    </row>
    <row r="178" spans="1:9" s="44" customFormat="1">
      <c r="A178" s="50"/>
      <c r="C178" s="170"/>
      <c r="D178" s="170"/>
      <c r="E178" s="170"/>
      <c r="H178" s="43"/>
      <c r="I178" s="43"/>
    </row>
    <row r="179" spans="1:9" s="44" customFormat="1">
      <c r="A179" s="50"/>
      <c r="C179" s="170"/>
      <c r="D179" s="170"/>
      <c r="E179" s="170"/>
      <c r="H179" s="43"/>
      <c r="I179" s="43"/>
    </row>
    <row r="180" spans="1:9" s="44" customFormat="1">
      <c r="A180" s="50"/>
      <c r="C180" s="170"/>
      <c r="D180" s="170"/>
      <c r="E180" s="170"/>
      <c r="H180" s="43"/>
      <c r="I180" s="43"/>
    </row>
    <row r="181" spans="1:9" s="44" customFormat="1">
      <c r="A181" s="50"/>
      <c r="C181" s="170"/>
      <c r="D181" s="170"/>
      <c r="E181" s="170"/>
      <c r="H181" s="43"/>
      <c r="I181" s="43"/>
    </row>
    <row r="182" spans="1:9" s="44" customFormat="1">
      <c r="A182" s="50"/>
      <c r="C182" s="170"/>
      <c r="D182" s="170"/>
      <c r="E182" s="170"/>
      <c r="H182" s="43"/>
      <c r="I182" s="43"/>
    </row>
    <row r="183" spans="1:9" s="44" customFormat="1">
      <c r="A183" s="50"/>
      <c r="C183" s="170"/>
      <c r="D183" s="170"/>
      <c r="E183" s="170"/>
      <c r="H183" s="43"/>
      <c r="I183" s="43"/>
    </row>
    <row r="184" spans="1:9" s="44" customFormat="1">
      <c r="A184" s="50"/>
      <c r="C184" s="170"/>
      <c r="D184" s="170"/>
      <c r="E184" s="170"/>
      <c r="H184" s="43"/>
      <c r="I184" s="43"/>
    </row>
    <row r="185" spans="1:9" s="44" customFormat="1">
      <c r="A185" s="50"/>
      <c r="C185" s="170"/>
      <c r="D185" s="170"/>
      <c r="E185" s="170"/>
      <c r="H185" s="43"/>
      <c r="I185" s="43"/>
    </row>
    <row r="186" spans="1:9" s="44" customFormat="1">
      <c r="A186" s="50"/>
      <c r="C186" s="170"/>
      <c r="D186" s="170"/>
      <c r="E186" s="170"/>
      <c r="H186" s="43"/>
      <c r="I186" s="43"/>
    </row>
    <row r="187" spans="1:9" s="44" customFormat="1">
      <c r="A187" s="50"/>
      <c r="C187" s="170"/>
      <c r="D187" s="170"/>
      <c r="E187" s="170"/>
      <c r="H187" s="43"/>
      <c r="I187" s="43"/>
    </row>
    <row r="188" spans="1:9" s="44" customFormat="1">
      <c r="A188" s="50"/>
      <c r="C188" s="170"/>
      <c r="D188" s="170"/>
      <c r="E188" s="170"/>
      <c r="H188" s="43"/>
      <c r="I188" s="43"/>
    </row>
  </sheetData>
  <mergeCells count="11">
    <mergeCell ref="A43:H43"/>
    <mergeCell ref="A7:G7"/>
    <mergeCell ref="A19:G19"/>
    <mergeCell ref="C41:D41"/>
    <mergeCell ref="A3:G3"/>
    <mergeCell ref="A4:A5"/>
    <mergeCell ref="B4:B5"/>
    <mergeCell ref="D4:G4"/>
    <mergeCell ref="C4:C5"/>
    <mergeCell ref="F41:G41"/>
    <mergeCell ref="F40:G40"/>
  </mergeCells>
  <phoneticPr fontId="3" type="noConversion"/>
  <pageMargins left="0.59055118110236227" right="0.39370078740157483" top="0.39370078740157483" bottom="0.31496062992125984" header="0" footer="0"/>
  <pageSetup paperSize="9" scale="5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3"/>
  </sheetPr>
  <dimension ref="A1:O96"/>
  <sheetViews>
    <sheetView view="pageBreakPreview" topLeftCell="A69" zoomScale="75" zoomScaleNormal="75" zoomScaleSheetLayoutView="75" workbookViewId="0">
      <selection activeCell="F93" sqref="F93:G93"/>
    </sheetView>
  </sheetViews>
  <sheetFormatPr defaultColWidth="9.1796875" defaultRowHeight="18" outlineLevelRow="1"/>
  <cols>
    <col min="1" max="1" width="60.1796875" style="2" customWidth="1"/>
    <col min="2" max="2" width="12" style="2" customWidth="1"/>
    <col min="3" max="3" width="18.81640625" style="174" customWidth="1"/>
    <col min="4" max="4" width="11" style="174" customWidth="1"/>
    <col min="5" max="5" width="10.7265625" style="174" customWidth="1"/>
    <col min="6" max="6" width="16" style="2" customWidth="1"/>
    <col min="7" max="7" width="14.81640625" style="2" customWidth="1"/>
    <col min="8" max="8" width="8.453125" style="2" customWidth="1"/>
    <col min="9" max="15" width="9.1796875" style="2" hidden="1" customWidth="1"/>
    <col min="16" max="16384" width="9.1796875" style="2"/>
  </cols>
  <sheetData>
    <row r="1" spans="1:7" hidden="1" outlineLevel="1">
      <c r="G1" s="11" t="s">
        <v>241</v>
      </c>
    </row>
    <row r="2" spans="1:7" hidden="1" outlineLevel="1">
      <c r="G2" s="11" t="s">
        <v>227</v>
      </c>
    </row>
    <row r="3" spans="1:7" collapsed="1">
      <c r="A3" s="325" t="s">
        <v>375</v>
      </c>
      <c r="B3" s="325"/>
      <c r="C3" s="325"/>
      <c r="D3" s="325"/>
      <c r="E3" s="325"/>
      <c r="F3" s="325"/>
      <c r="G3" s="325"/>
    </row>
    <row r="4" spans="1:7">
      <c r="A4" s="10"/>
      <c r="B4" s="10"/>
      <c r="C4" s="10"/>
      <c r="D4" s="10"/>
      <c r="E4" s="10"/>
      <c r="F4" s="10"/>
      <c r="G4" s="10"/>
    </row>
    <row r="5" spans="1:7" ht="39" customHeight="1">
      <c r="A5" s="326" t="s">
        <v>287</v>
      </c>
      <c r="B5" s="327" t="s">
        <v>0</v>
      </c>
      <c r="C5" s="322" t="s">
        <v>355</v>
      </c>
      <c r="D5" s="328" t="s">
        <v>353</v>
      </c>
      <c r="E5" s="328"/>
      <c r="F5" s="328"/>
      <c r="G5" s="328"/>
    </row>
    <row r="6" spans="1:7" ht="38.25" customHeight="1">
      <c r="A6" s="326"/>
      <c r="B6" s="327"/>
      <c r="C6" s="323"/>
      <c r="D6" s="246" t="s">
        <v>265</v>
      </c>
      <c r="E6" s="246" t="s">
        <v>248</v>
      </c>
      <c r="F6" s="15" t="s">
        <v>275</v>
      </c>
      <c r="G6" s="15" t="s">
        <v>276</v>
      </c>
    </row>
    <row r="7" spans="1:7">
      <c r="A7" s="246">
        <v>1</v>
      </c>
      <c r="B7" s="247">
        <v>2</v>
      </c>
      <c r="C7" s="246">
        <v>3</v>
      </c>
      <c r="D7" s="246">
        <v>4</v>
      </c>
      <c r="E7" s="247">
        <v>5</v>
      </c>
      <c r="F7" s="246">
        <v>6</v>
      </c>
      <c r="G7" s="247">
        <v>7</v>
      </c>
    </row>
    <row r="8" spans="1:7" s="14" customFormat="1" ht="17.5">
      <c r="A8" s="329" t="s">
        <v>159</v>
      </c>
      <c r="B8" s="330"/>
      <c r="C8" s="330"/>
      <c r="D8" s="330"/>
      <c r="E8" s="330"/>
      <c r="F8" s="330"/>
      <c r="G8" s="331"/>
    </row>
    <row r="9" spans="1:7" ht="36">
      <c r="A9" s="12" t="s">
        <v>178</v>
      </c>
      <c r="B9" s="6">
        <v>1170</v>
      </c>
      <c r="C9" s="20">
        <f>'1. Фін результат'!C154</f>
        <v>40</v>
      </c>
      <c r="D9" s="20">
        <f>'1. Фін результат'!D154</f>
        <v>759</v>
      </c>
      <c r="E9" s="20">
        <f>'1. Фін результат'!E154</f>
        <v>-9828</v>
      </c>
      <c r="F9" s="20">
        <f>E9-D9</f>
        <v>-10587</v>
      </c>
      <c r="G9" s="21">
        <f>E9/D9*100</f>
        <v>-1294.8616600790513</v>
      </c>
    </row>
    <row r="10" spans="1:7">
      <c r="A10" s="12" t="s">
        <v>179</v>
      </c>
      <c r="B10" s="8"/>
      <c r="C10" s="19"/>
      <c r="D10" s="19"/>
      <c r="E10" s="19"/>
      <c r="F10" s="20"/>
      <c r="G10" s="21"/>
    </row>
    <row r="11" spans="1:7">
      <c r="A11" s="12" t="s">
        <v>182</v>
      </c>
      <c r="B11" s="4">
        <v>3000</v>
      </c>
      <c r="C11" s="19">
        <f>'1. Фін результат'!C180</f>
        <v>1652</v>
      </c>
      <c r="D11" s="19">
        <f>'1. Фін результат'!D180</f>
        <v>4317</v>
      </c>
      <c r="E11" s="19">
        <f>'1. Фін результат'!E180</f>
        <v>1630</v>
      </c>
      <c r="F11" s="20">
        <f>E11-D11</f>
        <v>-2687</v>
      </c>
      <c r="G11" s="21">
        <f>E11/D11*100</f>
        <v>37.757702107945335</v>
      </c>
    </row>
    <row r="12" spans="1:7">
      <c r="A12" s="12" t="s">
        <v>183</v>
      </c>
      <c r="B12" s="4">
        <v>3010</v>
      </c>
      <c r="C12" s="19">
        <v>829</v>
      </c>
      <c r="D12" s="19"/>
      <c r="E12" s="19">
        <v>1219</v>
      </c>
      <c r="F12" s="20"/>
      <c r="G12" s="21"/>
    </row>
    <row r="13" spans="1:7" ht="36">
      <c r="A13" s="12" t="s">
        <v>184</v>
      </c>
      <c r="B13" s="4">
        <v>3020</v>
      </c>
      <c r="C13" s="19"/>
      <c r="D13" s="19"/>
      <c r="E13" s="19"/>
      <c r="F13" s="20"/>
      <c r="G13" s="21"/>
    </row>
    <row r="14" spans="1:7" ht="36">
      <c r="A14" s="12" t="s">
        <v>185</v>
      </c>
      <c r="B14" s="4">
        <v>3030</v>
      </c>
      <c r="C14" s="19">
        <f>C15+C17+C18</f>
        <v>-40370</v>
      </c>
      <c r="D14" s="19">
        <f>D15</f>
        <v>-2000</v>
      </c>
      <c r="E14" s="19">
        <f>E15+E17+E18</f>
        <v>2356</v>
      </c>
      <c r="F14" s="20">
        <f>E14-D14</f>
        <v>4356</v>
      </c>
      <c r="G14" s="21">
        <f>E14/D14*100</f>
        <v>-117.8</v>
      </c>
    </row>
    <row r="15" spans="1:7">
      <c r="A15" s="12" t="s">
        <v>528</v>
      </c>
      <c r="B15" s="4" t="s">
        <v>525</v>
      </c>
      <c r="C15" s="19">
        <f>17578-C11</f>
        <v>15926</v>
      </c>
      <c r="D15" s="19">
        <v>-2000</v>
      </c>
      <c r="E15" s="19">
        <f>25690-E11</f>
        <v>24060</v>
      </c>
      <c r="F15" s="20">
        <f>E15-D15</f>
        <v>26060</v>
      </c>
      <c r="G15" s="21">
        <f>E15/D15*100</f>
        <v>-1203</v>
      </c>
    </row>
    <row r="16" spans="1:7">
      <c r="A16" s="12" t="s">
        <v>529</v>
      </c>
      <c r="B16" s="4" t="s">
        <v>526</v>
      </c>
      <c r="C16" s="19"/>
      <c r="D16" s="19"/>
      <c r="E16" s="19"/>
      <c r="F16" s="20"/>
      <c r="G16" s="21"/>
    </row>
    <row r="17" spans="1:9">
      <c r="A17" s="12" t="s">
        <v>530</v>
      </c>
      <c r="B17" s="4" t="s">
        <v>527</v>
      </c>
      <c r="C17" s="19">
        <f>-'2. Розрахунки з бюджетом'!C17</f>
        <v>66</v>
      </c>
      <c r="D17" s="19">
        <f>-'2. Розрахунки з бюджетом'!D17</f>
        <v>0</v>
      </c>
      <c r="E17" s="19">
        <f>-'2. Розрахунки з бюджетом'!E17</f>
        <v>-52</v>
      </c>
      <c r="F17" s="20"/>
      <c r="G17" s="21"/>
    </row>
    <row r="18" spans="1:9">
      <c r="A18" s="12" t="s">
        <v>594</v>
      </c>
      <c r="B18" s="4" t="s">
        <v>593</v>
      </c>
      <c r="C18" s="19">
        <f>-57797-C55</f>
        <v>-56362</v>
      </c>
      <c r="D18" s="19"/>
      <c r="E18" s="19">
        <f>-34952-E55</f>
        <v>-21652</v>
      </c>
      <c r="F18" s="20"/>
      <c r="G18" s="21"/>
      <c r="H18" s="222"/>
      <c r="I18" s="222"/>
    </row>
    <row r="19" spans="1:9" ht="35">
      <c r="A19" s="16" t="s">
        <v>256</v>
      </c>
      <c r="B19" s="4">
        <v>3040</v>
      </c>
      <c r="C19" s="237">
        <f>C9+C11+C12+C14</f>
        <v>-37849</v>
      </c>
      <c r="D19" s="237">
        <f>SUM(D9:D14)</f>
        <v>3076</v>
      </c>
      <c r="E19" s="237">
        <f>SUM(E9:E14)</f>
        <v>-4623</v>
      </c>
      <c r="F19" s="20">
        <f>E19-D19</f>
        <v>-7699</v>
      </c>
      <c r="G19" s="21">
        <f>E19/D19*100</f>
        <v>-150.29258777633291</v>
      </c>
    </row>
    <row r="20" spans="1:9" ht="36">
      <c r="A20" s="12" t="s">
        <v>186</v>
      </c>
      <c r="B20" s="4">
        <v>3050</v>
      </c>
      <c r="C20" s="19">
        <f>C21+C22+C23+C24</f>
        <v>-2959</v>
      </c>
      <c r="D20" s="19"/>
      <c r="E20" s="19">
        <f>E21+E22+E23+E24</f>
        <v>-10945</v>
      </c>
      <c r="F20" s="19"/>
      <c r="G20" s="18"/>
    </row>
    <row r="21" spans="1:9">
      <c r="A21" s="12" t="s">
        <v>514</v>
      </c>
      <c r="B21" s="4" t="s">
        <v>515</v>
      </c>
      <c r="C21" s="19">
        <v>5413</v>
      </c>
      <c r="D21" s="19"/>
      <c r="E21" s="19">
        <v>2221</v>
      </c>
      <c r="F21" s="19"/>
      <c r="G21" s="18"/>
      <c r="H21" s="221"/>
    </row>
    <row r="22" spans="1:9">
      <c r="A22" s="12" t="s">
        <v>518</v>
      </c>
      <c r="B22" s="4" t="s">
        <v>516</v>
      </c>
      <c r="C22" s="19">
        <v>-10191</v>
      </c>
      <c r="D22" s="19"/>
      <c r="E22" s="19">
        <v>-14165</v>
      </c>
      <c r="F22" s="19"/>
      <c r="G22" s="18"/>
    </row>
    <row r="23" spans="1:9">
      <c r="A23" s="12" t="s">
        <v>519</v>
      </c>
      <c r="B23" s="4" t="s">
        <v>517</v>
      </c>
      <c r="C23" s="19">
        <f>260-255</f>
        <v>5</v>
      </c>
      <c r="D23" s="19"/>
      <c r="E23" s="19">
        <f>419-259</f>
        <v>160</v>
      </c>
      <c r="F23" s="19"/>
      <c r="G23" s="18"/>
    </row>
    <row r="24" spans="1:9">
      <c r="A24" s="12" t="s">
        <v>532</v>
      </c>
      <c r="B24" s="4" t="s">
        <v>533</v>
      </c>
      <c r="C24" s="19">
        <f>4148-2334</f>
        <v>1814</v>
      </c>
      <c r="D24" s="19"/>
      <c r="E24" s="19">
        <f>8726-7887</f>
        <v>839</v>
      </c>
      <c r="F24" s="19"/>
      <c r="G24" s="18"/>
    </row>
    <row r="25" spans="1:9" ht="36">
      <c r="A25" s="12" t="s">
        <v>187</v>
      </c>
      <c r="B25" s="4">
        <v>3060</v>
      </c>
      <c r="C25" s="19">
        <f>C26+C27+C28</f>
        <v>13463</v>
      </c>
      <c r="D25" s="19">
        <f>D29</f>
        <v>-12000</v>
      </c>
      <c r="E25" s="19">
        <f>E26+E28+E27</f>
        <v>-4768</v>
      </c>
      <c r="F25" s="19"/>
      <c r="G25" s="18"/>
    </row>
    <row r="26" spans="1:9" ht="36">
      <c r="A26" s="12" t="s">
        <v>520</v>
      </c>
      <c r="B26" s="4" t="s">
        <v>534</v>
      </c>
      <c r="C26" s="19">
        <v>1111</v>
      </c>
      <c r="D26" s="19"/>
      <c r="E26" s="275">
        <v>-6991</v>
      </c>
      <c r="F26" s="19"/>
      <c r="G26" s="18"/>
    </row>
    <row r="27" spans="1:9">
      <c r="A27" s="12" t="s">
        <v>592</v>
      </c>
      <c r="B27" s="4" t="s">
        <v>535</v>
      </c>
      <c r="C27" s="19">
        <v>-15</v>
      </c>
      <c r="D27" s="19"/>
      <c r="E27" s="275"/>
      <c r="F27" s="19"/>
      <c r="G27" s="18"/>
    </row>
    <row r="28" spans="1:9">
      <c r="A28" s="12" t="s">
        <v>521</v>
      </c>
      <c r="B28" s="4" t="s">
        <v>591</v>
      </c>
      <c r="C28" s="19">
        <f>1708+10659</f>
        <v>12367</v>
      </c>
      <c r="D28" s="19"/>
      <c r="E28" s="275">
        <f>2223</f>
        <v>2223</v>
      </c>
      <c r="F28" s="19"/>
      <c r="G28" s="18"/>
    </row>
    <row r="29" spans="1:9" ht="36">
      <c r="A29" s="12" t="s">
        <v>596</v>
      </c>
      <c r="B29" s="4" t="s">
        <v>597</v>
      </c>
      <c r="C29" s="19"/>
      <c r="D29" s="19">
        <v>-12000</v>
      </c>
      <c r="E29" s="275"/>
      <c r="F29" s="19"/>
      <c r="G29" s="18"/>
    </row>
    <row r="30" spans="1:9">
      <c r="A30" s="16" t="s">
        <v>180</v>
      </c>
      <c r="B30" s="4">
        <v>3070</v>
      </c>
      <c r="C30" s="237">
        <f>C19+C20+C25</f>
        <v>-27345</v>
      </c>
      <c r="D30" s="237">
        <f>D19+D20+D25</f>
        <v>-8924</v>
      </c>
      <c r="E30" s="237">
        <f>E19+E20+E25</f>
        <v>-20336</v>
      </c>
      <c r="F30" s="20">
        <f>E30-D30</f>
        <v>-11412</v>
      </c>
      <c r="G30" s="21">
        <f>E30/D30*100</f>
        <v>227.8798744957418</v>
      </c>
    </row>
    <row r="31" spans="1:9">
      <c r="A31" s="12" t="s">
        <v>181</v>
      </c>
      <c r="B31" s="4">
        <v>3080</v>
      </c>
      <c r="C31" s="19">
        <f>'1. Фін результат'!C155</f>
        <v>7</v>
      </c>
      <c r="D31" s="19">
        <f>'1. Фін результат'!D155</f>
        <v>136.62</v>
      </c>
      <c r="E31" s="19">
        <f>'1. Фін результат'!E155</f>
        <v>0</v>
      </c>
      <c r="F31" s="20">
        <f>E31-D31</f>
        <v>-136.62</v>
      </c>
      <c r="G31" s="21">
        <f>E31/D31*100</f>
        <v>0</v>
      </c>
    </row>
    <row r="32" spans="1:9" ht="35">
      <c r="A32" s="7" t="s">
        <v>158</v>
      </c>
      <c r="B32" s="4">
        <v>3090</v>
      </c>
      <c r="C32" s="237">
        <f>C30-C31</f>
        <v>-27352</v>
      </c>
      <c r="D32" s="237">
        <f>D30-D31</f>
        <v>-9060.6200000000008</v>
      </c>
      <c r="E32" s="237">
        <f>E30-E31</f>
        <v>-20336</v>
      </c>
      <c r="F32" s="20">
        <f>E32-D32</f>
        <v>-11275.38</v>
      </c>
      <c r="G32" s="21">
        <f>E32/D32*100</f>
        <v>224.44380185903393</v>
      </c>
    </row>
    <row r="33" spans="1:9">
      <c r="A33" s="329" t="s">
        <v>160</v>
      </c>
      <c r="B33" s="330"/>
      <c r="C33" s="330"/>
      <c r="D33" s="330"/>
      <c r="E33" s="330"/>
      <c r="F33" s="330"/>
      <c r="G33" s="331"/>
    </row>
    <row r="34" spans="1:9">
      <c r="A34" s="16" t="s">
        <v>288</v>
      </c>
      <c r="B34" s="6"/>
      <c r="C34" s="20"/>
      <c r="D34" s="20"/>
      <c r="E34" s="20"/>
      <c r="F34" s="20"/>
      <c r="G34" s="21"/>
    </row>
    <row r="35" spans="1:9">
      <c r="A35" s="5" t="s">
        <v>32</v>
      </c>
      <c r="B35" s="6">
        <v>3200</v>
      </c>
      <c r="C35" s="20"/>
      <c r="D35" s="20"/>
      <c r="E35" s="20"/>
      <c r="F35" s="20"/>
      <c r="G35" s="21"/>
    </row>
    <row r="36" spans="1:9">
      <c r="A36" s="5" t="s">
        <v>33</v>
      </c>
      <c r="B36" s="6">
        <v>3210</v>
      </c>
      <c r="C36" s="20"/>
      <c r="D36" s="20"/>
      <c r="E36" s="20"/>
      <c r="F36" s="20"/>
      <c r="G36" s="21"/>
    </row>
    <row r="37" spans="1:9">
      <c r="A37" s="5" t="s">
        <v>54</v>
      </c>
      <c r="B37" s="6">
        <v>3220</v>
      </c>
      <c r="C37" s="20"/>
      <c r="D37" s="20"/>
      <c r="E37" s="20"/>
      <c r="F37" s="20"/>
      <c r="G37" s="21"/>
    </row>
    <row r="38" spans="1:9">
      <c r="A38" s="12" t="s">
        <v>164</v>
      </c>
      <c r="B38" s="6"/>
      <c r="C38" s="20"/>
      <c r="D38" s="20"/>
      <c r="E38" s="20"/>
      <c r="F38" s="20"/>
      <c r="G38" s="21"/>
    </row>
    <row r="39" spans="1:9">
      <c r="A39" s="5" t="s">
        <v>165</v>
      </c>
      <c r="B39" s="6">
        <v>3230</v>
      </c>
      <c r="C39" s="20"/>
      <c r="D39" s="20"/>
      <c r="E39" s="20"/>
      <c r="F39" s="20"/>
      <c r="G39" s="21"/>
    </row>
    <row r="40" spans="1:9">
      <c r="A40" s="5" t="s">
        <v>166</v>
      </c>
      <c r="B40" s="6">
        <v>3240</v>
      </c>
      <c r="C40" s="20"/>
      <c r="D40" s="20"/>
      <c r="E40" s="20"/>
      <c r="F40" s="20"/>
      <c r="G40" s="21"/>
    </row>
    <row r="41" spans="1:9">
      <c r="A41" s="12" t="s">
        <v>167</v>
      </c>
      <c r="B41" s="6">
        <v>3250</v>
      </c>
      <c r="C41" s="20"/>
      <c r="D41" s="20"/>
      <c r="E41" s="20"/>
      <c r="F41" s="20"/>
      <c r="G41" s="21"/>
    </row>
    <row r="42" spans="1:9">
      <c r="A42" s="5" t="s">
        <v>118</v>
      </c>
      <c r="B42" s="6">
        <v>3260</v>
      </c>
      <c r="C42" s="20"/>
      <c r="D42" s="20"/>
      <c r="E42" s="20"/>
      <c r="F42" s="20"/>
      <c r="G42" s="21"/>
    </row>
    <row r="43" spans="1:9">
      <c r="A43" s="16" t="s">
        <v>289</v>
      </c>
      <c r="B43" s="6"/>
      <c r="C43" s="20"/>
      <c r="D43" s="20"/>
      <c r="E43" s="20"/>
      <c r="F43" s="20"/>
      <c r="G43" s="21"/>
    </row>
    <row r="44" spans="1:9" ht="36">
      <c r="A44" s="5" t="s">
        <v>119</v>
      </c>
      <c r="B44" s="6">
        <v>3270</v>
      </c>
      <c r="C44" s="20">
        <f>C46</f>
        <v>1435</v>
      </c>
      <c r="D44" s="20"/>
      <c r="E44" s="20"/>
      <c r="F44" s="20"/>
      <c r="G44" s="21"/>
      <c r="H44" s="222"/>
      <c r="I44" s="222"/>
    </row>
    <row r="45" spans="1:9">
      <c r="A45" s="5" t="s">
        <v>484</v>
      </c>
      <c r="B45" s="6" t="s">
        <v>481</v>
      </c>
      <c r="C45" s="20"/>
      <c r="D45" s="20"/>
      <c r="E45" s="20"/>
      <c r="F45" s="20"/>
      <c r="G45" s="21"/>
    </row>
    <row r="46" spans="1:9">
      <c r="A46" s="5" t="s">
        <v>483</v>
      </c>
      <c r="B46" s="6" t="s">
        <v>482</v>
      </c>
      <c r="C46" s="20">
        <v>1435</v>
      </c>
      <c r="D46" s="20"/>
      <c r="E46" s="20"/>
      <c r="F46" s="20"/>
      <c r="G46" s="21"/>
    </row>
    <row r="47" spans="1:9">
      <c r="A47" s="5" t="s">
        <v>604</v>
      </c>
      <c r="B47" s="6" t="s">
        <v>536</v>
      </c>
      <c r="C47" s="20"/>
      <c r="D47" s="20"/>
      <c r="E47" s="20"/>
      <c r="F47" s="20"/>
      <c r="G47" s="21"/>
    </row>
    <row r="48" spans="1:9">
      <c r="A48" s="5" t="s">
        <v>120</v>
      </c>
      <c r="B48" s="6">
        <v>3280</v>
      </c>
      <c r="C48" s="20"/>
      <c r="D48" s="20"/>
      <c r="E48" s="20"/>
      <c r="F48" s="20"/>
      <c r="G48" s="21"/>
    </row>
    <row r="49" spans="1:8" ht="36">
      <c r="A49" s="5" t="s">
        <v>121</v>
      </c>
      <c r="B49" s="6">
        <v>3290</v>
      </c>
      <c r="C49" s="20"/>
      <c r="D49" s="20"/>
      <c r="E49" s="20">
        <f>E51</f>
        <v>13300</v>
      </c>
      <c r="F49" s="20">
        <f>E49-D49</f>
        <v>13300</v>
      </c>
      <c r="G49" s="21"/>
    </row>
    <row r="50" spans="1:8" hidden="1">
      <c r="A50" s="5" t="s">
        <v>486</v>
      </c>
      <c r="B50" s="6" t="s">
        <v>485</v>
      </c>
      <c r="C50" s="20"/>
      <c r="D50" s="20"/>
      <c r="E50" s="20"/>
      <c r="F50" s="20">
        <f>E50-D50</f>
        <v>0</v>
      </c>
      <c r="G50" s="21"/>
    </row>
    <row r="51" spans="1:8" ht="36">
      <c r="A51" s="5" t="s">
        <v>603</v>
      </c>
      <c r="B51" s="6" t="s">
        <v>485</v>
      </c>
      <c r="C51" s="20"/>
      <c r="D51" s="20"/>
      <c r="E51" s="20">
        <v>13300</v>
      </c>
      <c r="F51" s="20">
        <f>E51-D51</f>
        <v>13300</v>
      </c>
      <c r="G51" s="21"/>
      <c r="H51" s="9"/>
    </row>
    <row r="52" spans="1:8" ht="36">
      <c r="A52" s="5" t="s">
        <v>562</v>
      </c>
      <c r="B52" s="6" t="s">
        <v>558</v>
      </c>
      <c r="C52" s="20"/>
      <c r="D52" s="20"/>
      <c r="E52" s="20"/>
      <c r="F52" s="20"/>
      <c r="G52" s="21"/>
    </row>
    <row r="53" spans="1:8">
      <c r="A53" s="5" t="s">
        <v>55</v>
      </c>
      <c r="B53" s="6">
        <v>3300</v>
      </c>
      <c r="C53" s="20"/>
      <c r="D53" s="20"/>
      <c r="E53" s="20"/>
      <c r="F53" s="20"/>
      <c r="G53" s="21"/>
    </row>
    <row r="54" spans="1:8">
      <c r="A54" s="5" t="s">
        <v>113</v>
      </c>
      <c r="B54" s="6">
        <v>3310</v>
      </c>
      <c r="C54" s="20"/>
      <c r="D54" s="20"/>
      <c r="E54" s="20"/>
      <c r="F54" s="20"/>
      <c r="G54" s="21"/>
    </row>
    <row r="55" spans="1:8">
      <c r="A55" s="16" t="s">
        <v>161</v>
      </c>
      <c r="B55" s="6">
        <v>3320</v>
      </c>
      <c r="C55" s="20">
        <f>(C35+C36+C37+C39+C40+C41+C42)-(C44+C49+C82+C54)</f>
        <v>-1435</v>
      </c>
      <c r="D55" s="20">
        <f>(D35+D36+D37+D39+D40+D41+D42)-(D44+D49+D82)</f>
        <v>0</v>
      </c>
      <c r="E55" s="20">
        <f>(E35+E36+E37+E39+E40+E41+E42)-(E44+E49)</f>
        <v>-13300</v>
      </c>
      <c r="F55" s="20">
        <f>E55-D55</f>
        <v>-13300</v>
      </c>
      <c r="G55" s="21"/>
    </row>
    <row r="56" spans="1:8">
      <c r="A56" s="329" t="s">
        <v>162</v>
      </c>
      <c r="B56" s="330"/>
      <c r="C56" s="330"/>
      <c r="D56" s="330"/>
      <c r="E56" s="330"/>
      <c r="F56" s="330"/>
      <c r="G56" s="331"/>
    </row>
    <row r="57" spans="1:8">
      <c r="A57" s="16" t="s">
        <v>288</v>
      </c>
      <c r="B57" s="6"/>
      <c r="C57" s="20"/>
      <c r="D57" s="20"/>
      <c r="E57" s="20"/>
      <c r="F57" s="20"/>
      <c r="G57" s="21"/>
    </row>
    <row r="58" spans="1:8">
      <c r="A58" s="12" t="s">
        <v>168</v>
      </c>
      <c r="B58" s="6">
        <v>3400</v>
      </c>
      <c r="C58" s="20"/>
      <c r="D58" s="20"/>
      <c r="E58" s="20"/>
      <c r="F58" s="20"/>
      <c r="G58" s="21"/>
    </row>
    <row r="59" spans="1:8" ht="36">
      <c r="A59" s="5" t="s">
        <v>91</v>
      </c>
      <c r="B59" s="8"/>
      <c r="C59" s="23"/>
      <c r="D59" s="23"/>
      <c r="E59" s="23"/>
      <c r="F59" s="23"/>
      <c r="G59" s="8"/>
    </row>
    <row r="60" spans="1:8">
      <c r="A60" s="5" t="s">
        <v>90</v>
      </c>
      <c r="B60" s="6">
        <v>3410</v>
      </c>
      <c r="C60" s="20"/>
      <c r="D60" s="20"/>
      <c r="E60" s="20"/>
      <c r="F60" s="20"/>
      <c r="G60" s="21"/>
    </row>
    <row r="61" spans="1:8">
      <c r="A61" s="5" t="s">
        <v>95</v>
      </c>
      <c r="B61" s="4">
        <v>3420</v>
      </c>
      <c r="C61" s="19"/>
      <c r="D61" s="19"/>
      <c r="E61" s="19"/>
      <c r="F61" s="19"/>
      <c r="G61" s="18"/>
    </row>
    <row r="62" spans="1:8">
      <c r="A62" s="5" t="s">
        <v>122</v>
      </c>
      <c r="B62" s="6">
        <v>3430</v>
      </c>
      <c r="C62" s="20"/>
      <c r="D62" s="20"/>
      <c r="E62" s="20"/>
      <c r="F62" s="20"/>
      <c r="G62" s="21"/>
    </row>
    <row r="63" spans="1:8" ht="36">
      <c r="A63" s="5" t="s">
        <v>93</v>
      </c>
      <c r="B63" s="6"/>
      <c r="C63" s="20"/>
      <c r="D63" s="20"/>
      <c r="E63" s="20"/>
      <c r="F63" s="20"/>
      <c r="G63" s="21"/>
    </row>
    <row r="64" spans="1:8">
      <c r="A64" s="5" t="s">
        <v>90</v>
      </c>
      <c r="B64" s="4">
        <v>3440</v>
      </c>
      <c r="C64" s="19"/>
      <c r="D64" s="19"/>
      <c r="E64" s="19"/>
      <c r="F64" s="19"/>
      <c r="G64" s="18"/>
    </row>
    <row r="65" spans="1:9">
      <c r="A65" s="5" t="s">
        <v>95</v>
      </c>
      <c r="B65" s="4">
        <v>3450</v>
      </c>
      <c r="C65" s="19"/>
      <c r="D65" s="19"/>
      <c r="E65" s="19"/>
      <c r="F65" s="19"/>
      <c r="G65" s="18"/>
    </row>
    <row r="66" spans="1:9">
      <c r="A66" s="5" t="s">
        <v>122</v>
      </c>
      <c r="B66" s="4">
        <v>3460</v>
      </c>
      <c r="C66" s="19"/>
      <c r="D66" s="19"/>
      <c r="E66" s="19"/>
      <c r="F66" s="19"/>
      <c r="G66" s="18"/>
    </row>
    <row r="67" spans="1:9">
      <c r="A67" s="5" t="s">
        <v>117</v>
      </c>
      <c r="B67" s="4">
        <v>3470</v>
      </c>
      <c r="C67" s="19"/>
      <c r="D67" s="19"/>
      <c r="E67" s="19"/>
      <c r="F67" s="19"/>
      <c r="G67" s="18"/>
      <c r="H67" s="222"/>
      <c r="I67" s="222"/>
    </row>
    <row r="68" spans="1:9">
      <c r="A68" s="5" t="s">
        <v>118</v>
      </c>
      <c r="B68" s="4">
        <v>3480</v>
      </c>
      <c r="C68" s="19">
        <f>C70+C69</f>
        <v>33701</v>
      </c>
      <c r="D68" s="19">
        <f>D70</f>
        <v>12000</v>
      </c>
      <c r="E68" s="19">
        <f>E70</f>
        <v>13300</v>
      </c>
      <c r="F68" s="19"/>
      <c r="G68" s="18"/>
    </row>
    <row r="69" spans="1:9">
      <c r="A69" s="5" t="s">
        <v>615</v>
      </c>
      <c r="B69" s="4" t="s">
        <v>487</v>
      </c>
      <c r="C69" s="19">
        <v>33701</v>
      </c>
      <c r="D69" s="19"/>
      <c r="E69" s="19"/>
      <c r="F69" s="19"/>
      <c r="G69" s="18"/>
    </row>
    <row r="70" spans="1:9" ht="36">
      <c r="A70" s="5" t="s">
        <v>598</v>
      </c>
      <c r="B70" s="4" t="s">
        <v>614</v>
      </c>
      <c r="C70" s="19"/>
      <c r="D70" s="19">
        <v>12000</v>
      </c>
      <c r="E70" s="19">
        <v>13300</v>
      </c>
      <c r="F70" s="19"/>
      <c r="G70" s="18"/>
      <c r="H70" s="9"/>
      <c r="I70" s="222"/>
    </row>
    <row r="71" spans="1:9">
      <c r="A71" s="16" t="s">
        <v>289</v>
      </c>
      <c r="B71" s="6"/>
      <c r="C71" s="20"/>
      <c r="D71" s="20"/>
      <c r="E71" s="20"/>
      <c r="F71" s="20"/>
      <c r="G71" s="21"/>
    </row>
    <row r="72" spans="1:9" ht="36">
      <c r="A72" s="5" t="s">
        <v>359</v>
      </c>
      <c r="B72" s="6">
        <v>3490</v>
      </c>
      <c r="C72" s="20">
        <f>'2. Розрахунки з бюджетом'!C21</f>
        <v>4.95</v>
      </c>
      <c r="D72" s="20">
        <f>'2. Розрахунки з бюджетом'!D21</f>
        <v>93.356999999999999</v>
      </c>
      <c r="E72" s="20">
        <f>'2. Розрахунки з бюджетом'!E10</f>
        <v>0</v>
      </c>
      <c r="F72" s="20">
        <f>E72-D72</f>
        <v>-93.356999999999999</v>
      </c>
      <c r="G72" s="21">
        <f>E72/D72*100</f>
        <v>0</v>
      </c>
    </row>
    <row r="73" spans="1:9" ht="90">
      <c r="A73" s="5" t="s">
        <v>488</v>
      </c>
      <c r="B73" s="6">
        <v>3500</v>
      </c>
      <c r="C73" s="20">
        <f>'2. Розрахунки з бюджетом'!C22</f>
        <v>16.829999999999998</v>
      </c>
      <c r="D73" s="20">
        <f>'2. Розрахунки з бюджетом'!D22</f>
        <v>317</v>
      </c>
      <c r="E73" s="20">
        <f>'2. Розрахунки з бюджетом'!E11</f>
        <v>0</v>
      </c>
      <c r="F73" s="20">
        <f>E73-D73</f>
        <v>-317</v>
      </c>
      <c r="G73" s="21">
        <f>E73/D73*100</f>
        <v>0</v>
      </c>
    </row>
    <row r="74" spans="1:9" ht="36">
      <c r="A74" s="5" t="s">
        <v>94</v>
      </c>
      <c r="B74" s="6"/>
      <c r="C74" s="20"/>
      <c r="D74" s="20"/>
      <c r="E74" s="20"/>
      <c r="F74" s="20"/>
      <c r="G74" s="21"/>
    </row>
    <row r="75" spans="1:9">
      <c r="A75" s="5" t="s">
        <v>90</v>
      </c>
      <c r="B75" s="4">
        <v>3510</v>
      </c>
      <c r="C75" s="19"/>
      <c r="D75" s="19"/>
      <c r="E75" s="19"/>
      <c r="F75" s="19"/>
      <c r="G75" s="18"/>
    </row>
    <row r="76" spans="1:9">
      <c r="A76" s="5" t="s">
        <v>95</v>
      </c>
      <c r="B76" s="4">
        <v>3520</v>
      </c>
      <c r="C76" s="19"/>
      <c r="D76" s="19"/>
      <c r="E76" s="19"/>
      <c r="F76" s="19"/>
      <c r="G76" s="18"/>
    </row>
    <row r="77" spans="1:9">
      <c r="A77" s="5" t="s">
        <v>122</v>
      </c>
      <c r="B77" s="4">
        <v>3530</v>
      </c>
      <c r="C77" s="19"/>
      <c r="D77" s="19"/>
      <c r="E77" s="19"/>
      <c r="F77" s="19"/>
      <c r="G77" s="18"/>
    </row>
    <row r="78" spans="1:9" ht="36">
      <c r="A78" s="5" t="s">
        <v>92</v>
      </c>
      <c r="B78" s="6"/>
      <c r="C78" s="20"/>
      <c r="D78" s="20"/>
      <c r="E78" s="20"/>
      <c r="F78" s="20"/>
      <c r="G78" s="21"/>
    </row>
    <row r="79" spans="1:9">
      <c r="A79" s="5" t="s">
        <v>90</v>
      </c>
      <c r="B79" s="4">
        <v>3540</v>
      </c>
      <c r="C79" s="19"/>
      <c r="D79" s="19"/>
      <c r="E79" s="19"/>
      <c r="F79" s="19"/>
      <c r="G79" s="18"/>
    </row>
    <row r="80" spans="1:9">
      <c r="A80" s="5" t="s">
        <v>95</v>
      </c>
      <c r="B80" s="4">
        <v>3550</v>
      </c>
      <c r="C80" s="19"/>
      <c r="D80" s="19"/>
      <c r="E80" s="19"/>
      <c r="F80" s="19"/>
      <c r="G80" s="18"/>
    </row>
    <row r="81" spans="1:9">
      <c r="A81" s="5" t="s">
        <v>122</v>
      </c>
      <c r="B81" s="4">
        <v>3560</v>
      </c>
      <c r="C81" s="19"/>
      <c r="D81" s="19"/>
      <c r="E81" s="19"/>
      <c r="F81" s="19"/>
      <c r="G81" s="18"/>
    </row>
    <row r="82" spans="1:9">
      <c r="A82" s="5" t="s">
        <v>113</v>
      </c>
      <c r="B82" s="4">
        <v>3570</v>
      </c>
      <c r="C82" s="19"/>
      <c r="D82" s="19"/>
      <c r="E82" s="19">
        <f>E84</f>
        <v>-8571</v>
      </c>
      <c r="F82" s="19"/>
      <c r="G82" s="18"/>
    </row>
    <row r="83" spans="1:9">
      <c r="A83" s="5" t="s">
        <v>491</v>
      </c>
      <c r="B83" s="4" t="s">
        <v>489</v>
      </c>
      <c r="C83" s="19"/>
      <c r="D83" s="19"/>
      <c r="E83" s="19"/>
      <c r="F83" s="19"/>
      <c r="G83" s="18"/>
    </row>
    <row r="84" spans="1:9">
      <c r="A84" s="5" t="s">
        <v>492</v>
      </c>
      <c r="B84" s="4" t="s">
        <v>490</v>
      </c>
      <c r="C84" s="19"/>
      <c r="D84" s="19"/>
      <c r="E84" s="19">
        <v>-8571</v>
      </c>
      <c r="F84" s="19"/>
      <c r="G84" s="18"/>
    </row>
    <row r="85" spans="1:9">
      <c r="A85" s="16" t="s">
        <v>163</v>
      </c>
      <c r="B85" s="4">
        <v>3580</v>
      </c>
      <c r="C85" s="237">
        <f>(C58+C60+C61+C62+C64+C65+C66+C67+C68)-(C72+C73+C82)</f>
        <v>33679.22</v>
      </c>
      <c r="D85" s="237">
        <f>(D58+D60+D61+D62+D64+D65+D66+D67+D68)-(D72+D73+D82)</f>
        <v>11589.643</v>
      </c>
      <c r="E85" s="237">
        <f>(E58+E60+E61+E62+E64+E65+E66+E67+E68)-(E72+E73+E82)</f>
        <v>21871</v>
      </c>
      <c r="F85" s="20">
        <f>E85-D85</f>
        <v>10281.357</v>
      </c>
      <c r="G85" s="21">
        <f>E85/D85*100</f>
        <v>188.71159361854373</v>
      </c>
    </row>
    <row r="86" spans="1:9" s="9" customFormat="1">
      <c r="A86" s="5" t="s">
        <v>321</v>
      </c>
      <c r="B86" s="4"/>
      <c r="C86" s="19"/>
      <c r="D86" s="19"/>
      <c r="E86" s="19"/>
      <c r="F86" s="20"/>
      <c r="G86" s="21"/>
    </row>
    <row r="87" spans="1:9" s="9" customFormat="1">
      <c r="A87" s="7" t="s">
        <v>34</v>
      </c>
      <c r="B87" s="4">
        <v>3600</v>
      </c>
      <c r="C87" s="19">
        <v>12469</v>
      </c>
      <c r="D87" s="19">
        <v>39735</v>
      </c>
      <c r="E87" s="19">
        <v>30806</v>
      </c>
      <c r="F87" s="20">
        <f>E87-D87</f>
        <v>-8929</v>
      </c>
      <c r="G87" s="21">
        <f>E87/D87*100</f>
        <v>77.528627154901216</v>
      </c>
    </row>
    <row r="88" spans="1:9" s="9" customFormat="1">
      <c r="A88" s="17" t="s">
        <v>290</v>
      </c>
      <c r="B88" s="4">
        <v>3610</v>
      </c>
      <c r="C88" s="19"/>
      <c r="D88" s="19"/>
      <c r="E88" s="19"/>
      <c r="F88" s="20"/>
      <c r="G88" s="21"/>
    </row>
    <row r="89" spans="1:9" s="9" customFormat="1">
      <c r="A89" s="7" t="s">
        <v>56</v>
      </c>
      <c r="B89" s="4">
        <v>3620</v>
      </c>
      <c r="C89" s="237">
        <f>C87+C32+C55+C85</f>
        <v>17361.22</v>
      </c>
      <c r="D89" s="237">
        <f>D87+D32+D55+D85</f>
        <v>42264.023000000001</v>
      </c>
      <c r="E89" s="237">
        <f>E87+E32+E55+E85</f>
        <v>19041</v>
      </c>
      <c r="F89" s="20">
        <f>E89-D89</f>
        <v>-23223.023000000001</v>
      </c>
      <c r="G89" s="21">
        <f>E89/D89*100</f>
        <v>45.052502455812125</v>
      </c>
      <c r="I89" s="151"/>
    </row>
    <row r="90" spans="1:9" s="9" customFormat="1">
      <c r="A90" s="7" t="s">
        <v>35</v>
      </c>
      <c r="B90" s="4">
        <v>3630</v>
      </c>
      <c r="C90" s="237">
        <f>C32+C55+C85</f>
        <v>4892.2200000000012</v>
      </c>
      <c r="D90" s="237">
        <f>D32+D55+D85</f>
        <v>2529.0229999999992</v>
      </c>
      <c r="E90" s="237">
        <f>E32+E55+E85</f>
        <v>-11765</v>
      </c>
      <c r="F90" s="20">
        <f>E90-D90</f>
        <v>-14294.022999999999</v>
      </c>
      <c r="G90" s="21">
        <f>E90/D90*100</f>
        <v>-465.19940704374784</v>
      </c>
      <c r="H90" s="151"/>
    </row>
    <row r="91" spans="1:9" s="9" customFormat="1">
      <c r="A91" s="2"/>
      <c r="B91" s="154"/>
      <c r="C91" s="154"/>
      <c r="D91" s="154"/>
      <c r="E91" s="154"/>
      <c r="F91" s="154"/>
      <c r="G91" s="154"/>
    </row>
    <row r="92" spans="1:9" s="3" customFormat="1" ht="57" customHeight="1">
      <c r="A92" s="13"/>
      <c r="B92" s="1"/>
      <c r="C92" s="175"/>
      <c r="D92" s="176"/>
      <c r="E92" s="332"/>
      <c r="F92" s="332"/>
      <c r="G92" s="332"/>
    </row>
    <row r="93" spans="1:9" s="24" customFormat="1" ht="28" customHeight="1">
      <c r="A93" s="125" t="s">
        <v>620</v>
      </c>
      <c r="B93" s="122"/>
      <c r="C93" s="160"/>
      <c r="D93" s="160"/>
      <c r="E93" s="160"/>
      <c r="F93" s="492" t="s">
        <v>621</v>
      </c>
      <c r="G93" s="306"/>
    </row>
    <row r="94" spans="1:9" s="35" customFormat="1" ht="19.5" customHeight="1">
      <c r="A94" s="29" t="s">
        <v>387</v>
      </c>
      <c r="C94" s="318" t="s">
        <v>78</v>
      </c>
      <c r="D94" s="318"/>
      <c r="E94" s="160"/>
      <c r="F94" s="306" t="s">
        <v>361</v>
      </c>
      <c r="G94" s="306"/>
    </row>
    <row r="95" spans="1:9" ht="45.75" customHeight="1"/>
    <row r="96" spans="1:9" s="115" customFormat="1" ht="80.25" customHeight="1">
      <c r="A96" s="314"/>
      <c r="B96" s="314"/>
      <c r="C96" s="314"/>
      <c r="D96" s="314"/>
      <c r="E96" s="314"/>
      <c r="F96" s="314"/>
      <c r="G96" s="314"/>
      <c r="H96" s="314"/>
    </row>
  </sheetData>
  <mergeCells count="13">
    <mergeCell ref="A96:H96"/>
    <mergeCell ref="F94:G94"/>
    <mergeCell ref="C94:D94"/>
    <mergeCell ref="A8:G8"/>
    <mergeCell ref="A33:G33"/>
    <mergeCell ref="F93:G93"/>
    <mergeCell ref="A56:G56"/>
    <mergeCell ref="E92:G92"/>
    <mergeCell ref="A3:G3"/>
    <mergeCell ref="A5:A6"/>
    <mergeCell ref="B5:B6"/>
    <mergeCell ref="D5:G5"/>
    <mergeCell ref="C5:C6"/>
  </mergeCells>
  <phoneticPr fontId="3" type="noConversion"/>
  <pageMargins left="0.39370078740157483" right="0.19685039370078741" top="0.39370078740157483" bottom="0.39370078740157483" header="0" footer="0"/>
  <pageSetup paperSize="9" scale="65" orientation="portrait" r:id="rId1"/>
  <headerFooter alignWithMargins="0"/>
  <rowBreaks count="1" manualBreakCount="1">
    <brk id="49" max="14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99"/>
  </sheetPr>
  <dimension ref="A1:N182"/>
  <sheetViews>
    <sheetView view="pageBreakPreview" zoomScale="55" zoomScaleNormal="75" zoomScaleSheetLayoutView="55" workbookViewId="0">
      <selection activeCell="A15" sqref="A15"/>
    </sheetView>
  </sheetViews>
  <sheetFormatPr defaultColWidth="9.1796875" defaultRowHeight="20.5"/>
  <cols>
    <col min="1" max="1" width="61" style="250" customWidth="1"/>
    <col min="2" max="2" width="9.81640625" style="241" customWidth="1"/>
    <col min="3" max="3" width="19.453125" style="241" customWidth="1"/>
    <col min="4" max="4" width="14.54296875" style="241" customWidth="1"/>
    <col min="5" max="5" width="16.54296875" style="241" customWidth="1"/>
    <col min="6" max="6" width="17.54296875" style="241" customWidth="1"/>
    <col min="7" max="7" width="18.54296875" style="241" customWidth="1"/>
    <col min="8" max="8" width="9.54296875" style="250" customWidth="1"/>
    <col min="9" max="9" width="9.81640625" style="250" customWidth="1"/>
    <col min="10" max="16384" width="9.1796875" style="250"/>
  </cols>
  <sheetData>
    <row r="1" spans="1:14">
      <c r="A1" s="336" t="s">
        <v>376</v>
      </c>
      <c r="B1" s="336"/>
      <c r="C1" s="336"/>
      <c r="D1" s="336"/>
      <c r="E1" s="336"/>
      <c r="F1" s="336"/>
      <c r="G1" s="336"/>
    </row>
    <row r="2" spans="1:14">
      <c r="A2" s="338"/>
      <c r="B2" s="338"/>
      <c r="C2" s="338"/>
      <c r="D2" s="338"/>
      <c r="E2" s="338"/>
      <c r="F2" s="338"/>
      <c r="G2" s="338"/>
    </row>
    <row r="3" spans="1:14" ht="43.5" customHeight="1">
      <c r="A3" s="334" t="s">
        <v>287</v>
      </c>
      <c r="B3" s="337" t="s">
        <v>18</v>
      </c>
      <c r="C3" s="322" t="s">
        <v>355</v>
      </c>
      <c r="D3" s="320" t="s">
        <v>353</v>
      </c>
      <c r="E3" s="320"/>
      <c r="F3" s="320"/>
      <c r="G3" s="320"/>
    </row>
    <row r="4" spans="1:14" ht="56.25" customHeight="1">
      <c r="A4" s="335"/>
      <c r="B4" s="337"/>
      <c r="C4" s="323"/>
      <c r="D4" s="249" t="s">
        <v>265</v>
      </c>
      <c r="E4" s="249" t="s">
        <v>248</v>
      </c>
      <c r="F4" s="248" t="s">
        <v>275</v>
      </c>
      <c r="G4" s="248" t="s">
        <v>276</v>
      </c>
    </row>
    <row r="5" spans="1:14" ht="15.75" customHeight="1">
      <c r="A5" s="254">
        <v>1</v>
      </c>
      <c r="B5" s="249">
        <v>2</v>
      </c>
      <c r="C5" s="254">
        <v>3</v>
      </c>
      <c r="D5" s="254">
        <v>4</v>
      </c>
      <c r="E5" s="249">
        <v>5</v>
      </c>
      <c r="F5" s="254">
        <v>6</v>
      </c>
      <c r="G5" s="249">
        <v>7</v>
      </c>
    </row>
    <row r="6" spans="1:14" s="34" customFormat="1" ht="56.25" customHeight="1">
      <c r="A6" s="32" t="s">
        <v>81</v>
      </c>
      <c r="B6" s="51">
        <v>4000</v>
      </c>
      <c r="C6" s="38">
        <f>C8+C10</f>
        <v>1196</v>
      </c>
      <c r="D6" s="38">
        <f>D10</f>
        <v>0</v>
      </c>
      <c r="E6" s="38">
        <f>E10</f>
        <v>11083.333333333334</v>
      </c>
      <c r="F6" s="38">
        <f>E6-D6</f>
        <v>11083.333333333334</v>
      </c>
      <c r="G6" s="39"/>
    </row>
    <row r="7" spans="1:14" ht="56.25" customHeight="1">
      <c r="A7" s="32" t="s">
        <v>1</v>
      </c>
      <c r="B7" s="52" t="s">
        <v>224</v>
      </c>
      <c r="C7" s="267"/>
      <c r="D7" s="267"/>
      <c r="E7" s="267"/>
      <c r="F7" s="251"/>
      <c r="G7" s="252"/>
    </row>
    <row r="8" spans="1:14" ht="56.25" customHeight="1">
      <c r="A8" s="32" t="s">
        <v>2</v>
      </c>
      <c r="B8" s="51">
        <v>4020</v>
      </c>
      <c r="C8" s="38">
        <v>1196</v>
      </c>
      <c r="D8" s="38"/>
      <c r="E8" s="38"/>
      <c r="F8" s="38"/>
      <c r="G8" s="39"/>
      <c r="N8" s="25"/>
    </row>
    <row r="9" spans="1:14" ht="56.25" customHeight="1">
      <c r="A9" s="32" t="s">
        <v>30</v>
      </c>
      <c r="B9" s="52">
        <v>4030</v>
      </c>
      <c r="C9" s="267"/>
      <c r="D9" s="267"/>
      <c r="E9" s="267"/>
      <c r="F9" s="251"/>
      <c r="G9" s="252"/>
      <c r="M9" s="25"/>
    </row>
    <row r="10" spans="1:14" ht="56.25" customHeight="1">
      <c r="A10" s="32" t="s">
        <v>3</v>
      </c>
      <c r="B10" s="51">
        <v>4040</v>
      </c>
      <c r="C10" s="38">
        <f>'3. Рух грошових коштів'!C51</f>
        <v>0</v>
      </c>
      <c r="D10" s="38"/>
      <c r="E10" s="38">
        <f>'3. Рух грошових коштів'!E51/1.2</f>
        <v>11083.333333333334</v>
      </c>
      <c r="F10" s="38">
        <f>E10-D10</f>
        <v>11083.333333333334</v>
      </c>
      <c r="G10" s="39"/>
    </row>
    <row r="11" spans="1:14" ht="72.75" customHeight="1">
      <c r="A11" s="32" t="s">
        <v>70</v>
      </c>
      <c r="B11" s="52">
        <v>4050</v>
      </c>
      <c r="C11" s="251"/>
      <c r="D11" s="251"/>
      <c r="E11" s="251"/>
      <c r="F11" s="251"/>
      <c r="G11" s="252"/>
    </row>
    <row r="12" spans="1:14">
      <c r="B12" s="250"/>
      <c r="C12" s="250"/>
      <c r="D12" s="250"/>
      <c r="E12" s="250"/>
      <c r="F12" s="250"/>
      <c r="G12" s="250"/>
    </row>
    <row r="13" spans="1:14" ht="99" customHeight="1">
      <c r="B13" s="250"/>
      <c r="C13" s="250"/>
      <c r="D13" s="250"/>
      <c r="E13" s="250"/>
      <c r="F13" s="250"/>
      <c r="G13" s="250"/>
    </row>
    <row r="14" spans="1:14" ht="19.5" customHeight="1">
      <c r="A14" s="241"/>
      <c r="B14" s="250"/>
      <c r="C14" s="250"/>
      <c r="D14" s="250"/>
      <c r="E14" s="250"/>
      <c r="F14" s="250"/>
      <c r="G14" s="250"/>
    </row>
    <row r="15" spans="1:14" ht="22.5" customHeight="1">
      <c r="A15" s="125" t="s">
        <v>620</v>
      </c>
      <c r="B15" s="122"/>
      <c r="C15" s="250"/>
      <c r="D15" s="250"/>
      <c r="E15" s="250"/>
      <c r="F15" s="306" t="s">
        <v>621</v>
      </c>
      <c r="G15" s="306"/>
    </row>
    <row r="16" spans="1:14" s="35" customFormat="1" ht="19.5" customHeight="1">
      <c r="A16" s="29" t="s">
        <v>387</v>
      </c>
      <c r="C16" s="306" t="s">
        <v>78</v>
      </c>
      <c r="D16" s="306"/>
      <c r="E16" s="250"/>
      <c r="F16" s="306" t="s">
        <v>361</v>
      </c>
      <c r="G16" s="306"/>
    </row>
    <row r="17" spans="1:8">
      <c r="A17" s="36"/>
    </row>
    <row r="18" spans="1:8" ht="35.25" customHeight="1">
      <c r="A18" s="36"/>
    </row>
    <row r="19" spans="1:8" s="115" customFormat="1" ht="102" customHeight="1">
      <c r="A19" s="333"/>
      <c r="B19" s="333"/>
      <c r="C19" s="333"/>
      <c r="D19" s="333"/>
      <c r="E19" s="333"/>
      <c r="F19" s="333"/>
      <c r="G19" s="333"/>
      <c r="H19" s="333"/>
    </row>
    <row r="20" spans="1:8">
      <c r="A20" s="36"/>
    </row>
    <row r="21" spans="1:8">
      <c r="A21" s="36"/>
    </row>
    <row r="22" spans="1:8">
      <c r="A22" s="36"/>
    </row>
    <row r="23" spans="1:8">
      <c r="A23" s="36"/>
    </row>
    <row r="24" spans="1:8">
      <c r="A24" s="36"/>
    </row>
    <row r="25" spans="1:8">
      <c r="A25" s="36"/>
    </row>
    <row r="26" spans="1:8">
      <c r="A26" s="36"/>
    </row>
    <row r="27" spans="1:8">
      <c r="A27" s="36"/>
    </row>
    <row r="28" spans="1:8">
      <c r="A28" s="36"/>
    </row>
    <row r="29" spans="1:8">
      <c r="A29" s="36"/>
    </row>
    <row r="30" spans="1:8">
      <c r="A30" s="36"/>
    </row>
    <row r="31" spans="1:8">
      <c r="A31" s="36"/>
    </row>
    <row r="32" spans="1:8">
      <c r="A32" s="36"/>
    </row>
    <row r="33" spans="1:1">
      <c r="A33" s="36"/>
    </row>
    <row r="34" spans="1:1">
      <c r="A34" s="36"/>
    </row>
    <row r="35" spans="1:1">
      <c r="A35" s="36"/>
    </row>
    <row r="36" spans="1:1">
      <c r="A36" s="36"/>
    </row>
    <row r="37" spans="1:1">
      <c r="A37" s="36"/>
    </row>
    <row r="38" spans="1:1">
      <c r="A38" s="36"/>
    </row>
    <row r="39" spans="1:1">
      <c r="A39" s="36"/>
    </row>
    <row r="40" spans="1:1">
      <c r="A40" s="36"/>
    </row>
    <row r="41" spans="1:1">
      <c r="A41" s="36"/>
    </row>
    <row r="42" spans="1:1">
      <c r="A42" s="36"/>
    </row>
    <row r="43" spans="1:1">
      <c r="A43" s="36"/>
    </row>
    <row r="44" spans="1:1">
      <c r="A44" s="36"/>
    </row>
    <row r="45" spans="1:1">
      <c r="A45" s="36"/>
    </row>
    <row r="46" spans="1:1">
      <c r="A46" s="36"/>
    </row>
    <row r="47" spans="1:1">
      <c r="A47" s="36"/>
    </row>
    <row r="48" spans="1:1">
      <c r="A48" s="36"/>
    </row>
    <row r="49" spans="1:1">
      <c r="A49" s="36"/>
    </row>
    <row r="50" spans="1:1">
      <c r="A50" s="36"/>
    </row>
    <row r="51" spans="1:1">
      <c r="A51" s="36"/>
    </row>
    <row r="52" spans="1:1">
      <c r="A52" s="36"/>
    </row>
    <row r="53" spans="1:1">
      <c r="A53" s="36"/>
    </row>
    <row r="54" spans="1:1">
      <c r="A54" s="36"/>
    </row>
    <row r="55" spans="1:1">
      <c r="A55" s="36"/>
    </row>
    <row r="56" spans="1:1">
      <c r="A56" s="36"/>
    </row>
    <row r="57" spans="1:1">
      <c r="A57" s="36"/>
    </row>
    <row r="58" spans="1:1">
      <c r="A58" s="36"/>
    </row>
    <row r="59" spans="1:1">
      <c r="A59" s="36"/>
    </row>
    <row r="60" spans="1:1">
      <c r="A60" s="36"/>
    </row>
    <row r="61" spans="1:1">
      <c r="A61" s="36"/>
    </row>
    <row r="62" spans="1:1">
      <c r="A62" s="36"/>
    </row>
    <row r="63" spans="1:1">
      <c r="A63" s="36"/>
    </row>
    <row r="64" spans="1:1">
      <c r="A64" s="36"/>
    </row>
    <row r="65" spans="1:1">
      <c r="A65" s="36"/>
    </row>
    <row r="66" spans="1:1">
      <c r="A66" s="36"/>
    </row>
    <row r="67" spans="1:1">
      <c r="A67" s="36"/>
    </row>
    <row r="68" spans="1:1">
      <c r="A68" s="36"/>
    </row>
    <row r="69" spans="1:1">
      <c r="A69" s="36"/>
    </row>
    <row r="70" spans="1:1">
      <c r="A70" s="36"/>
    </row>
    <row r="71" spans="1:1">
      <c r="A71" s="36"/>
    </row>
    <row r="72" spans="1:1">
      <c r="A72" s="36"/>
    </row>
    <row r="73" spans="1:1">
      <c r="A73" s="36"/>
    </row>
    <row r="74" spans="1:1">
      <c r="A74" s="36"/>
    </row>
    <row r="75" spans="1:1">
      <c r="A75" s="36"/>
    </row>
    <row r="76" spans="1:1">
      <c r="A76" s="36"/>
    </row>
    <row r="77" spans="1:1">
      <c r="A77" s="36"/>
    </row>
    <row r="78" spans="1:1">
      <c r="A78" s="36"/>
    </row>
    <row r="79" spans="1:1">
      <c r="A79" s="36"/>
    </row>
    <row r="80" spans="1:1">
      <c r="A80" s="36"/>
    </row>
    <row r="81" spans="1:1">
      <c r="A81" s="36"/>
    </row>
    <row r="82" spans="1:1">
      <c r="A82" s="36"/>
    </row>
    <row r="83" spans="1:1">
      <c r="A83" s="36"/>
    </row>
    <row r="84" spans="1:1">
      <c r="A84" s="36"/>
    </row>
    <row r="85" spans="1:1">
      <c r="A85" s="36"/>
    </row>
    <row r="86" spans="1:1">
      <c r="A86" s="36"/>
    </row>
    <row r="87" spans="1:1">
      <c r="A87" s="36"/>
    </row>
    <row r="88" spans="1:1">
      <c r="A88" s="36"/>
    </row>
    <row r="89" spans="1:1">
      <c r="A89" s="36"/>
    </row>
    <row r="90" spans="1:1">
      <c r="A90" s="36"/>
    </row>
    <row r="91" spans="1:1">
      <c r="A91" s="36"/>
    </row>
    <row r="92" spans="1:1">
      <c r="A92" s="36"/>
    </row>
    <row r="93" spans="1:1">
      <c r="A93" s="36"/>
    </row>
    <row r="94" spans="1:1">
      <c r="A94" s="36"/>
    </row>
    <row r="95" spans="1:1">
      <c r="A95" s="36"/>
    </row>
    <row r="96" spans="1:1">
      <c r="A96" s="36"/>
    </row>
    <row r="97" spans="1:1">
      <c r="A97" s="36"/>
    </row>
    <row r="98" spans="1:1">
      <c r="A98" s="36"/>
    </row>
    <row r="99" spans="1:1">
      <c r="A99" s="36"/>
    </row>
    <row r="100" spans="1:1">
      <c r="A100" s="36"/>
    </row>
    <row r="101" spans="1:1">
      <c r="A101" s="36"/>
    </row>
    <row r="102" spans="1:1">
      <c r="A102" s="36"/>
    </row>
    <row r="103" spans="1:1">
      <c r="A103" s="36"/>
    </row>
    <row r="104" spans="1:1">
      <c r="A104" s="36"/>
    </row>
    <row r="105" spans="1:1">
      <c r="A105" s="36"/>
    </row>
    <row r="106" spans="1:1">
      <c r="A106" s="36"/>
    </row>
    <row r="107" spans="1:1">
      <c r="A107" s="36"/>
    </row>
    <row r="108" spans="1:1">
      <c r="A108" s="36"/>
    </row>
    <row r="109" spans="1:1">
      <c r="A109" s="36"/>
    </row>
    <row r="110" spans="1:1">
      <c r="A110" s="36"/>
    </row>
    <row r="111" spans="1:1">
      <c r="A111" s="36"/>
    </row>
    <row r="112" spans="1:1">
      <c r="A112" s="36"/>
    </row>
    <row r="113" spans="1:1">
      <c r="A113" s="36"/>
    </row>
    <row r="114" spans="1:1">
      <c r="A114" s="36"/>
    </row>
    <row r="115" spans="1:1">
      <c r="A115" s="36"/>
    </row>
    <row r="116" spans="1:1">
      <c r="A116" s="36"/>
    </row>
    <row r="117" spans="1:1">
      <c r="A117" s="36"/>
    </row>
    <row r="118" spans="1:1">
      <c r="A118" s="36"/>
    </row>
    <row r="119" spans="1:1">
      <c r="A119" s="36"/>
    </row>
    <row r="120" spans="1:1">
      <c r="A120" s="36"/>
    </row>
    <row r="121" spans="1:1">
      <c r="A121" s="36"/>
    </row>
    <row r="122" spans="1:1">
      <c r="A122" s="36"/>
    </row>
    <row r="123" spans="1:1">
      <c r="A123" s="36"/>
    </row>
    <row r="124" spans="1:1">
      <c r="A124" s="36"/>
    </row>
    <row r="125" spans="1:1">
      <c r="A125" s="36"/>
    </row>
    <row r="126" spans="1:1">
      <c r="A126" s="36"/>
    </row>
    <row r="127" spans="1:1">
      <c r="A127" s="36"/>
    </row>
    <row r="128" spans="1:1">
      <c r="A128" s="36"/>
    </row>
    <row r="129" spans="1:1">
      <c r="A129" s="36"/>
    </row>
    <row r="130" spans="1:1">
      <c r="A130" s="36"/>
    </row>
    <row r="131" spans="1:1">
      <c r="A131" s="36"/>
    </row>
    <row r="132" spans="1:1">
      <c r="A132" s="36"/>
    </row>
    <row r="133" spans="1:1">
      <c r="A133" s="36"/>
    </row>
    <row r="134" spans="1:1">
      <c r="A134" s="36"/>
    </row>
    <row r="135" spans="1:1">
      <c r="A135" s="36"/>
    </row>
    <row r="136" spans="1:1">
      <c r="A136" s="36"/>
    </row>
    <row r="137" spans="1:1">
      <c r="A137" s="36"/>
    </row>
    <row r="138" spans="1:1">
      <c r="A138" s="36"/>
    </row>
    <row r="139" spans="1:1">
      <c r="A139" s="36"/>
    </row>
    <row r="140" spans="1:1">
      <c r="A140" s="36"/>
    </row>
    <row r="141" spans="1:1">
      <c r="A141" s="36"/>
    </row>
    <row r="142" spans="1:1">
      <c r="A142" s="36"/>
    </row>
    <row r="143" spans="1:1">
      <c r="A143" s="36"/>
    </row>
    <row r="144" spans="1:1">
      <c r="A144" s="36"/>
    </row>
    <row r="145" spans="1:1">
      <c r="A145" s="36"/>
    </row>
    <row r="146" spans="1:1">
      <c r="A146" s="36"/>
    </row>
    <row r="147" spans="1:1">
      <c r="A147" s="36"/>
    </row>
    <row r="148" spans="1:1">
      <c r="A148" s="36"/>
    </row>
    <row r="149" spans="1:1">
      <c r="A149" s="36"/>
    </row>
    <row r="150" spans="1:1">
      <c r="A150" s="36"/>
    </row>
    <row r="151" spans="1:1">
      <c r="A151" s="36"/>
    </row>
    <row r="152" spans="1:1">
      <c r="A152" s="36"/>
    </row>
    <row r="153" spans="1:1">
      <c r="A153" s="36"/>
    </row>
    <row r="154" spans="1:1">
      <c r="A154" s="36"/>
    </row>
    <row r="155" spans="1:1">
      <c r="A155" s="36"/>
    </row>
    <row r="156" spans="1:1">
      <c r="A156" s="36"/>
    </row>
    <row r="157" spans="1:1">
      <c r="A157" s="36"/>
    </row>
    <row r="158" spans="1:1">
      <c r="A158" s="36"/>
    </row>
    <row r="159" spans="1:1">
      <c r="A159" s="36"/>
    </row>
    <row r="160" spans="1:1">
      <c r="A160" s="36"/>
    </row>
    <row r="161" spans="1:1">
      <c r="A161" s="36"/>
    </row>
    <row r="162" spans="1:1">
      <c r="A162" s="36"/>
    </row>
    <row r="163" spans="1:1">
      <c r="A163" s="36"/>
    </row>
    <row r="164" spans="1:1">
      <c r="A164" s="36"/>
    </row>
    <row r="165" spans="1:1">
      <c r="A165" s="36"/>
    </row>
    <row r="166" spans="1:1">
      <c r="A166" s="36"/>
    </row>
    <row r="167" spans="1:1">
      <c r="A167" s="36"/>
    </row>
    <row r="168" spans="1:1">
      <c r="A168" s="36"/>
    </row>
    <row r="169" spans="1:1">
      <c r="A169" s="36"/>
    </row>
    <row r="170" spans="1:1">
      <c r="A170" s="36"/>
    </row>
    <row r="171" spans="1:1">
      <c r="A171" s="36"/>
    </row>
    <row r="172" spans="1:1">
      <c r="A172" s="36"/>
    </row>
    <row r="173" spans="1:1">
      <c r="A173" s="36"/>
    </row>
    <row r="174" spans="1:1">
      <c r="A174" s="36"/>
    </row>
    <row r="175" spans="1:1">
      <c r="A175" s="36"/>
    </row>
    <row r="176" spans="1:1">
      <c r="A176" s="36"/>
    </row>
    <row r="177" spans="1:1">
      <c r="A177" s="36"/>
    </row>
    <row r="178" spans="1:1">
      <c r="A178" s="36"/>
    </row>
    <row r="179" spans="1:1">
      <c r="A179" s="36"/>
    </row>
    <row r="180" spans="1:1">
      <c r="A180" s="36"/>
    </row>
    <row r="181" spans="1:1">
      <c r="A181" s="36"/>
    </row>
    <row r="182" spans="1:1">
      <c r="A182" s="36"/>
    </row>
  </sheetData>
  <mergeCells count="10">
    <mergeCell ref="A19:H19"/>
    <mergeCell ref="F16:G16"/>
    <mergeCell ref="A3:A4"/>
    <mergeCell ref="A1:G1"/>
    <mergeCell ref="B3:B4"/>
    <mergeCell ref="A2:G2"/>
    <mergeCell ref="C3:C4"/>
    <mergeCell ref="D3:G3"/>
    <mergeCell ref="C16:D16"/>
    <mergeCell ref="F15:G15"/>
  </mergeCells>
  <phoneticPr fontId="0" type="noConversion"/>
  <pageMargins left="0.39370078740157483" right="0.39370078740157483" top="0.59055118110236227" bottom="0.59055118110236227" header="0" footer="0.11811023622047245"/>
  <pageSetup paperSize="9" scale="60" firstPageNumber="9" orientation="portrait" useFirstPageNumber="1" r:id="rId1"/>
  <headerFooter alignWithMargins="0"/>
  <ignoredErrors>
    <ignoredError sqref="B7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3"/>
    <pageSetUpPr fitToPage="1"/>
  </sheetPr>
  <dimension ref="A1:I28"/>
  <sheetViews>
    <sheetView view="pageBreakPreview" topLeftCell="A19" zoomScale="75" zoomScaleNormal="75" zoomScaleSheetLayoutView="70" workbookViewId="0">
      <selection activeCell="E23" sqref="E23:F23"/>
    </sheetView>
  </sheetViews>
  <sheetFormatPr defaultColWidth="9.1796875" defaultRowHeight="20.5"/>
  <cols>
    <col min="1" max="1" width="87.26953125" style="53" customWidth="1"/>
    <col min="2" max="2" width="16.54296875" style="53" customWidth="1"/>
    <col min="3" max="3" width="19.7265625" style="53" customWidth="1"/>
    <col min="4" max="4" width="20" style="178" customWidth="1"/>
    <col min="5" max="5" width="19.7265625" style="178" customWidth="1"/>
    <col min="6" max="6" width="39" style="53" customWidth="1"/>
    <col min="7" max="7" width="9.54296875" style="53" customWidth="1"/>
    <col min="8" max="8" width="9.1796875" style="53"/>
    <col min="9" max="9" width="27.1796875" style="53" customWidth="1"/>
    <col min="10" max="16384" width="9.1796875" style="53"/>
  </cols>
  <sheetData>
    <row r="1" spans="1:6" ht="19.5" customHeight="1">
      <c r="A1" s="339" t="s">
        <v>377</v>
      </c>
      <c r="B1" s="339"/>
      <c r="C1" s="339"/>
      <c r="D1" s="339"/>
      <c r="E1" s="339"/>
      <c r="F1" s="339"/>
    </row>
    <row r="2" spans="1:6" ht="24" customHeight="1"/>
    <row r="3" spans="1:6" ht="36" customHeight="1">
      <c r="A3" s="340" t="s">
        <v>287</v>
      </c>
      <c r="B3" s="340" t="s">
        <v>0</v>
      </c>
      <c r="C3" s="340" t="s">
        <v>100</v>
      </c>
      <c r="D3" s="337" t="s">
        <v>355</v>
      </c>
      <c r="E3" s="342" t="s">
        <v>353</v>
      </c>
      <c r="F3" s="340" t="s">
        <v>322</v>
      </c>
    </row>
    <row r="4" spans="1:6" ht="36" customHeight="1">
      <c r="A4" s="341"/>
      <c r="B4" s="341"/>
      <c r="C4" s="341"/>
      <c r="D4" s="337"/>
      <c r="E4" s="343"/>
      <c r="F4" s="341"/>
    </row>
    <row r="5" spans="1:6" ht="20.25" customHeight="1">
      <c r="A5" s="54">
        <v>1</v>
      </c>
      <c r="B5" s="54">
        <v>2</v>
      </c>
      <c r="C5" s="54">
        <v>3</v>
      </c>
      <c r="D5" s="54">
        <v>4</v>
      </c>
      <c r="E5" s="54">
        <v>5</v>
      </c>
      <c r="F5" s="54">
        <v>6</v>
      </c>
    </row>
    <row r="6" spans="1:6">
      <c r="A6" s="344" t="s">
        <v>190</v>
      </c>
      <c r="B6" s="345"/>
      <c r="C6" s="345"/>
      <c r="D6" s="345"/>
      <c r="E6" s="345"/>
      <c r="F6" s="346"/>
    </row>
    <row r="7" spans="1:6" ht="63.75" customHeight="1">
      <c r="A7" s="32" t="s">
        <v>349</v>
      </c>
      <c r="B7" s="249">
        <v>5000</v>
      </c>
      <c r="C7" s="55" t="s">
        <v>340</v>
      </c>
      <c r="D7" s="269">
        <f>'1. Фін результат'!C58/'1. Фін результат'!C9</f>
        <v>7.4113797491365208E-2</v>
      </c>
      <c r="E7" s="269">
        <f>'1. Фін результат'!E58/'1. Фін результат'!E9</f>
        <v>-5.4848895906068625E-2</v>
      </c>
      <c r="F7" s="56"/>
    </row>
    <row r="8" spans="1:6" ht="63.75" customHeight="1">
      <c r="A8" s="32" t="s">
        <v>350</v>
      </c>
      <c r="B8" s="249">
        <v>5010</v>
      </c>
      <c r="C8" s="55" t="s">
        <v>340</v>
      </c>
      <c r="D8" s="269">
        <f>'1. Фін результат'!C173/'1. Фін результат'!C9</f>
        <v>5.4371932375931652E-2</v>
      </c>
      <c r="E8" s="269">
        <f>'1. Фін результат'!E173/'1. Фін результат'!E9</f>
        <v>-9.1963352531744091E-2</v>
      </c>
      <c r="F8" s="56"/>
    </row>
    <row r="9" spans="1:6" ht="60.75" customHeight="1">
      <c r="A9" s="57" t="s">
        <v>498</v>
      </c>
      <c r="B9" s="249">
        <v>5020</v>
      </c>
      <c r="C9" s="55" t="s">
        <v>340</v>
      </c>
      <c r="D9" s="270">
        <f>'1. Фін результат'!C157/'фінплан - зведені показники'!C70</f>
        <v>9.2949629750641494E-5</v>
      </c>
      <c r="E9" s="270">
        <f>'1. Фін результат'!E157/'фінплан - зведені показники'!E70</f>
        <v>-2.3772434812055536E-2</v>
      </c>
      <c r="F9" s="56" t="s">
        <v>341</v>
      </c>
    </row>
    <row r="10" spans="1:6" ht="63.75" customHeight="1">
      <c r="A10" s="57" t="s">
        <v>499</v>
      </c>
      <c r="B10" s="249">
        <v>5030</v>
      </c>
      <c r="C10" s="55" t="s">
        <v>340</v>
      </c>
      <c r="D10" s="270">
        <f>'1. Фін результат'!C157/'фінплан - зведені показники'!C76</f>
        <v>1.0820594542485589E-4</v>
      </c>
      <c r="E10" s="270">
        <f>'1. Фін результат'!E157/'фінплан - зведені показники'!E76</f>
        <v>-2.5235847845400904E-2</v>
      </c>
      <c r="F10" s="56"/>
    </row>
    <row r="11" spans="1:6" ht="68.25" customHeight="1">
      <c r="A11" s="57" t="s">
        <v>500</v>
      </c>
      <c r="B11" s="249">
        <v>5040</v>
      </c>
      <c r="C11" s="55" t="s">
        <v>101</v>
      </c>
      <c r="D11" s="270">
        <f>'1. Фін результат'!C157/'1. Фін результат'!C9</f>
        <v>5.9989092892201413E-4</v>
      </c>
      <c r="E11" s="270">
        <f>'1. Фін результат'!E157/'1. Фін результат'!E9</f>
        <v>-0.10927527852520626</v>
      </c>
      <c r="F11" s="56" t="s">
        <v>342</v>
      </c>
    </row>
    <row r="12" spans="1:6" ht="42.75" customHeight="1">
      <c r="A12" s="344" t="s">
        <v>192</v>
      </c>
      <c r="B12" s="345"/>
      <c r="C12" s="345"/>
      <c r="D12" s="345"/>
      <c r="E12" s="345"/>
      <c r="F12" s="346"/>
    </row>
    <row r="13" spans="1:6" ht="82.5" customHeight="1">
      <c r="A13" s="56" t="s">
        <v>333</v>
      </c>
      <c r="B13" s="249">
        <v>5100</v>
      </c>
      <c r="C13" s="55"/>
      <c r="D13" s="271">
        <f>'фінплан - зведені показники'!C71+'фінплан - зведені показники'!C72/'фінплан - зведені показники'!C38</f>
        <v>1174.0802407221665</v>
      </c>
      <c r="E13" s="271">
        <f>'фінплан - зведені показники'!E71+'фінплан - зведені показники'!E72/'фінплан - зведені показники'!E38</f>
        <v>8897.1773667029374</v>
      </c>
      <c r="F13" s="56"/>
    </row>
    <row r="14" spans="1:6" ht="128.25" customHeight="1">
      <c r="A14" s="56" t="s">
        <v>329</v>
      </c>
      <c r="B14" s="249">
        <v>5110</v>
      </c>
      <c r="C14" s="55" t="s">
        <v>177</v>
      </c>
      <c r="D14" s="271">
        <f>'фінплан - зведені показники'!C76/'фінплан - зведені показники'!C72</f>
        <v>33.10257245197004</v>
      </c>
      <c r="E14" s="271">
        <f>'фінплан - зведені показники'!E76/'фінплан - зведені показники'!E72</f>
        <v>25.833897180762854</v>
      </c>
      <c r="F14" s="56" t="s">
        <v>343</v>
      </c>
    </row>
    <row r="15" spans="1:6" ht="171.75" customHeight="1">
      <c r="A15" s="56" t="s">
        <v>330</v>
      </c>
      <c r="B15" s="249">
        <v>5120</v>
      </c>
      <c r="C15" s="55" t="s">
        <v>177</v>
      </c>
      <c r="D15" s="271">
        <f>'фінплан - зведені показники'!C68/'фінплан - зведені показники'!C72</f>
        <v>4.3061977640290889</v>
      </c>
      <c r="E15" s="271">
        <f>'фінплан - зведені показники'!E68/'фінплан - зведені показники'!E72</f>
        <v>3.6220895522388061</v>
      </c>
      <c r="F15" s="56" t="s">
        <v>345</v>
      </c>
    </row>
    <row r="16" spans="1:6" ht="36.75" customHeight="1">
      <c r="A16" s="344" t="s">
        <v>191</v>
      </c>
      <c r="B16" s="345"/>
      <c r="C16" s="345"/>
      <c r="D16" s="345"/>
      <c r="E16" s="345"/>
      <c r="F16" s="346"/>
    </row>
    <row r="17" spans="1:9" ht="48" customHeight="1">
      <c r="A17" s="56" t="s">
        <v>331</v>
      </c>
      <c r="B17" s="249">
        <v>5200</v>
      </c>
      <c r="C17" s="55"/>
      <c r="D17" s="271">
        <f>'4. Кап. інвестиції'!C6/'1. Фін результат'!C180</f>
        <v>0.72397094430992737</v>
      </c>
      <c r="E17" s="271">
        <f>'4. Кап. інвестиції'!E6/'1. Фін результат'!E180</f>
        <v>6.7995910020449903</v>
      </c>
      <c r="F17" s="56"/>
    </row>
    <row r="18" spans="1:9" ht="81" customHeight="1">
      <c r="A18" s="56" t="s">
        <v>362</v>
      </c>
      <c r="B18" s="249">
        <v>5210</v>
      </c>
      <c r="C18" s="55"/>
      <c r="D18" s="271">
        <f>'4. Кап. інвестиції'!C6/'фінплан - зведені показники'!C31</f>
        <v>2.1741501545173604E-2</v>
      </c>
      <c r="E18" s="271">
        <f>'4. Кап. інвестиції'!E6/'фінплан - зведені показники'!E31</f>
        <v>0.12323304202154077</v>
      </c>
      <c r="F18" s="56"/>
    </row>
    <row r="19" spans="1:9" ht="65.25" customHeight="1">
      <c r="A19" s="56" t="s">
        <v>351</v>
      </c>
      <c r="B19" s="249">
        <v>5220</v>
      </c>
      <c r="C19" s="55" t="s">
        <v>340</v>
      </c>
      <c r="D19" s="271">
        <f>137637/413322</f>
        <v>0.33300187263199155</v>
      </c>
      <c r="E19" s="271">
        <f>195927/553696</f>
        <v>0.35385301681789283</v>
      </c>
      <c r="F19" s="56" t="s">
        <v>344</v>
      </c>
    </row>
    <row r="20" spans="1:9" ht="35.25" customHeight="1">
      <c r="A20" s="344" t="s">
        <v>332</v>
      </c>
      <c r="B20" s="345"/>
      <c r="C20" s="345"/>
      <c r="D20" s="345"/>
      <c r="E20" s="345"/>
      <c r="F20" s="346"/>
    </row>
    <row r="21" spans="1:9" ht="110.25" customHeight="1">
      <c r="A21" s="57" t="s">
        <v>352</v>
      </c>
      <c r="B21" s="249">
        <v>5300</v>
      </c>
      <c r="C21" s="55"/>
      <c r="D21" s="264"/>
      <c r="E21" s="264"/>
      <c r="F21" s="58"/>
    </row>
    <row r="22" spans="1:9" ht="124.5" customHeight="1"/>
    <row r="23" spans="1:9" s="24" customFormat="1" ht="25.5" customHeight="1">
      <c r="A23" s="125" t="s">
        <v>620</v>
      </c>
      <c r="B23" s="122"/>
      <c r="D23" s="160"/>
      <c r="E23" s="306" t="s">
        <v>621</v>
      </c>
      <c r="F23" s="306"/>
    </row>
    <row r="24" spans="1:9" s="35" customFormat="1" ht="20.149999999999999" customHeight="1">
      <c r="A24" s="29" t="s">
        <v>388</v>
      </c>
      <c r="B24" s="306" t="s">
        <v>78</v>
      </c>
      <c r="C24" s="306"/>
      <c r="D24" s="306"/>
      <c r="E24" s="306" t="s">
        <v>326</v>
      </c>
      <c r="F24" s="306"/>
      <c r="G24" s="24"/>
    </row>
    <row r="26" spans="1:9">
      <c r="I26" s="22"/>
    </row>
    <row r="27" spans="1:9" s="115" customFormat="1" ht="24">
      <c r="A27" s="333"/>
      <c r="B27" s="333"/>
      <c r="C27" s="333"/>
      <c r="D27" s="333"/>
      <c r="E27" s="333"/>
      <c r="F27" s="333"/>
      <c r="G27" s="333"/>
      <c r="H27" s="333"/>
    </row>
    <row r="28" spans="1:9" s="35" customFormat="1">
      <c r="A28" s="29"/>
      <c r="B28" s="24"/>
      <c r="C28" s="306"/>
      <c r="D28" s="306"/>
      <c r="E28" s="160"/>
      <c r="F28" s="28"/>
    </row>
  </sheetData>
  <mergeCells count="16">
    <mergeCell ref="A27:H27"/>
    <mergeCell ref="C28:D28"/>
    <mergeCell ref="A1:F1"/>
    <mergeCell ref="A3:A4"/>
    <mergeCell ref="B3:B4"/>
    <mergeCell ref="C3:C4"/>
    <mergeCell ref="F3:F4"/>
    <mergeCell ref="D3:D4"/>
    <mergeCell ref="E3:E4"/>
    <mergeCell ref="A6:F6"/>
    <mergeCell ref="A12:F12"/>
    <mergeCell ref="A16:F16"/>
    <mergeCell ref="B24:D24"/>
    <mergeCell ref="E24:F24"/>
    <mergeCell ref="A20:F20"/>
    <mergeCell ref="E23:F23"/>
  </mergeCells>
  <phoneticPr fontId="3" type="noConversion"/>
  <pageMargins left="0.39370078740157483" right="0.39370078740157483" top="0.59055118110236227" bottom="0.39370078740157483" header="0.11811023622047245" footer="0.31496062992125984"/>
  <pageSetup paperSize="9" scale="48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3"/>
  </sheetPr>
  <dimension ref="A1:T92"/>
  <sheetViews>
    <sheetView view="pageBreakPreview" topLeftCell="A50" zoomScale="55" zoomScaleNormal="75" zoomScaleSheetLayoutView="55" workbookViewId="0">
      <selection activeCell="J20" sqref="J20:K20"/>
    </sheetView>
  </sheetViews>
  <sheetFormatPr defaultColWidth="9.1796875" defaultRowHeight="20.5" outlineLevelRow="1"/>
  <cols>
    <col min="1" max="1" width="44.81640625" style="179" customWidth="1"/>
    <col min="2" max="2" width="13.54296875" style="229" customWidth="1"/>
    <col min="3" max="3" width="18.54296875" style="179" customWidth="1"/>
    <col min="4" max="4" width="16.1796875" style="179" customWidth="1"/>
    <col min="5" max="5" width="15.453125" style="179" customWidth="1"/>
    <col min="6" max="6" width="16.54296875" style="179" customWidth="1"/>
    <col min="7" max="7" width="15.26953125" style="179" customWidth="1"/>
    <col min="8" max="8" width="16.54296875" style="179" customWidth="1"/>
    <col min="9" max="9" width="16.1796875" style="179" customWidth="1"/>
    <col min="10" max="10" width="16.453125" style="179" customWidth="1"/>
    <col min="11" max="11" width="16.54296875" style="179" customWidth="1"/>
    <col min="12" max="12" width="16.81640625" style="179" customWidth="1"/>
    <col min="13" max="13" width="14.81640625" style="179" customWidth="1"/>
    <col min="14" max="14" width="16.7265625" style="179" customWidth="1"/>
    <col min="15" max="15" width="14.26953125" style="179" customWidth="1"/>
    <col min="16" max="20" width="9.1796875" style="35" hidden="1" customWidth="1"/>
    <col min="21" max="16384" width="9.1796875" style="35"/>
  </cols>
  <sheetData>
    <row r="1" spans="1:15" ht="18.75" hidden="1" customHeight="1" outlineLevel="1">
      <c r="N1" s="348" t="s">
        <v>241</v>
      </c>
      <c r="O1" s="348"/>
    </row>
    <row r="2" spans="1:15" hidden="1" outlineLevel="1">
      <c r="N2" s="348" t="s">
        <v>261</v>
      </c>
      <c r="O2" s="348"/>
    </row>
    <row r="3" spans="1:15" collapsed="1">
      <c r="A3" s="349" t="s">
        <v>618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</row>
    <row r="4" spans="1:15" ht="3.75" customHeight="1">
      <c r="A4" s="349"/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49"/>
      <c r="O4" s="349"/>
    </row>
    <row r="5" spans="1:15">
      <c r="A5" s="350" t="s">
        <v>537</v>
      </c>
      <c r="B5" s="350"/>
      <c r="C5" s="350"/>
      <c r="D5" s="350"/>
      <c r="E5" s="350"/>
      <c r="F5" s="350"/>
      <c r="G5" s="350"/>
      <c r="H5" s="350"/>
      <c r="I5" s="350"/>
      <c r="J5" s="350"/>
      <c r="K5" s="350"/>
      <c r="L5" s="350"/>
      <c r="M5" s="350"/>
      <c r="N5" s="350"/>
      <c r="O5" s="350"/>
    </row>
    <row r="6" spans="1:15" ht="17.25" customHeight="1">
      <c r="A6" s="318" t="s">
        <v>134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</row>
    <row r="7" spans="1:15" ht="25" customHeight="1">
      <c r="A7" s="350" t="s">
        <v>378</v>
      </c>
      <c r="B7" s="350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</row>
    <row r="8" spans="1:15" ht="84.75" customHeight="1">
      <c r="A8" s="351" t="s">
        <v>619</v>
      </c>
      <c r="B8" s="352"/>
      <c r="C8" s="352"/>
      <c r="D8" s="352"/>
      <c r="E8" s="352"/>
      <c r="F8" s="352"/>
      <c r="G8" s="352"/>
      <c r="H8" s="352"/>
      <c r="I8" s="352"/>
      <c r="J8" s="352"/>
      <c r="K8" s="352"/>
      <c r="L8" s="352"/>
      <c r="M8" s="352"/>
      <c r="N8" s="352"/>
      <c r="O8" s="352"/>
    </row>
    <row r="9" spans="1:15" ht="42.75" customHeight="1">
      <c r="B9" s="179"/>
    </row>
    <row r="10" spans="1:15" s="24" customFormat="1" ht="40.5" customHeight="1">
      <c r="A10" s="249" t="s">
        <v>287</v>
      </c>
      <c r="B10" s="337" t="s">
        <v>136</v>
      </c>
      <c r="C10" s="337"/>
      <c r="D10" s="337" t="s">
        <v>31</v>
      </c>
      <c r="E10" s="337"/>
      <c r="F10" s="337" t="s">
        <v>323</v>
      </c>
      <c r="G10" s="337"/>
      <c r="H10" s="337" t="s">
        <v>324</v>
      </c>
      <c r="I10" s="337"/>
      <c r="J10" s="337" t="s">
        <v>325</v>
      </c>
      <c r="K10" s="337"/>
      <c r="L10" s="337" t="s">
        <v>292</v>
      </c>
      <c r="M10" s="337"/>
      <c r="N10" s="337" t="s">
        <v>293</v>
      </c>
      <c r="O10" s="337"/>
    </row>
    <row r="11" spans="1:15" s="24" customFormat="1" ht="17.25" customHeight="1">
      <c r="A11" s="249">
        <v>1</v>
      </c>
      <c r="B11" s="353">
        <v>2</v>
      </c>
      <c r="C11" s="354"/>
      <c r="D11" s="353">
        <v>3</v>
      </c>
      <c r="E11" s="354"/>
      <c r="F11" s="353">
        <v>4</v>
      </c>
      <c r="G11" s="354"/>
      <c r="H11" s="353">
        <v>5</v>
      </c>
      <c r="I11" s="354"/>
      <c r="J11" s="353">
        <v>6</v>
      </c>
      <c r="K11" s="354"/>
      <c r="L11" s="353">
        <v>7</v>
      </c>
      <c r="M11" s="354"/>
      <c r="N11" s="337">
        <v>8</v>
      </c>
      <c r="O11" s="337"/>
    </row>
    <row r="12" spans="1:15" s="24" customFormat="1">
      <c r="A12" s="364" t="s">
        <v>135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6"/>
    </row>
    <row r="13" spans="1:15" s="24" customFormat="1" ht="20.149999999999999" customHeight="1">
      <c r="A13" s="32" t="s">
        <v>294</v>
      </c>
      <c r="B13" s="347">
        <v>18</v>
      </c>
      <c r="C13" s="347"/>
      <c r="D13" s="347">
        <v>16</v>
      </c>
      <c r="E13" s="347"/>
      <c r="F13" s="347">
        <v>18</v>
      </c>
      <c r="G13" s="347"/>
      <c r="H13" s="347">
        <v>18</v>
      </c>
      <c r="I13" s="347"/>
      <c r="J13" s="347">
        <v>16</v>
      </c>
      <c r="K13" s="347"/>
      <c r="L13" s="347">
        <f t="shared" ref="L13:L18" si="0">J13-H13</f>
        <v>-2</v>
      </c>
      <c r="M13" s="347"/>
      <c r="N13" s="355">
        <f t="shared" ref="N13:N18" si="1">J13/H13*100</f>
        <v>88.888888888888886</v>
      </c>
      <c r="O13" s="355"/>
    </row>
    <row r="14" spans="1:15" s="24" customFormat="1" ht="20.149999999999999" customHeight="1">
      <c r="A14" s="32" t="s">
        <v>295</v>
      </c>
      <c r="B14" s="347">
        <v>17</v>
      </c>
      <c r="C14" s="347"/>
      <c r="D14" s="347">
        <v>17</v>
      </c>
      <c r="E14" s="347"/>
      <c r="F14" s="347">
        <v>18</v>
      </c>
      <c r="G14" s="347"/>
      <c r="H14" s="347">
        <v>18</v>
      </c>
      <c r="I14" s="347"/>
      <c r="J14" s="347">
        <v>17</v>
      </c>
      <c r="K14" s="347"/>
      <c r="L14" s="347">
        <f t="shared" si="0"/>
        <v>-1</v>
      </c>
      <c r="M14" s="347"/>
      <c r="N14" s="355">
        <f t="shared" si="1"/>
        <v>94.444444444444443</v>
      </c>
      <c r="O14" s="355"/>
    </row>
    <row r="15" spans="1:15" s="24" customFormat="1" ht="20.149999999999999" customHeight="1">
      <c r="A15" s="32" t="s">
        <v>296</v>
      </c>
      <c r="B15" s="347">
        <v>2</v>
      </c>
      <c r="C15" s="347"/>
      <c r="D15" s="347">
        <v>2</v>
      </c>
      <c r="E15" s="347"/>
      <c r="F15" s="347">
        <v>5</v>
      </c>
      <c r="G15" s="347"/>
      <c r="H15" s="347">
        <v>5</v>
      </c>
      <c r="I15" s="347"/>
      <c r="J15" s="347">
        <v>2</v>
      </c>
      <c r="K15" s="347"/>
      <c r="L15" s="347">
        <f t="shared" si="0"/>
        <v>-3</v>
      </c>
      <c r="M15" s="347"/>
      <c r="N15" s="355">
        <f t="shared" si="1"/>
        <v>40</v>
      </c>
      <c r="O15" s="355"/>
    </row>
    <row r="16" spans="1:15" s="24" customFormat="1" ht="20.149999999999999" customHeight="1">
      <c r="A16" s="32" t="s">
        <v>297</v>
      </c>
      <c r="B16" s="347">
        <v>3</v>
      </c>
      <c r="C16" s="347"/>
      <c r="D16" s="347">
        <v>2</v>
      </c>
      <c r="E16" s="347"/>
      <c r="F16" s="347">
        <v>3</v>
      </c>
      <c r="G16" s="347"/>
      <c r="H16" s="347">
        <v>3</v>
      </c>
      <c r="I16" s="347"/>
      <c r="J16" s="347">
        <v>2</v>
      </c>
      <c r="K16" s="347"/>
      <c r="L16" s="347">
        <f t="shared" si="0"/>
        <v>-1</v>
      </c>
      <c r="M16" s="347"/>
      <c r="N16" s="355">
        <f t="shared" si="1"/>
        <v>66.666666666666657</v>
      </c>
      <c r="O16" s="355"/>
    </row>
    <row r="17" spans="1:15" s="24" customFormat="1" ht="20.149999999999999" customHeight="1">
      <c r="A17" s="32" t="s">
        <v>298</v>
      </c>
      <c r="B17" s="347">
        <v>101</v>
      </c>
      <c r="C17" s="347"/>
      <c r="D17" s="347">
        <v>74</v>
      </c>
      <c r="E17" s="347"/>
      <c r="F17" s="347">
        <v>97</v>
      </c>
      <c r="G17" s="347"/>
      <c r="H17" s="347">
        <v>97</v>
      </c>
      <c r="I17" s="347"/>
      <c r="J17" s="347">
        <v>75</v>
      </c>
      <c r="K17" s="347"/>
      <c r="L17" s="347">
        <f t="shared" si="0"/>
        <v>-22</v>
      </c>
      <c r="M17" s="347"/>
      <c r="N17" s="355">
        <f t="shared" si="1"/>
        <v>77.319587628865989</v>
      </c>
      <c r="O17" s="355"/>
    </row>
    <row r="18" spans="1:15" s="24" customFormat="1" ht="20.149999999999999" customHeight="1">
      <c r="A18" s="32" t="s">
        <v>299</v>
      </c>
      <c r="B18" s="347">
        <v>17</v>
      </c>
      <c r="C18" s="347"/>
      <c r="D18" s="347">
        <v>18</v>
      </c>
      <c r="E18" s="347"/>
      <c r="F18" s="347">
        <v>17</v>
      </c>
      <c r="G18" s="347"/>
      <c r="H18" s="347">
        <v>17</v>
      </c>
      <c r="I18" s="347"/>
      <c r="J18" s="347">
        <v>18</v>
      </c>
      <c r="K18" s="347"/>
      <c r="L18" s="347">
        <f t="shared" si="0"/>
        <v>1</v>
      </c>
      <c r="M18" s="347"/>
      <c r="N18" s="355">
        <f t="shared" si="1"/>
        <v>105.88235294117648</v>
      </c>
      <c r="O18" s="355"/>
    </row>
    <row r="19" spans="1:15" s="24" customFormat="1">
      <c r="A19" s="364" t="s">
        <v>364</v>
      </c>
      <c r="B19" s="365"/>
      <c r="C19" s="365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6"/>
    </row>
    <row r="20" spans="1:15" s="24" customFormat="1" ht="20.149999999999999" customHeight="1">
      <c r="A20" s="32" t="s">
        <v>595</v>
      </c>
      <c r="B20" s="353">
        <v>404</v>
      </c>
      <c r="C20" s="354"/>
      <c r="D20" s="362">
        <v>221</v>
      </c>
      <c r="E20" s="363"/>
      <c r="F20" s="347">
        <v>536</v>
      </c>
      <c r="G20" s="347"/>
      <c r="H20" s="347">
        <f>F20/2</f>
        <v>268</v>
      </c>
      <c r="I20" s="347"/>
      <c r="J20" s="347">
        <v>268</v>
      </c>
      <c r="K20" s="347"/>
      <c r="L20" s="347">
        <f>J20-H20</f>
        <v>0</v>
      </c>
      <c r="M20" s="347"/>
      <c r="N20" s="355">
        <f>J20/H20*100</f>
        <v>100</v>
      </c>
      <c r="O20" s="355"/>
    </row>
    <row r="21" spans="1:15" s="24" customFormat="1" ht="40.5" customHeight="1">
      <c r="A21" s="32" t="s">
        <v>300</v>
      </c>
      <c r="B21" s="353">
        <v>4642</v>
      </c>
      <c r="C21" s="354"/>
      <c r="D21" s="362">
        <v>2141</v>
      </c>
      <c r="E21" s="363"/>
      <c r="F21" s="347">
        <v>6984</v>
      </c>
      <c r="G21" s="347"/>
      <c r="H21" s="347">
        <f>F21/2</f>
        <v>3492</v>
      </c>
      <c r="I21" s="347"/>
      <c r="J21" s="347">
        <f>'1. Фін результат'!E78-'6.1. Інша інфо_1'!J20:K20+244</f>
        <v>3507</v>
      </c>
      <c r="K21" s="347"/>
      <c r="L21" s="347">
        <f>J21-H21</f>
        <v>15</v>
      </c>
      <c r="M21" s="347"/>
      <c r="N21" s="355">
        <f>J21/H21*100</f>
        <v>100.42955326460481</v>
      </c>
      <c r="O21" s="355"/>
    </row>
    <row r="22" spans="1:15" s="24" customFormat="1" ht="20.149999999999999" customHeight="1">
      <c r="A22" s="32" t="s">
        <v>301</v>
      </c>
      <c r="B22" s="353">
        <v>19800</v>
      </c>
      <c r="C22" s="354"/>
      <c r="D22" s="362">
        <v>7666</v>
      </c>
      <c r="E22" s="363"/>
      <c r="F22" s="347">
        <v>29901</v>
      </c>
      <c r="G22" s="347"/>
      <c r="H22" s="347">
        <f>F22/2-268</f>
        <v>14682.5</v>
      </c>
      <c r="I22" s="347"/>
      <c r="J22" s="347">
        <f>'1. Фін результат'!E17</f>
        <v>11616</v>
      </c>
      <c r="K22" s="347"/>
      <c r="L22" s="347">
        <f>J22-H22</f>
        <v>-3066.5</v>
      </c>
      <c r="M22" s="347"/>
      <c r="N22" s="355">
        <f>J22/H22*100</f>
        <v>79.114592201600544</v>
      </c>
      <c r="O22" s="355"/>
    </row>
    <row r="23" spans="1:15" s="24" customFormat="1">
      <c r="A23" s="364" t="s">
        <v>334</v>
      </c>
      <c r="B23" s="365"/>
      <c r="C23" s="365"/>
      <c r="D23" s="365"/>
      <c r="E23" s="365"/>
      <c r="F23" s="365"/>
      <c r="G23" s="365"/>
      <c r="H23" s="365"/>
      <c r="I23" s="365"/>
      <c r="J23" s="365"/>
      <c r="K23" s="365"/>
      <c r="L23" s="365"/>
      <c r="M23" s="365"/>
      <c r="N23" s="365"/>
      <c r="O23" s="366"/>
    </row>
    <row r="24" spans="1:15" s="24" customFormat="1" ht="20.149999999999999" customHeight="1">
      <c r="A24" s="32" t="s">
        <v>595</v>
      </c>
      <c r="B24" s="391">
        <v>492</v>
      </c>
      <c r="C24" s="391"/>
      <c r="D24" s="347">
        <f>D20*1.22</f>
        <v>269.62</v>
      </c>
      <c r="E24" s="347"/>
      <c r="F24" s="347">
        <v>654</v>
      </c>
      <c r="G24" s="347"/>
      <c r="H24" s="347">
        <f>H20*1.22</f>
        <v>326.95999999999998</v>
      </c>
      <c r="I24" s="347"/>
      <c r="J24" s="347">
        <f>J20*1.22</f>
        <v>326.95999999999998</v>
      </c>
      <c r="K24" s="347"/>
      <c r="L24" s="347">
        <f>J24-H24</f>
        <v>0</v>
      </c>
      <c r="M24" s="347"/>
      <c r="N24" s="355">
        <f>J24/H24*100</f>
        <v>100</v>
      </c>
      <c r="O24" s="355"/>
    </row>
    <row r="25" spans="1:15" s="24" customFormat="1" ht="42.75" customHeight="1">
      <c r="A25" s="32" t="s">
        <v>300</v>
      </c>
      <c r="B25" s="391">
        <v>5598</v>
      </c>
      <c r="C25" s="391"/>
      <c r="D25" s="347">
        <v>2545</v>
      </c>
      <c r="E25" s="347"/>
      <c r="F25" s="347">
        <v>8419</v>
      </c>
      <c r="G25" s="347"/>
      <c r="H25" s="347">
        <f>H21*1.22</f>
        <v>4260.24</v>
      </c>
      <c r="I25" s="347"/>
      <c r="J25" s="347">
        <f>'1. Фін результат'!E78-'6.1. Інша інфо_1'!J24:K24+'1. Фін результат'!E79+298</f>
        <v>4234.04</v>
      </c>
      <c r="K25" s="347"/>
      <c r="L25" s="347">
        <f>J25-H25</f>
        <v>-26.199999999999818</v>
      </c>
      <c r="M25" s="347"/>
      <c r="N25" s="355">
        <f>J25/H25*100</f>
        <v>99.385011173079448</v>
      </c>
      <c r="O25" s="355"/>
    </row>
    <row r="26" spans="1:15" s="24" customFormat="1" ht="20.149999999999999" customHeight="1">
      <c r="A26" s="32" t="s">
        <v>301</v>
      </c>
      <c r="B26" s="391">
        <v>24024</v>
      </c>
      <c r="C26" s="391"/>
      <c r="D26" s="347">
        <v>9483</v>
      </c>
      <c r="E26" s="347"/>
      <c r="F26" s="347">
        <v>36246</v>
      </c>
      <c r="G26" s="347"/>
      <c r="H26" s="347">
        <f>H22*1.22-167</f>
        <v>17745.649999999998</v>
      </c>
      <c r="I26" s="347"/>
      <c r="J26" s="347">
        <f>'1. Фін результат'!E17+'1. Фін результат'!E18</f>
        <v>14320</v>
      </c>
      <c r="K26" s="347"/>
      <c r="L26" s="347">
        <f>J26-H26</f>
        <v>-3425.6499999999978</v>
      </c>
      <c r="M26" s="347"/>
      <c r="N26" s="355">
        <f>J26/H26*100</f>
        <v>80.695832499795742</v>
      </c>
      <c r="O26" s="355"/>
    </row>
    <row r="27" spans="1:15" s="24" customFormat="1">
      <c r="A27" s="364" t="s">
        <v>302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5"/>
      <c r="L27" s="365"/>
      <c r="M27" s="365"/>
      <c r="N27" s="365"/>
      <c r="O27" s="366"/>
    </row>
    <row r="28" spans="1:15" s="24" customFormat="1" ht="20.149999999999999" customHeight="1">
      <c r="A28" s="32" t="s">
        <v>595</v>
      </c>
      <c r="B28" s="337">
        <v>33640</v>
      </c>
      <c r="C28" s="337"/>
      <c r="D28" s="347">
        <v>36833</v>
      </c>
      <c r="E28" s="347"/>
      <c r="F28" s="347">
        <v>44658</v>
      </c>
      <c r="G28" s="347"/>
      <c r="H28" s="347">
        <f>H20/6*1000</f>
        <v>44666.666666666664</v>
      </c>
      <c r="I28" s="347"/>
      <c r="J28" s="347">
        <f>J20/6*1000</f>
        <v>44666.666666666664</v>
      </c>
      <c r="K28" s="347"/>
      <c r="L28" s="347">
        <f>J28-H28</f>
        <v>0</v>
      </c>
      <c r="M28" s="347"/>
      <c r="N28" s="355">
        <f>J28/H28*100</f>
        <v>100</v>
      </c>
      <c r="O28" s="355"/>
    </row>
    <row r="29" spans="1:15" s="24" customFormat="1" ht="45" customHeight="1">
      <c r="A29" s="32" t="s">
        <v>300</v>
      </c>
      <c r="B29" s="337">
        <v>18175</v>
      </c>
      <c r="C29" s="337"/>
      <c r="D29" s="347">
        <v>16992</v>
      </c>
      <c r="E29" s="347"/>
      <c r="F29" s="347">
        <v>26048</v>
      </c>
      <c r="G29" s="347"/>
      <c r="H29" s="347">
        <f>H21/21/6*1000</f>
        <v>27714.28571428571</v>
      </c>
      <c r="I29" s="347"/>
      <c r="J29" s="347">
        <f>J21/21/6*1000</f>
        <v>27833.333333333332</v>
      </c>
      <c r="K29" s="347"/>
      <c r="L29" s="347">
        <f>J29-H29</f>
        <v>119.04761904762199</v>
      </c>
      <c r="M29" s="347"/>
      <c r="N29" s="355">
        <f>J29/H29*100</f>
        <v>100.42955326460483</v>
      </c>
      <c r="O29" s="355"/>
    </row>
    <row r="30" spans="1:15" s="24" customFormat="1" ht="20.149999999999999" customHeight="1">
      <c r="A30" s="32" t="s">
        <v>301</v>
      </c>
      <c r="B30" s="337">
        <v>10748</v>
      </c>
      <c r="C30" s="337"/>
      <c r="D30" s="347">
        <v>11941</v>
      </c>
      <c r="E30" s="347"/>
      <c r="F30" s="347">
        <v>16320</v>
      </c>
      <c r="G30" s="347"/>
      <c r="H30" s="347">
        <f>H22/136/6*1000</f>
        <v>17993.259803921566</v>
      </c>
      <c r="I30" s="347"/>
      <c r="J30" s="347">
        <f>J22/108/6*1000</f>
        <v>17925.925925925927</v>
      </c>
      <c r="K30" s="347"/>
      <c r="L30" s="347">
        <f>J30-H30</f>
        <v>-67.333877995639341</v>
      </c>
      <c r="M30" s="347"/>
      <c r="N30" s="355">
        <f>J30/H30*100</f>
        <v>99.62578277238589</v>
      </c>
      <c r="O30" s="355"/>
    </row>
    <row r="31" spans="1:15" s="24" customFormat="1" ht="42.75" customHeight="1">
      <c r="A31" s="364" t="s">
        <v>303</v>
      </c>
      <c r="B31" s="365"/>
      <c r="C31" s="365"/>
      <c r="D31" s="365"/>
      <c r="E31" s="365"/>
      <c r="F31" s="365"/>
      <c r="G31" s="365"/>
      <c r="H31" s="365"/>
      <c r="I31" s="365"/>
      <c r="J31" s="365"/>
      <c r="K31" s="365"/>
      <c r="L31" s="365"/>
      <c r="M31" s="365"/>
      <c r="N31" s="365"/>
      <c r="O31" s="366"/>
    </row>
    <row r="32" spans="1:15" s="24" customFormat="1" ht="20.149999999999999" customHeight="1">
      <c r="A32" s="32" t="s">
        <v>595</v>
      </c>
      <c r="B32" s="391">
        <v>33640</v>
      </c>
      <c r="C32" s="391"/>
      <c r="D32" s="347">
        <f>D28</f>
        <v>36833</v>
      </c>
      <c r="E32" s="347"/>
      <c r="F32" s="347">
        <v>44658</v>
      </c>
      <c r="G32" s="347"/>
      <c r="H32" s="347">
        <f>H28</f>
        <v>44666.666666666664</v>
      </c>
      <c r="I32" s="347"/>
      <c r="J32" s="347">
        <f>J28</f>
        <v>44666.666666666664</v>
      </c>
      <c r="K32" s="347"/>
      <c r="L32" s="347">
        <f>J32-H32</f>
        <v>0</v>
      </c>
      <c r="M32" s="347"/>
      <c r="N32" s="355">
        <f>J32/H32*100</f>
        <v>100</v>
      </c>
      <c r="O32" s="355"/>
    </row>
    <row r="33" spans="1:15" s="24" customFormat="1" ht="35.25" customHeight="1">
      <c r="A33" s="32" t="s">
        <v>300</v>
      </c>
      <c r="B33" s="391">
        <v>18421</v>
      </c>
      <c r="C33" s="391"/>
      <c r="D33" s="347">
        <f>D29</f>
        <v>16992</v>
      </c>
      <c r="E33" s="347"/>
      <c r="F33" s="347">
        <v>26455</v>
      </c>
      <c r="G33" s="347"/>
      <c r="H33" s="347">
        <f>H29</f>
        <v>27714.28571428571</v>
      </c>
      <c r="I33" s="347"/>
      <c r="J33" s="347">
        <f>J29</f>
        <v>27833.333333333332</v>
      </c>
      <c r="K33" s="347"/>
      <c r="L33" s="347">
        <f>J33-H33</f>
        <v>119.04761904762199</v>
      </c>
      <c r="M33" s="347"/>
      <c r="N33" s="355">
        <f>J33/H33*100</f>
        <v>100.42955326460483</v>
      </c>
      <c r="O33" s="355"/>
    </row>
    <row r="34" spans="1:15" s="24" customFormat="1" ht="20.149999999999999" customHeight="1">
      <c r="A34" s="32" t="s">
        <v>301</v>
      </c>
      <c r="B34" s="391">
        <v>12222</v>
      </c>
      <c r="C34" s="391"/>
      <c r="D34" s="347">
        <f>D30</f>
        <v>11941</v>
      </c>
      <c r="E34" s="347"/>
      <c r="F34" s="347">
        <v>18457</v>
      </c>
      <c r="G34" s="347"/>
      <c r="H34" s="347">
        <f>H30</f>
        <v>17993.259803921566</v>
      </c>
      <c r="I34" s="347"/>
      <c r="J34" s="347">
        <f>J30</f>
        <v>17925.925925925927</v>
      </c>
      <c r="K34" s="347"/>
      <c r="L34" s="347">
        <f>J34-H34</f>
        <v>-67.333877995639341</v>
      </c>
      <c r="M34" s="347"/>
      <c r="N34" s="355">
        <f>J34/H34*100</f>
        <v>99.62578277238589</v>
      </c>
      <c r="O34" s="355"/>
    </row>
    <row r="35" spans="1:15" s="24" customFormat="1" ht="7.5" customHeight="1">
      <c r="A35" s="181"/>
      <c r="B35" s="181"/>
      <c r="C35" s="181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3"/>
      <c r="O35" s="183"/>
    </row>
    <row r="36" spans="1:15" ht="22.5" customHeight="1">
      <c r="A36" s="360" t="s">
        <v>347</v>
      </c>
      <c r="B36" s="360"/>
      <c r="C36" s="360"/>
      <c r="D36" s="360"/>
      <c r="E36" s="360"/>
      <c r="F36" s="360"/>
      <c r="G36" s="360"/>
      <c r="H36" s="360"/>
      <c r="I36" s="360"/>
      <c r="J36" s="360"/>
      <c r="K36" s="360"/>
      <c r="L36" s="360"/>
      <c r="M36" s="360"/>
      <c r="N36" s="360"/>
      <c r="O36" s="360"/>
    </row>
    <row r="37" spans="1:15" ht="11.25" customHeight="1">
      <c r="A37" s="184"/>
      <c r="B37" s="184"/>
      <c r="C37" s="184"/>
      <c r="D37" s="184"/>
      <c r="E37" s="184"/>
      <c r="F37" s="184"/>
      <c r="G37" s="184"/>
      <c r="H37" s="184"/>
      <c r="I37" s="184"/>
    </row>
    <row r="38" spans="1:15" ht="30.75" customHeight="1">
      <c r="A38" s="390" t="s">
        <v>370</v>
      </c>
      <c r="B38" s="390"/>
      <c r="C38" s="390"/>
      <c r="D38" s="390"/>
      <c r="E38" s="390"/>
      <c r="F38" s="390"/>
      <c r="G38" s="390"/>
      <c r="H38" s="390"/>
      <c r="I38" s="390"/>
      <c r="J38" s="390"/>
      <c r="K38" s="390"/>
      <c r="L38" s="390"/>
      <c r="M38" s="390"/>
      <c r="N38" s="390"/>
      <c r="O38" s="390"/>
    </row>
    <row r="39" spans="1:15" ht="30.75" customHeight="1">
      <c r="A39" s="185" t="s">
        <v>137</v>
      </c>
      <c r="B39" s="393" t="s">
        <v>371</v>
      </c>
      <c r="C39" s="394"/>
      <c r="D39" s="394"/>
      <c r="E39" s="395"/>
      <c r="F39" s="361" t="s">
        <v>85</v>
      </c>
      <c r="G39" s="361"/>
      <c r="H39" s="361"/>
      <c r="I39" s="361"/>
      <c r="J39" s="361"/>
      <c r="K39" s="361"/>
      <c r="L39" s="361"/>
      <c r="M39" s="361"/>
      <c r="N39" s="361"/>
      <c r="O39" s="361"/>
    </row>
    <row r="40" spans="1:15" ht="17.25" customHeight="1">
      <c r="A40" s="185">
        <v>1</v>
      </c>
      <c r="B40" s="374">
        <v>2</v>
      </c>
      <c r="C40" s="387"/>
      <c r="D40" s="387"/>
      <c r="E40" s="387"/>
      <c r="F40" s="361">
        <v>3</v>
      </c>
      <c r="G40" s="361"/>
      <c r="H40" s="361"/>
      <c r="I40" s="361"/>
      <c r="J40" s="361"/>
      <c r="K40" s="361"/>
      <c r="L40" s="361"/>
      <c r="M40" s="361"/>
      <c r="N40" s="361"/>
      <c r="O40" s="361"/>
    </row>
    <row r="41" spans="1:15" ht="20.149999999999999" customHeight="1">
      <c r="A41" s="186"/>
      <c r="B41" s="379"/>
      <c r="C41" s="405"/>
      <c r="D41" s="405"/>
      <c r="E41" s="405"/>
      <c r="F41" s="384"/>
      <c r="G41" s="384"/>
      <c r="H41" s="384"/>
      <c r="I41" s="384"/>
      <c r="J41" s="384"/>
      <c r="K41" s="384"/>
      <c r="L41" s="384"/>
      <c r="M41" s="384"/>
      <c r="N41" s="384"/>
      <c r="O41" s="384"/>
    </row>
    <row r="42" spans="1:15" ht="20.149999999999999" hidden="1" customHeight="1" outlineLevel="1">
      <c r="A42" s="187"/>
      <c r="B42" s="188"/>
      <c r="C42" s="188"/>
      <c r="D42" s="188"/>
      <c r="E42" s="188"/>
      <c r="F42" s="189"/>
      <c r="G42" s="189"/>
      <c r="H42" s="189"/>
      <c r="I42" s="189"/>
      <c r="J42" s="189"/>
      <c r="K42" s="189"/>
      <c r="L42" s="189"/>
      <c r="M42" s="408" t="s">
        <v>241</v>
      </c>
      <c r="N42" s="408"/>
      <c r="O42" s="408"/>
    </row>
    <row r="43" spans="1:15" ht="20.149999999999999" hidden="1" customHeight="1" outlineLevel="1">
      <c r="A43" s="187"/>
      <c r="B43" s="188"/>
      <c r="C43" s="188"/>
      <c r="D43" s="188"/>
      <c r="E43" s="188"/>
      <c r="F43" s="189"/>
      <c r="G43" s="189"/>
      <c r="H43" s="189"/>
      <c r="I43" s="189"/>
      <c r="J43" s="189"/>
      <c r="K43" s="189"/>
      <c r="L43" s="189"/>
      <c r="M43" s="392" t="s">
        <v>291</v>
      </c>
      <c r="N43" s="392"/>
      <c r="O43" s="392"/>
    </row>
    <row r="44" spans="1:15" collapsed="1">
      <c r="A44" s="350" t="s">
        <v>251</v>
      </c>
      <c r="B44" s="350"/>
      <c r="C44" s="350"/>
      <c r="D44" s="350"/>
      <c r="E44" s="350"/>
      <c r="F44" s="350"/>
      <c r="G44" s="350"/>
      <c r="H44" s="350"/>
      <c r="I44" s="350"/>
      <c r="J44" s="350"/>
      <c r="K44" s="350"/>
      <c r="L44" s="350"/>
      <c r="M44" s="350"/>
      <c r="N44" s="350"/>
      <c r="O44" s="350"/>
    </row>
    <row r="46" spans="1:15" ht="52.5" customHeight="1">
      <c r="A46" s="399" t="s">
        <v>287</v>
      </c>
      <c r="B46" s="400"/>
      <c r="C46" s="401"/>
      <c r="D46" s="359" t="s">
        <v>242</v>
      </c>
      <c r="E46" s="359"/>
      <c r="F46" s="359"/>
      <c r="G46" s="359" t="s">
        <v>238</v>
      </c>
      <c r="H46" s="359"/>
      <c r="I46" s="359"/>
      <c r="J46" s="359" t="s">
        <v>292</v>
      </c>
      <c r="K46" s="359"/>
      <c r="L46" s="359"/>
      <c r="M46" s="356" t="s">
        <v>293</v>
      </c>
      <c r="N46" s="358"/>
      <c r="O46" s="406" t="s">
        <v>316</v>
      </c>
    </row>
    <row r="47" spans="1:15" ht="189.75" customHeight="1">
      <c r="A47" s="402"/>
      <c r="B47" s="403"/>
      <c r="C47" s="404"/>
      <c r="D47" s="226" t="s">
        <v>319</v>
      </c>
      <c r="E47" s="226" t="s">
        <v>318</v>
      </c>
      <c r="F47" s="171" t="s">
        <v>317</v>
      </c>
      <c r="G47" s="171" t="s">
        <v>319</v>
      </c>
      <c r="H47" s="171" t="s">
        <v>318</v>
      </c>
      <c r="I47" s="171" t="s">
        <v>317</v>
      </c>
      <c r="J47" s="171" t="s">
        <v>319</v>
      </c>
      <c r="K47" s="171" t="s">
        <v>318</v>
      </c>
      <c r="L47" s="171" t="s">
        <v>317</v>
      </c>
      <c r="M47" s="171" t="s">
        <v>243</v>
      </c>
      <c r="N47" s="171" t="s">
        <v>244</v>
      </c>
      <c r="O47" s="407"/>
    </row>
    <row r="48" spans="1:15">
      <c r="A48" s="356">
        <v>1</v>
      </c>
      <c r="B48" s="357"/>
      <c r="C48" s="358"/>
      <c r="D48" s="226">
        <v>4</v>
      </c>
      <c r="E48" s="226">
        <v>5</v>
      </c>
      <c r="F48" s="171">
        <v>6</v>
      </c>
      <c r="G48" s="171">
        <v>7</v>
      </c>
      <c r="H48" s="177">
        <v>8</v>
      </c>
      <c r="I48" s="177">
        <v>9</v>
      </c>
      <c r="J48" s="177">
        <v>10</v>
      </c>
      <c r="K48" s="177">
        <v>11</v>
      </c>
      <c r="L48" s="177">
        <v>12</v>
      </c>
      <c r="M48" s="177">
        <v>13</v>
      </c>
      <c r="N48" s="177">
        <v>14</v>
      </c>
      <c r="O48" s="177">
        <v>15</v>
      </c>
    </row>
    <row r="49" spans="1:15" ht="45.75" customHeight="1">
      <c r="A49" s="396" t="s">
        <v>579</v>
      </c>
      <c r="B49" s="397"/>
      <c r="C49" s="398"/>
      <c r="D49" s="267">
        <f>'1. Фін результат'!D10</f>
        <v>32280</v>
      </c>
      <c r="E49" s="274">
        <f>7500/2</f>
        <v>3750</v>
      </c>
      <c r="F49" s="274">
        <f>D49/E49*1000</f>
        <v>8608</v>
      </c>
      <c r="G49" s="267">
        <f>'1. Фін результат'!E10</f>
        <v>25234</v>
      </c>
      <c r="H49" s="268">
        <v>3500</v>
      </c>
      <c r="I49" s="274">
        <f>G49/H49*1000</f>
        <v>7209.7142857142862</v>
      </c>
      <c r="J49" s="190">
        <f>G49-D49</f>
        <v>-7046</v>
      </c>
      <c r="K49" s="177">
        <f t="shared" ref="J49:L50" si="2">H49-E49</f>
        <v>-250</v>
      </c>
      <c r="L49" s="191">
        <f t="shared" si="2"/>
        <v>-1398.2857142857138</v>
      </c>
      <c r="M49" s="191">
        <f>G49/D49*100</f>
        <v>78.172242874845111</v>
      </c>
      <c r="N49" s="191">
        <f>H49/E49*100</f>
        <v>93.333333333333329</v>
      </c>
      <c r="O49" s="177"/>
    </row>
    <row r="50" spans="1:15" ht="45.75" customHeight="1">
      <c r="A50" s="396" t="s">
        <v>578</v>
      </c>
      <c r="B50" s="397"/>
      <c r="C50" s="398"/>
      <c r="D50" s="267">
        <f>'1. Фін результат'!D11</f>
        <v>101851</v>
      </c>
      <c r="E50" s="274">
        <f>32500/2</f>
        <v>16250</v>
      </c>
      <c r="F50" s="274">
        <f>D50/E50*1000</f>
        <v>6267.7538461538461</v>
      </c>
      <c r="G50" s="267">
        <f>'1. Фін результат'!E11</f>
        <v>63430</v>
      </c>
      <c r="H50" s="268">
        <v>12500</v>
      </c>
      <c r="I50" s="274">
        <f>G50/H50*1000</f>
        <v>5074.3999999999996</v>
      </c>
      <c r="J50" s="190">
        <f t="shared" si="2"/>
        <v>-38421</v>
      </c>
      <c r="K50" s="177">
        <f t="shared" si="2"/>
        <v>-3750</v>
      </c>
      <c r="L50" s="191">
        <f t="shared" si="2"/>
        <v>-1193.3538461538465</v>
      </c>
      <c r="M50" s="191">
        <f>G50/D50*100</f>
        <v>62.277248136984419</v>
      </c>
      <c r="N50" s="191">
        <f>H50/E50*100</f>
        <v>76.923076923076934</v>
      </c>
      <c r="O50" s="177"/>
    </row>
    <row r="51" spans="1:15" ht="48.75" customHeight="1">
      <c r="A51" s="396" t="s">
        <v>397</v>
      </c>
      <c r="B51" s="397"/>
      <c r="C51" s="398"/>
      <c r="D51" s="267">
        <f>'1. Фін результат'!D12</f>
        <v>1500</v>
      </c>
      <c r="E51" s="266"/>
      <c r="F51" s="266"/>
      <c r="G51" s="267">
        <f>'1. Фін результат'!E12</f>
        <v>1274</v>
      </c>
      <c r="H51" s="268"/>
      <c r="I51" s="274"/>
      <c r="J51" s="190">
        <f>G51-D51</f>
        <v>-226</v>
      </c>
      <c r="K51" s="177"/>
      <c r="L51" s="191"/>
      <c r="M51" s="191">
        <f>G51/D51*100</f>
        <v>84.933333333333337</v>
      </c>
      <c r="N51" s="177"/>
      <c r="O51" s="177"/>
    </row>
    <row r="52" spans="1:15" ht="25" customHeight="1">
      <c r="A52" s="367" t="s">
        <v>58</v>
      </c>
      <c r="B52" s="368"/>
      <c r="C52" s="369"/>
      <c r="D52" s="267">
        <f>SUM(D49:D51)</f>
        <v>135631</v>
      </c>
      <c r="E52" s="267"/>
      <c r="F52" s="60">
        <f>SUM(F49:F51)</f>
        <v>14875.753846153846</v>
      </c>
      <c r="G52" s="60">
        <f>SUM(G49:G51)</f>
        <v>89938</v>
      </c>
      <c r="H52" s="60"/>
      <c r="I52" s="60">
        <f>SUM(I49:I51)</f>
        <v>12284.114285714286</v>
      </c>
      <c r="J52" s="173"/>
      <c r="K52" s="173"/>
      <c r="L52" s="173"/>
      <c r="M52" s="192"/>
      <c r="N52" s="192"/>
      <c r="O52" s="173"/>
    </row>
    <row r="53" spans="1:15">
      <c r="A53" s="193"/>
      <c r="B53" s="194"/>
      <c r="C53" s="194"/>
      <c r="D53" s="194"/>
      <c r="E53" s="194"/>
      <c r="F53" s="195"/>
      <c r="G53" s="195"/>
      <c r="H53" s="195"/>
      <c r="I53" s="196"/>
      <c r="J53" s="196"/>
      <c r="K53" s="196"/>
      <c r="L53" s="196"/>
      <c r="M53" s="196"/>
      <c r="N53" s="196"/>
      <c r="O53" s="196"/>
    </row>
    <row r="54" spans="1:15">
      <c r="A54" s="350" t="s">
        <v>74</v>
      </c>
      <c r="B54" s="350"/>
      <c r="C54" s="350"/>
      <c r="D54" s="350"/>
      <c r="E54" s="350"/>
      <c r="F54" s="350"/>
      <c r="G54" s="350"/>
      <c r="H54" s="350"/>
      <c r="I54" s="350"/>
      <c r="J54" s="350"/>
      <c r="K54" s="350"/>
      <c r="L54" s="350"/>
      <c r="M54" s="350"/>
      <c r="N54" s="350"/>
      <c r="O54" s="350"/>
    </row>
    <row r="56" spans="1:15" ht="56.25" customHeight="1">
      <c r="A56" s="171" t="s">
        <v>126</v>
      </c>
      <c r="B56" s="359" t="s">
        <v>73</v>
      </c>
      <c r="C56" s="359"/>
      <c r="D56" s="359" t="s">
        <v>68</v>
      </c>
      <c r="E56" s="359"/>
      <c r="F56" s="359" t="s">
        <v>69</v>
      </c>
      <c r="G56" s="359"/>
      <c r="H56" s="359" t="s">
        <v>89</v>
      </c>
      <c r="I56" s="359"/>
      <c r="J56" s="359"/>
      <c r="K56" s="356" t="s">
        <v>86</v>
      </c>
      <c r="L56" s="358"/>
      <c r="M56" s="356" t="s">
        <v>36</v>
      </c>
      <c r="N56" s="357"/>
      <c r="O56" s="358"/>
    </row>
    <row r="57" spans="1:15">
      <c r="A57" s="177">
        <v>1</v>
      </c>
      <c r="B57" s="361">
        <v>2</v>
      </c>
      <c r="C57" s="361"/>
      <c r="D57" s="361">
        <v>3</v>
      </c>
      <c r="E57" s="361"/>
      <c r="F57" s="361">
        <v>4</v>
      </c>
      <c r="G57" s="361"/>
      <c r="H57" s="361">
        <v>5</v>
      </c>
      <c r="I57" s="361"/>
      <c r="J57" s="361"/>
      <c r="K57" s="361">
        <v>6</v>
      </c>
      <c r="L57" s="361"/>
      <c r="M57" s="374">
        <v>7</v>
      </c>
      <c r="N57" s="387"/>
      <c r="O57" s="375"/>
    </row>
    <row r="58" spans="1:15">
      <c r="A58" s="197"/>
      <c r="B58" s="384"/>
      <c r="C58" s="384"/>
      <c r="D58" s="378"/>
      <c r="E58" s="378"/>
      <c r="F58" s="371" t="s">
        <v>259</v>
      </c>
      <c r="G58" s="371"/>
      <c r="H58" s="370"/>
      <c r="I58" s="370"/>
      <c r="J58" s="370"/>
      <c r="K58" s="372"/>
      <c r="L58" s="373"/>
      <c r="M58" s="378"/>
      <c r="N58" s="378"/>
      <c r="O58" s="378"/>
    </row>
    <row r="59" spans="1:15">
      <c r="A59" s="197"/>
      <c r="B59" s="388"/>
      <c r="C59" s="389"/>
      <c r="D59" s="372"/>
      <c r="E59" s="373"/>
      <c r="F59" s="376"/>
      <c r="G59" s="377"/>
      <c r="H59" s="381"/>
      <c r="I59" s="382"/>
      <c r="J59" s="383"/>
      <c r="K59" s="372"/>
      <c r="L59" s="373"/>
      <c r="M59" s="372"/>
      <c r="N59" s="386"/>
      <c r="O59" s="373"/>
    </row>
    <row r="60" spans="1:15">
      <c r="A60" s="197"/>
      <c r="B60" s="379"/>
      <c r="C60" s="380"/>
      <c r="D60" s="372"/>
      <c r="E60" s="373"/>
      <c r="F60" s="376"/>
      <c r="G60" s="377"/>
      <c r="H60" s="381"/>
      <c r="I60" s="382"/>
      <c r="J60" s="383"/>
      <c r="K60" s="372"/>
      <c r="L60" s="373"/>
      <c r="M60" s="372"/>
      <c r="N60" s="386"/>
      <c r="O60" s="373"/>
    </row>
    <row r="61" spans="1:15">
      <c r="A61" s="197"/>
      <c r="B61" s="384"/>
      <c r="C61" s="384"/>
      <c r="D61" s="378"/>
      <c r="E61" s="378"/>
      <c r="F61" s="371"/>
      <c r="G61" s="371"/>
      <c r="H61" s="370"/>
      <c r="I61" s="370"/>
      <c r="J61" s="370"/>
      <c r="K61" s="372"/>
      <c r="L61" s="373"/>
      <c r="M61" s="378"/>
      <c r="N61" s="378"/>
      <c r="O61" s="378"/>
    </row>
    <row r="62" spans="1:15">
      <c r="A62" s="198" t="s">
        <v>58</v>
      </c>
      <c r="B62" s="361" t="s">
        <v>37</v>
      </c>
      <c r="C62" s="361"/>
      <c r="D62" s="361" t="s">
        <v>37</v>
      </c>
      <c r="E62" s="361"/>
      <c r="F62" s="361" t="s">
        <v>37</v>
      </c>
      <c r="G62" s="361"/>
      <c r="H62" s="370"/>
      <c r="I62" s="370"/>
      <c r="J62" s="370"/>
      <c r="K62" s="372"/>
      <c r="L62" s="373"/>
      <c r="M62" s="378"/>
      <c r="N62" s="378"/>
      <c r="O62" s="378"/>
    </row>
    <row r="63" spans="1:15">
      <c r="A63" s="195"/>
      <c r="B63" s="225"/>
      <c r="C63" s="225"/>
      <c r="D63" s="225"/>
      <c r="E63" s="225"/>
      <c r="F63" s="161"/>
      <c r="G63" s="161"/>
      <c r="H63" s="161"/>
      <c r="I63" s="161"/>
      <c r="J63" s="161"/>
      <c r="K63" s="160"/>
      <c r="L63" s="160"/>
      <c r="M63" s="160"/>
      <c r="N63" s="160"/>
      <c r="O63" s="160"/>
    </row>
    <row r="64" spans="1:15">
      <c r="A64" s="350" t="s">
        <v>75</v>
      </c>
      <c r="B64" s="350"/>
      <c r="C64" s="350"/>
      <c r="D64" s="350"/>
      <c r="E64" s="350"/>
      <c r="F64" s="350"/>
      <c r="G64" s="350"/>
      <c r="H64" s="350"/>
      <c r="I64" s="350"/>
      <c r="J64" s="350"/>
      <c r="K64" s="350"/>
      <c r="L64" s="350"/>
      <c r="M64" s="350"/>
      <c r="N64" s="350"/>
      <c r="O64" s="350"/>
    </row>
    <row r="65" spans="1:15" ht="2.5" customHeight="1">
      <c r="A65" s="196"/>
      <c r="B65" s="196"/>
      <c r="C65" s="196"/>
      <c r="D65" s="196"/>
      <c r="E65" s="196"/>
      <c r="F65" s="196"/>
      <c r="G65" s="196"/>
      <c r="H65" s="196"/>
      <c r="I65" s="199"/>
    </row>
    <row r="66" spans="1:15" ht="42.75" customHeight="1">
      <c r="A66" s="359" t="s">
        <v>67</v>
      </c>
      <c r="B66" s="359"/>
      <c r="C66" s="359"/>
      <c r="D66" s="359" t="s">
        <v>245</v>
      </c>
      <c r="E66" s="359"/>
      <c r="F66" s="359" t="s">
        <v>246</v>
      </c>
      <c r="G66" s="359"/>
      <c r="H66" s="359"/>
      <c r="I66" s="359"/>
      <c r="J66" s="359" t="s">
        <v>249</v>
      </c>
      <c r="K66" s="359"/>
      <c r="L66" s="359"/>
      <c r="M66" s="359"/>
      <c r="N66" s="359" t="s">
        <v>250</v>
      </c>
      <c r="O66" s="359"/>
    </row>
    <row r="67" spans="1:15" ht="42.75" customHeight="1">
      <c r="A67" s="359"/>
      <c r="B67" s="359"/>
      <c r="C67" s="359"/>
      <c r="D67" s="359"/>
      <c r="E67" s="359"/>
      <c r="F67" s="361" t="s">
        <v>247</v>
      </c>
      <c r="G67" s="361"/>
      <c r="H67" s="359" t="s">
        <v>248</v>
      </c>
      <c r="I67" s="359"/>
      <c r="J67" s="361" t="s">
        <v>247</v>
      </c>
      <c r="K67" s="361"/>
      <c r="L67" s="359" t="s">
        <v>248</v>
      </c>
      <c r="M67" s="359"/>
      <c r="N67" s="359"/>
      <c r="O67" s="359"/>
    </row>
    <row r="68" spans="1:15">
      <c r="A68" s="359">
        <v>1</v>
      </c>
      <c r="B68" s="359"/>
      <c r="C68" s="359"/>
      <c r="D68" s="356">
        <v>2</v>
      </c>
      <c r="E68" s="358"/>
      <c r="F68" s="356">
        <v>3</v>
      </c>
      <c r="G68" s="358"/>
      <c r="H68" s="374">
        <v>4</v>
      </c>
      <c r="I68" s="375"/>
      <c r="J68" s="374">
        <v>5</v>
      </c>
      <c r="K68" s="375"/>
      <c r="L68" s="374">
        <v>6</v>
      </c>
      <c r="M68" s="375"/>
      <c r="N68" s="374">
        <v>7</v>
      </c>
      <c r="O68" s="375"/>
    </row>
    <row r="69" spans="1:15" ht="20.149999999999999" customHeight="1">
      <c r="A69" s="385" t="s">
        <v>313</v>
      </c>
      <c r="B69" s="385"/>
      <c r="C69" s="385"/>
      <c r="D69" s="372"/>
      <c r="E69" s="373"/>
      <c r="F69" s="372"/>
      <c r="G69" s="373"/>
      <c r="H69" s="372"/>
      <c r="I69" s="373"/>
      <c r="J69" s="372"/>
      <c r="K69" s="373"/>
      <c r="L69" s="372"/>
      <c r="M69" s="373"/>
      <c r="N69" s="372"/>
      <c r="O69" s="373"/>
    </row>
    <row r="70" spans="1:15" ht="20.149999999999999" customHeight="1">
      <c r="A70" s="385" t="s">
        <v>103</v>
      </c>
      <c r="B70" s="385"/>
      <c r="C70" s="385"/>
      <c r="D70" s="372"/>
      <c r="E70" s="373"/>
      <c r="F70" s="372"/>
      <c r="G70" s="373"/>
      <c r="H70" s="372"/>
      <c r="I70" s="373"/>
      <c r="J70" s="372"/>
      <c r="K70" s="373"/>
      <c r="L70" s="372"/>
      <c r="M70" s="373"/>
      <c r="N70" s="372"/>
      <c r="O70" s="373"/>
    </row>
    <row r="71" spans="1:15" ht="20.149999999999999" customHeight="1">
      <c r="A71" s="385"/>
      <c r="B71" s="385"/>
      <c r="C71" s="385"/>
      <c r="D71" s="372"/>
      <c r="E71" s="373"/>
      <c r="F71" s="372"/>
      <c r="G71" s="373"/>
      <c r="H71" s="372"/>
      <c r="I71" s="373"/>
      <c r="J71" s="372"/>
      <c r="K71" s="373"/>
      <c r="L71" s="372"/>
      <c r="M71" s="373"/>
      <c r="N71" s="372"/>
      <c r="O71" s="373"/>
    </row>
    <row r="72" spans="1:15" ht="20.149999999999999" customHeight="1">
      <c r="A72" s="385" t="s">
        <v>314</v>
      </c>
      <c r="B72" s="385"/>
      <c r="C72" s="385"/>
      <c r="D72" s="372"/>
      <c r="E72" s="373"/>
      <c r="F72" s="372"/>
      <c r="G72" s="373"/>
      <c r="H72" s="372"/>
      <c r="I72" s="373"/>
      <c r="J72" s="372"/>
      <c r="K72" s="373"/>
      <c r="L72" s="372"/>
      <c r="M72" s="373"/>
      <c r="N72" s="372"/>
      <c r="O72" s="373"/>
    </row>
    <row r="73" spans="1:15" ht="20.149999999999999" customHeight="1">
      <c r="A73" s="385" t="s">
        <v>363</v>
      </c>
      <c r="B73" s="385"/>
      <c r="C73" s="385"/>
      <c r="D73" s="372"/>
      <c r="E73" s="373"/>
      <c r="F73" s="372"/>
      <c r="G73" s="373"/>
      <c r="H73" s="372"/>
      <c r="I73" s="373"/>
      <c r="J73" s="372"/>
      <c r="K73" s="373"/>
      <c r="L73" s="372"/>
      <c r="M73" s="373"/>
      <c r="N73" s="372"/>
      <c r="O73" s="373"/>
    </row>
    <row r="74" spans="1:15" ht="20.149999999999999" customHeight="1">
      <c r="A74" s="385"/>
      <c r="B74" s="385"/>
      <c r="C74" s="385"/>
      <c r="D74" s="372"/>
      <c r="E74" s="373"/>
      <c r="F74" s="372"/>
      <c r="G74" s="373"/>
      <c r="H74" s="372"/>
      <c r="I74" s="373"/>
      <c r="J74" s="372"/>
      <c r="K74" s="373"/>
      <c r="L74" s="372"/>
      <c r="M74" s="373"/>
      <c r="N74" s="372"/>
      <c r="O74" s="373"/>
    </row>
    <row r="75" spans="1:15" ht="20.149999999999999" customHeight="1">
      <c r="A75" s="385" t="s">
        <v>315</v>
      </c>
      <c r="B75" s="385"/>
      <c r="C75" s="385"/>
      <c r="D75" s="372"/>
      <c r="E75" s="373"/>
      <c r="F75" s="372"/>
      <c r="G75" s="373"/>
      <c r="H75" s="372"/>
      <c r="I75" s="373"/>
      <c r="J75" s="372"/>
      <c r="K75" s="373"/>
      <c r="L75" s="372"/>
      <c r="M75" s="373"/>
      <c r="N75" s="372"/>
      <c r="O75" s="373"/>
    </row>
    <row r="76" spans="1:15" ht="20.149999999999999" customHeight="1">
      <c r="A76" s="385" t="s">
        <v>103</v>
      </c>
      <c r="B76" s="385"/>
      <c r="C76" s="385"/>
      <c r="D76" s="372"/>
      <c r="E76" s="373"/>
      <c r="F76" s="372"/>
      <c r="G76" s="373"/>
      <c r="H76" s="372"/>
      <c r="I76" s="373"/>
      <c r="J76" s="372"/>
      <c r="K76" s="373"/>
      <c r="L76" s="372"/>
      <c r="M76" s="373"/>
      <c r="N76" s="372"/>
      <c r="O76" s="373"/>
    </row>
    <row r="77" spans="1:15" ht="20.149999999999999" customHeight="1">
      <c r="A77" s="385"/>
      <c r="B77" s="385"/>
      <c r="C77" s="385"/>
      <c r="D77" s="372"/>
      <c r="E77" s="373"/>
      <c r="F77" s="372"/>
      <c r="G77" s="373"/>
      <c r="H77" s="372"/>
      <c r="I77" s="373"/>
      <c r="J77" s="372"/>
      <c r="K77" s="373"/>
      <c r="L77" s="372"/>
      <c r="M77" s="373"/>
      <c r="N77" s="372"/>
      <c r="O77" s="373"/>
    </row>
    <row r="78" spans="1:15" ht="25" customHeight="1">
      <c r="A78" s="385" t="s">
        <v>58</v>
      </c>
      <c r="B78" s="385"/>
      <c r="C78" s="385"/>
      <c r="D78" s="372"/>
      <c r="E78" s="373"/>
      <c r="F78" s="372"/>
      <c r="G78" s="373"/>
      <c r="H78" s="372"/>
      <c r="I78" s="373"/>
      <c r="J78" s="372"/>
      <c r="K78" s="373"/>
      <c r="L78" s="372"/>
      <c r="M78" s="373"/>
      <c r="N78" s="372"/>
      <c r="O78" s="373"/>
    </row>
    <row r="79" spans="1:15">
      <c r="C79" s="200"/>
      <c r="D79" s="200"/>
      <c r="E79" s="200"/>
    </row>
    <row r="80" spans="1:15">
      <c r="C80" s="200"/>
      <c r="D80" s="200"/>
      <c r="E80" s="200"/>
    </row>
    <row r="81" spans="3:5">
      <c r="C81" s="200"/>
      <c r="D81" s="200"/>
      <c r="E81" s="200"/>
    </row>
    <row r="82" spans="3:5">
      <c r="C82" s="200"/>
      <c r="D82" s="200"/>
      <c r="E82" s="200"/>
    </row>
    <row r="83" spans="3:5">
      <c r="C83" s="200"/>
      <c r="D83" s="200"/>
      <c r="E83" s="200"/>
    </row>
    <row r="84" spans="3:5">
      <c r="C84" s="200"/>
      <c r="D84" s="200"/>
      <c r="E84" s="200"/>
    </row>
    <row r="85" spans="3:5">
      <c r="C85" s="200"/>
      <c r="D85" s="200"/>
      <c r="E85" s="200"/>
    </row>
    <row r="86" spans="3:5">
      <c r="C86" s="200"/>
      <c r="D86" s="200"/>
      <c r="E86" s="200"/>
    </row>
    <row r="87" spans="3:5">
      <c r="C87" s="200"/>
      <c r="D87" s="200"/>
      <c r="E87" s="200"/>
    </row>
    <row r="88" spans="3:5">
      <c r="C88" s="200"/>
      <c r="D88" s="200"/>
      <c r="E88" s="200"/>
    </row>
    <row r="89" spans="3:5">
      <c r="C89" s="200"/>
      <c r="D89" s="200"/>
      <c r="E89" s="200"/>
    </row>
    <row r="90" spans="3:5">
      <c r="C90" s="200"/>
      <c r="D90" s="200"/>
      <c r="E90" s="200"/>
    </row>
    <row r="91" spans="3:5">
      <c r="C91" s="200"/>
      <c r="D91" s="200"/>
      <c r="E91" s="200"/>
    </row>
    <row r="92" spans="3:5">
      <c r="C92" s="200"/>
      <c r="D92" s="200"/>
      <c r="E92" s="200"/>
    </row>
  </sheetData>
  <mergeCells count="305">
    <mergeCell ref="M46:N46"/>
    <mergeCell ref="A31:O31"/>
    <mergeCell ref="B39:E39"/>
    <mergeCell ref="A51:C51"/>
    <mergeCell ref="B40:E40"/>
    <mergeCell ref="F39:O39"/>
    <mergeCell ref="D57:E57"/>
    <mergeCell ref="H57:J57"/>
    <mergeCell ref="B56:C56"/>
    <mergeCell ref="D56:E56"/>
    <mergeCell ref="D46:F46"/>
    <mergeCell ref="A46:C47"/>
    <mergeCell ref="K56:L56"/>
    <mergeCell ref="A54:O54"/>
    <mergeCell ref="F56:G56"/>
    <mergeCell ref="H56:J56"/>
    <mergeCell ref="A49:C49"/>
    <mergeCell ref="A50:C50"/>
    <mergeCell ref="M56:O56"/>
    <mergeCell ref="F41:O41"/>
    <mergeCell ref="B41:E41"/>
    <mergeCell ref="O46:O47"/>
    <mergeCell ref="A44:O44"/>
    <mergeCell ref="M42:O42"/>
    <mergeCell ref="M43:O43"/>
    <mergeCell ref="N32:O32"/>
    <mergeCell ref="B33:C33"/>
    <mergeCell ref="B34:C34"/>
    <mergeCell ref="L33:M33"/>
    <mergeCell ref="L34:M34"/>
    <mergeCell ref="N33:O33"/>
    <mergeCell ref="J34:K34"/>
    <mergeCell ref="F34:G34"/>
    <mergeCell ref="F33:G33"/>
    <mergeCell ref="N34:O34"/>
    <mergeCell ref="H33:I33"/>
    <mergeCell ref="H34:I34"/>
    <mergeCell ref="J33:K33"/>
    <mergeCell ref="L32:M32"/>
    <mergeCell ref="J32:K32"/>
    <mergeCell ref="H32:I32"/>
    <mergeCell ref="D32:E32"/>
    <mergeCell ref="B32:C32"/>
    <mergeCell ref="F32:G32"/>
    <mergeCell ref="F17:G17"/>
    <mergeCell ref="N18:O18"/>
    <mergeCell ref="F24:G24"/>
    <mergeCell ref="N22:O22"/>
    <mergeCell ref="B24:C24"/>
    <mergeCell ref="B25:C25"/>
    <mergeCell ref="J28:K28"/>
    <mergeCell ref="D28:E28"/>
    <mergeCell ref="H28:I28"/>
    <mergeCell ref="D26:E26"/>
    <mergeCell ref="J26:K26"/>
    <mergeCell ref="F26:G26"/>
    <mergeCell ref="H26:I26"/>
    <mergeCell ref="B26:C26"/>
    <mergeCell ref="B28:C28"/>
    <mergeCell ref="B18:C18"/>
    <mergeCell ref="D22:E22"/>
    <mergeCell ref="N20:O20"/>
    <mergeCell ref="L28:M28"/>
    <mergeCell ref="A19:O19"/>
    <mergeCell ref="H18:I18"/>
    <mergeCell ref="B20:C20"/>
    <mergeCell ref="F28:G28"/>
    <mergeCell ref="H20:I20"/>
    <mergeCell ref="H21:I21"/>
    <mergeCell ref="N21:O21"/>
    <mergeCell ref="L18:M18"/>
    <mergeCell ref="L20:M20"/>
    <mergeCell ref="L21:M21"/>
    <mergeCell ref="F20:G20"/>
    <mergeCell ref="F21:G21"/>
    <mergeCell ref="J18:K18"/>
    <mergeCell ref="J20:K20"/>
    <mergeCell ref="J21:K21"/>
    <mergeCell ref="A27:O27"/>
    <mergeCell ref="L26:M26"/>
    <mergeCell ref="D25:E25"/>
    <mergeCell ref="N28:O28"/>
    <mergeCell ref="N26:O26"/>
    <mergeCell ref="F18:G18"/>
    <mergeCell ref="N10:O10"/>
    <mergeCell ref="J10:K10"/>
    <mergeCell ref="L10:M10"/>
    <mergeCell ref="A12:O12"/>
    <mergeCell ref="N11:O11"/>
    <mergeCell ref="F11:G11"/>
    <mergeCell ref="B11:C11"/>
    <mergeCell ref="L11:M11"/>
    <mergeCell ref="L14:M14"/>
    <mergeCell ref="H14:I14"/>
    <mergeCell ref="J14:K14"/>
    <mergeCell ref="D13:E13"/>
    <mergeCell ref="B13:C13"/>
    <mergeCell ref="B14:C14"/>
    <mergeCell ref="D14:E14"/>
    <mergeCell ref="D11:E11"/>
    <mergeCell ref="F14:G14"/>
    <mergeCell ref="B10:C10"/>
    <mergeCell ref="D10:E10"/>
    <mergeCell ref="H10:I10"/>
    <mergeCell ref="F10:G10"/>
    <mergeCell ref="F13:G13"/>
    <mergeCell ref="K57:L57"/>
    <mergeCell ref="M57:O57"/>
    <mergeCell ref="B57:C57"/>
    <mergeCell ref="K59:L59"/>
    <mergeCell ref="F57:G57"/>
    <mergeCell ref="M58:O58"/>
    <mergeCell ref="B58:C58"/>
    <mergeCell ref="D58:E58"/>
    <mergeCell ref="K58:L58"/>
    <mergeCell ref="B59:C59"/>
    <mergeCell ref="D59:E59"/>
    <mergeCell ref="M59:O59"/>
    <mergeCell ref="F30:G30"/>
    <mergeCell ref="B30:C30"/>
    <mergeCell ref="D34:E34"/>
    <mergeCell ref="D33:E33"/>
    <mergeCell ref="A38:O38"/>
    <mergeCell ref="N30:O30"/>
    <mergeCell ref="J29:K29"/>
    <mergeCell ref="B29:C29"/>
    <mergeCell ref="N29:O29"/>
    <mergeCell ref="D29:E29"/>
    <mergeCell ref="D30:E30"/>
    <mergeCell ref="H29:I29"/>
    <mergeCell ref="H30:I30"/>
    <mergeCell ref="L30:M30"/>
    <mergeCell ref="J30:K30"/>
    <mergeCell ref="L29:M29"/>
    <mergeCell ref="F29:G29"/>
    <mergeCell ref="N74:O74"/>
    <mergeCell ref="H75:I75"/>
    <mergeCell ref="J75:K75"/>
    <mergeCell ref="A78:C78"/>
    <mergeCell ref="A74:C74"/>
    <mergeCell ref="A77:C77"/>
    <mergeCell ref="D73:E73"/>
    <mergeCell ref="D78:E78"/>
    <mergeCell ref="A76:C76"/>
    <mergeCell ref="F74:G74"/>
    <mergeCell ref="D74:E74"/>
    <mergeCell ref="A75:C75"/>
    <mergeCell ref="D75:E75"/>
    <mergeCell ref="F75:G75"/>
    <mergeCell ref="D76:E76"/>
    <mergeCell ref="F76:G76"/>
    <mergeCell ref="N78:O78"/>
    <mergeCell ref="D77:E77"/>
    <mergeCell ref="F77:G77"/>
    <mergeCell ref="H77:I77"/>
    <mergeCell ref="J77:K77"/>
    <mergeCell ref="L77:M77"/>
    <mergeCell ref="N77:O77"/>
    <mergeCell ref="F78:G78"/>
    <mergeCell ref="H78:I78"/>
    <mergeCell ref="J78:K78"/>
    <mergeCell ref="L78:M78"/>
    <mergeCell ref="H59:J59"/>
    <mergeCell ref="F59:G59"/>
    <mergeCell ref="N73:O73"/>
    <mergeCell ref="F61:G61"/>
    <mergeCell ref="K60:L60"/>
    <mergeCell ref="M60:O60"/>
    <mergeCell ref="L75:M75"/>
    <mergeCell ref="N75:O75"/>
    <mergeCell ref="L74:M74"/>
    <mergeCell ref="J74:K74"/>
    <mergeCell ref="H74:I74"/>
    <mergeCell ref="L76:M76"/>
    <mergeCell ref="H76:I76"/>
    <mergeCell ref="J76:K76"/>
    <mergeCell ref="F72:G72"/>
    <mergeCell ref="F71:G71"/>
    <mergeCell ref="J71:K71"/>
    <mergeCell ref="H73:I73"/>
    <mergeCell ref="J73:K73"/>
    <mergeCell ref="N76:O76"/>
    <mergeCell ref="M61:O61"/>
    <mergeCell ref="A71:C71"/>
    <mergeCell ref="L69:M69"/>
    <mergeCell ref="N70:O70"/>
    <mergeCell ref="A73:C73"/>
    <mergeCell ref="L73:M73"/>
    <mergeCell ref="N72:O72"/>
    <mergeCell ref="D72:E72"/>
    <mergeCell ref="J72:K72"/>
    <mergeCell ref="H72:I72"/>
    <mergeCell ref="F73:G73"/>
    <mergeCell ref="N71:O71"/>
    <mergeCell ref="L72:M72"/>
    <mergeCell ref="A72:C72"/>
    <mergeCell ref="H71:I71"/>
    <mergeCell ref="L71:M71"/>
    <mergeCell ref="D71:E71"/>
    <mergeCell ref="A69:C69"/>
    <mergeCell ref="F69:G69"/>
    <mergeCell ref="D70:E70"/>
    <mergeCell ref="F70:G70"/>
    <mergeCell ref="D69:E69"/>
    <mergeCell ref="A70:C70"/>
    <mergeCell ref="H61:J61"/>
    <mergeCell ref="D61:E61"/>
    <mergeCell ref="M62:O62"/>
    <mergeCell ref="L68:M68"/>
    <mergeCell ref="N68:O68"/>
    <mergeCell ref="N66:O67"/>
    <mergeCell ref="B60:C60"/>
    <mergeCell ref="H60:J60"/>
    <mergeCell ref="H67:I67"/>
    <mergeCell ref="A68:C68"/>
    <mergeCell ref="A66:C67"/>
    <mergeCell ref="D66:E67"/>
    <mergeCell ref="F68:G68"/>
    <mergeCell ref="D68:E68"/>
    <mergeCell ref="J67:K67"/>
    <mergeCell ref="B61:C61"/>
    <mergeCell ref="A52:C52"/>
    <mergeCell ref="H58:J58"/>
    <mergeCell ref="F58:G58"/>
    <mergeCell ref="N69:O69"/>
    <mergeCell ref="L70:M70"/>
    <mergeCell ref="J69:K69"/>
    <mergeCell ref="H68:I68"/>
    <mergeCell ref="K62:L62"/>
    <mergeCell ref="J68:K68"/>
    <mergeCell ref="D60:E60"/>
    <mergeCell ref="F60:G60"/>
    <mergeCell ref="H69:I69"/>
    <mergeCell ref="F66:I66"/>
    <mergeCell ref="F67:G67"/>
    <mergeCell ref="H70:I70"/>
    <mergeCell ref="J70:K70"/>
    <mergeCell ref="L67:M67"/>
    <mergeCell ref="H62:J62"/>
    <mergeCell ref="K61:L61"/>
    <mergeCell ref="J66:M66"/>
    <mergeCell ref="A64:O64"/>
    <mergeCell ref="B62:C62"/>
    <mergeCell ref="D62:E62"/>
    <mergeCell ref="F62:G62"/>
    <mergeCell ref="A48:C48"/>
    <mergeCell ref="G46:I46"/>
    <mergeCell ref="J46:L46"/>
    <mergeCell ref="A36:O36"/>
    <mergeCell ref="F40:O40"/>
    <mergeCell ref="B21:C21"/>
    <mergeCell ref="B22:C22"/>
    <mergeCell ref="D20:E20"/>
    <mergeCell ref="D21:E21"/>
    <mergeCell ref="L22:M22"/>
    <mergeCell ref="L24:M24"/>
    <mergeCell ref="L25:M25"/>
    <mergeCell ref="N25:O25"/>
    <mergeCell ref="A23:O23"/>
    <mergeCell ref="F25:G25"/>
    <mergeCell ref="J22:K22"/>
    <mergeCell ref="J24:K24"/>
    <mergeCell ref="J25:K25"/>
    <mergeCell ref="D24:E24"/>
    <mergeCell ref="H22:I22"/>
    <mergeCell ref="H24:I24"/>
    <mergeCell ref="H25:I25"/>
    <mergeCell ref="F22:G22"/>
    <mergeCell ref="N24:O24"/>
    <mergeCell ref="H16:I16"/>
    <mergeCell ref="H17:I17"/>
    <mergeCell ref="L16:M16"/>
    <mergeCell ref="N16:O16"/>
    <mergeCell ref="L17:M17"/>
    <mergeCell ref="N15:O15"/>
    <mergeCell ref="L13:M13"/>
    <mergeCell ref="N13:O13"/>
    <mergeCell ref="N14:O14"/>
    <mergeCell ref="H13:I13"/>
    <mergeCell ref="J13:K13"/>
    <mergeCell ref="N17:O17"/>
    <mergeCell ref="F15:G15"/>
    <mergeCell ref="F16:G16"/>
    <mergeCell ref="L15:M15"/>
    <mergeCell ref="D18:E18"/>
    <mergeCell ref="B16:C16"/>
    <mergeCell ref="B15:C15"/>
    <mergeCell ref="J17:K17"/>
    <mergeCell ref="N1:O1"/>
    <mergeCell ref="N2:O2"/>
    <mergeCell ref="A3:O3"/>
    <mergeCell ref="A4:O4"/>
    <mergeCell ref="A5:O5"/>
    <mergeCell ref="A6:O6"/>
    <mergeCell ref="A7:O7"/>
    <mergeCell ref="A8:O8"/>
    <mergeCell ref="B17:C17"/>
    <mergeCell ref="D15:E15"/>
    <mergeCell ref="H11:I11"/>
    <mergeCell ref="J11:K11"/>
    <mergeCell ref="D16:E16"/>
    <mergeCell ref="D17:E17"/>
    <mergeCell ref="H15:I15"/>
    <mergeCell ref="J15:K15"/>
    <mergeCell ref="J16:K16"/>
  </mergeCells>
  <phoneticPr fontId="3" type="noConversion"/>
  <pageMargins left="0.59055118110236227" right="0.59055118110236227" top="0.39370078740157483" bottom="0.39370078740157483" header="0" footer="0"/>
  <pageSetup paperSize="9" scale="50" orientation="landscape" horizontalDpi="1200" verticalDpi="1200" r:id="rId1"/>
  <headerFooter alignWithMargins="0"/>
  <rowBreaks count="1" manualBreakCount="1">
    <brk id="41" max="1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3"/>
    <pageSetUpPr fitToPage="1"/>
  </sheetPr>
  <dimension ref="A1:AF71"/>
  <sheetViews>
    <sheetView view="pageBreakPreview" topLeftCell="A24" zoomScale="55" zoomScaleNormal="50" zoomScaleSheetLayoutView="55" workbookViewId="0">
      <selection activeCell="AB59" sqref="AB59:AF59"/>
    </sheetView>
  </sheetViews>
  <sheetFormatPr defaultColWidth="9.1796875" defaultRowHeight="20.5" outlineLevelRow="1"/>
  <cols>
    <col min="1" max="2" width="4.453125" style="35" customWidth="1"/>
    <col min="3" max="3" width="28.7265625" style="35" customWidth="1"/>
    <col min="4" max="6" width="8.453125" style="35" customWidth="1"/>
    <col min="7" max="7" width="11.26953125" style="35" customWidth="1"/>
    <col min="8" max="8" width="6.54296875" style="35" customWidth="1"/>
    <col min="9" max="9" width="6.81640625" style="35" customWidth="1"/>
    <col min="10" max="10" width="8.7265625" style="35" customWidth="1"/>
    <col min="11" max="11" width="7" style="35" customWidth="1"/>
    <col min="12" max="12" width="6" style="35" customWidth="1"/>
    <col min="13" max="13" width="12.26953125" style="35" customWidth="1"/>
    <col min="14" max="14" width="12.54296875" style="179" customWidth="1"/>
    <col min="15" max="15" width="14.54296875" style="179" customWidth="1"/>
    <col min="16" max="16" width="14" style="179" customWidth="1"/>
    <col min="17" max="17" width="12.54296875" style="179" customWidth="1"/>
    <col min="18" max="18" width="12.26953125" style="179" customWidth="1"/>
    <col min="19" max="19" width="14.54296875" style="179" customWidth="1"/>
    <col min="20" max="20" width="14" style="179" customWidth="1"/>
    <col min="21" max="21" width="12.54296875" style="179" customWidth="1"/>
    <col min="22" max="22" width="12.26953125" style="179" customWidth="1"/>
    <col min="23" max="23" width="14.81640625" style="179" customWidth="1"/>
    <col min="24" max="24" width="14" style="179" customWidth="1"/>
    <col min="25" max="25" width="12.54296875" style="179" customWidth="1"/>
    <col min="26" max="26" width="12.26953125" style="179" customWidth="1"/>
    <col min="27" max="27" width="14.54296875" style="179" customWidth="1"/>
    <col min="28" max="28" width="13.7265625" style="179" customWidth="1"/>
    <col min="29" max="29" width="12.26953125" style="179" customWidth="1"/>
    <col min="30" max="30" width="12" style="179" customWidth="1"/>
    <col min="31" max="31" width="14.54296875" style="179" customWidth="1"/>
    <col min="32" max="32" width="14" style="179" customWidth="1"/>
    <col min="33" max="16384" width="9.1796875" style="35"/>
  </cols>
  <sheetData>
    <row r="1" spans="1:32" ht="18.75" hidden="1" customHeight="1" outlineLevel="1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161"/>
      <c r="O1" s="161"/>
      <c r="P1" s="161"/>
      <c r="R1" s="201"/>
      <c r="S1" s="201"/>
      <c r="T1" s="201"/>
      <c r="U1" s="201"/>
      <c r="V1" s="201"/>
      <c r="AD1" s="348" t="s">
        <v>241</v>
      </c>
      <c r="AE1" s="348"/>
      <c r="AF1" s="348"/>
    </row>
    <row r="2" spans="1:32" ht="18.75" hidden="1" customHeight="1" outlineLevel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161"/>
      <c r="O2" s="161"/>
      <c r="P2" s="161"/>
      <c r="R2" s="201"/>
      <c r="S2" s="201"/>
      <c r="T2" s="201"/>
      <c r="U2" s="201"/>
      <c r="V2" s="201"/>
      <c r="AD2" s="348"/>
      <c r="AE2" s="348"/>
      <c r="AF2" s="348"/>
    </row>
    <row r="3" spans="1:32" s="84" customFormat="1" ht="18.75" customHeight="1" collapsed="1">
      <c r="A3" s="289" t="s">
        <v>252</v>
      </c>
      <c r="B3" s="289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89"/>
      <c r="N3" s="289"/>
      <c r="O3" s="289"/>
      <c r="P3" s="289"/>
      <c r="Q3" s="289"/>
      <c r="R3" s="289"/>
      <c r="S3" s="289"/>
      <c r="T3" s="289"/>
      <c r="U3" s="289"/>
      <c r="V3" s="289"/>
      <c r="W3" s="289"/>
      <c r="X3" s="289"/>
      <c r="Y3" s="289"/>
      <c r="Z3" s="289"/>
      <c r="AA3" s="289"/>
      <c r="AB3" s="289"/>
      <c r="AC3" s="289"/>
      <c r="AD3" s="289"/>
      <c r="AE3" s="289"/>
      <c r="AF3" s="289"/>
    </row>
    <row r="4" spans="1:3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2"/>
      <c r="AC4" s="202"/>
      <c r="AD4" s="202"/>
      <c r="AE4" s="202"/>
      <c r="AF4" s="202"/>
    </row>
    <row r="5" spans="1:32" ht="27.75" customHeight="1">
      <c r="A5" s="434" t="s">
        <v>53</v>
      </c>
      <c r="B5" s="436" t="s">
        <v>196</v>
      </c>
      <c r="C5" s="437"/>
      <c r="D5" s="446" t="s">
        <v>197</v>
      </c>
      <c r="E5" s="447"/>
      <c r="F5" s="447"/>
      <c r="G5" s="288" t="s">
        <v>346</v>
      </c>
      <c r="H5" s="288"/>
      <c r="I5" s="288"/>
      <c r="J5" s="288"/>
      <c r="K5" s="288"/>
      <c r="L5" s="288"/>
      <c r="M5" s="288"/>
      <c r="N5" s="420" t="s">
        <v>198</v>
      </c>
      <c r="O5" s="489"/>
      <c r="P5" s="489"/>
      <c r="Q5" s="421"/>
      <c r="R5" s="428" t="s">
        <v>304</v>
      </c>
      <c r="S5" s="429"/>
      <c r="T5" s="429"/>
      <c r="U5" s="429"/>
      <c r="V5" s="429"/>
      <c r="W5" s="429"/>
      <c r="X5" s="429"/>
      <c r="Y5" s="429"/>
      <c r="Z5" s="429"/>
      <c r="AA5" s="429"/>
      <c r="AB5" s="429"/>
      <c r="AC5" s="429"/>
      <c r="AD5" s="429"/>
      <c r="AE5" s="429"/>
      <c r="AF5" s="430"/>
    </row>
    <row r="6" spans="1:32" ht="48.75" customHeight="1">
      <c r="A6" s="435"/>
      <c r="B6" s="438"/>
      <c r="C6" s="439"/>
      <c r="D6" s="448"/>
      <c r="E6" s="449"/>
      <c r="F6" s="449"/>
      <c r="G6" s="288"/>
      <c r="H6" s="288"/>
      <c r="I6" s="288"/>
      <c r="J6" s="288"/>
      <c r="K6" s="288"/>
      <c r="L6" s="288"/>
      <c r="M6" s="288"/>
      <c r="N6" s="422"/>
      <c r="O6" s="490"/>
      <c r="P6" s="490"/>
      <c r="Q6" s="423"/>
      <c r="R6" s="425" t="s">
        <v>199</v>
      </c>
      <c r="S6" s="426"/>
      <c r="T6" s="427"/>
      <c r="U6" s="425" t="s">
        <v>200</v>
      </c>
      <c r="V6" s="426"/>
      <c r="W6" s="427"/>
      <c r="X6" s="425" t="s">
        <v>41</v>
      </c>
      <c r="Y6" s="426"/>
      <c r="Z6" s="427"/>
      <c r="AA6" s="465" t="s">
        <v>201</v>
      </c>
      <c r="AB6" s="466"/>
      <c r="AC6" s="467"/>
      <c r="AD6" s="465" t="s">
        <v>202</v>
      </c>
      <c r="AE6" s="466"/>
      <c r="AF6" s="467"/>
    </row>
    <row r="7" spans="1:32" ht="18.75" customHeight="1">
      <c r="A7" s="65">
        <v>1</v>
      </c>
      <c r="B7" s="440">
        <v>2</v>
      </c>
      <c r="C7" s="441"/>
      <c r="D7" s="353">
        <v>3</v>
      </c>
      <c r="E7" s="491"/>
      <c r="F7" s="491"/>
      <c r="G7" s="337">
        <v>4</v>
      </c>
      <c r="H7" s="337"/>
      <c r="I7" s="337"/>
      <c r="J7" s="337"/>
      <c r="K7" s="337"/>
      <c r="L7" s="337"/>
      <c r="M7" s="337"/>
      <c r="N7" s="356">
        <v>5</v>
      </c>
      <c r="O7" s="357"/>
      <c r="P7" s="357"/>
      <c r="Q7" s="358"/>
      <c r="R7" s="356">
        <v>6</v>
      </c>
      <c r="S7" s="357"/>
      <c r="T7" s="358"/>
      <c r="U7" s="356">
        <v>7</v>
      </c>
      <c r="V7" s="357"/>
      <c r="W7" s="358"/>
      <c r="X7" s="374">
        <v>8</v>
      </c>
      <c r="Y7" s="387"/>
      <c r="Z7" s="375"/>
      <c r="AA7" s="374">
        <v>9</v>
      </c>
      <c r="AB7" s="387"/>
      <c r="AC7" s="375"/>
      <c r="AD7" s="374">
        <v>10</v>
      </c>
      <c r="AE7" s="387"/>
      <c r="AF7" s="375"/>
    </row>
    <row r="8" spans="1:32" ht="20.149999999999999" customHeight="1">
      <c r="A8" s="65">
        <v>1</v>
      </c>
      <c r="B8" s="442" t="s">
        <v>493</v>
      </c>
      <c r="C8" s="443"/>
      <c r="D8" s="453">
        <v>38687</v>
      </c>
      <c r="E8" s="454"/>
      <c r="F8" s="454"/>
      <c r="G8" s="414" t="s">
        <v>494</v>
      </c>
      <c r="H8" s="414"/>
      <c r="I8" s="414"/>
      <c r="J8" s="414"/>
      <c r="K8" s="414"/>
      <c r="L8" s="414"/>
      <c r="M8" s="414"/>
      <c r="N8" s="372">
        <f>R8+U8+X8+AA8</f>
        <v>181</v>
      </c>
      <c r="O8" s="386"/>
      <c r="P8" s="386"/>
      <c r="Q8" s="373"/>
      <c r="R8" s="362">
        <v>66</v>
      </c>
      <c r="S8" s="424"/>
      <c r="T8" s="363"/>
      <c r="U8" s="362">
        <v>94</v>
      </c>
      <c r="V8" s="424"/>
      <c r="W8" s="363"/>
      <c r="X8" s="362">
        <v>21</v>
      </c>
      <c r="Y8" s="424"/>
      <c r="Z8" s="363"/>
      <c r="AA8" s="362">
        <v>0</v>
      </c>
      <c r="AB8" s="424"/>
      <c r="AC8" s="363"/>
      <c r="AD8" s="372"/>
      <c r="AE8" s="386"/>
      <c r="AF8" s="373"/>
    </row>
    <row r="9" spans="1:32" ht="20.149999999999999" customHeight="1">
      <c r="A9" s="65">
        <v>2</v>
      </c>
      <c r="B9" s="442" t="s">
        <v>559</v>
      </c>
      <c r="C9" s="443"/>
      <c r="D9" s="453">
        <v>43061</v>
      </c>
      <c r="E9" s="454"/>
      <c r="F9" s="454"/>
      <c r="G9" s="414" t="s">
        <v>494</v>
      </c>
      <c r="H9" s="414"/>
      <c r="I9" s="414"/>
      <c r="J9" s="414"/>
      <c r="K9" s="414"/>
      <c r="L9" s="414"/>
      <c r="M9" s="414"/>
      <c r="N9" s="372">
        <f>R9+U9+X9+AA9</f>
        <v>248</v>
      </c>
      <c r="O9" s="386"/>
      <c r="P9" s="386"/>
      <c r="Q9" s="373"/>
      <c r="R9" s="362">
        <v>45</v>
      </c>
      <c r="S9" s="424"/>
      <c r="T9" s="363"/>
      <c r="U9" s="362">
        <v>150</v>
      </c>
      <c r="V9" s="424"/>
      <c r="W9" s="363"/>
      <c r="X9" s="362">
        <v>33</v>
      </c>
      <c r="Y9" s="424"/>
      <c r="Z9" s="363"/>
      <c r="AA9" s="362">
        <f>40/2</f>
        <v>20</v>
      </c>
      <c r="AB9" s="424"/>
      <c r="AC9" s="363"/>
      <c r="AD9" s="372"/>
      <c r="AE9" s="386"/>
      <c r="AF9" s="373"/>
    </row>
    <row r="10" spans="1:32" ht="25" customHeight="1">
      <c r="A10" s="450" t="s">
        <v>58</v>
      </c>
      <c r="B10" s="451"/>
      <c r="C10" s="451"/>
      <c r="D10" s="451"/>
      <c r="E10" s="451"/>
      <c r="F10" s="451"/>
      <c r="G10" s="451"/>
      <c r="H10" s="451"/>
      <c r="I10" s="451"/>
      <c r="J10" s="451"/>
      <c r="K10" s="451"/>
      <c r="L10" s="451"/>
      <c r="M10" s="452"/>
      <c r="N10" s="372"/>
      <c r="O10" s="386"/>
      <c r="P10" s="386"/>
      <c r="Q10" s="373"/>
      <c r="R10" s="362"/>
      <c r="S10" s="424"/>
      <c r="T10" s="363"/>
      <c r="U10" s="362"/>
      <c r="V10" s="424"/>
      <c r="W10" s="363"/>
      <c r="X10" s="362"/>
      <c r="Y10" s="424"/>
      <c r="Z10" s="363"/>
      <c r="AA10" s="362"/>
      <c r="AB10" s="424"/>
      <c r="AC10" s="363"/>
      <c r="AD10" s="372"/>
      <c r="AE10" s="386"/>
      <c r="AF10" s="373"/>
    </row>
    <row r="11" spans="1:32" ht="11.25" customHeight="1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217"/>
      <c r="AF11" s="217"/>
    </row>
    <row r="12" spans="1:32" ht="10.5" customHeight="1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212"/>
      <c r="O12" s="212"/>
      <c r="P12" s="212"/>
      <c r="Q12" s="212"/>
      <c r="R12" s="203"/>
      <c r="S12" s="203"/>
      <c r="T12" s="203"/>
      <c r="U12" s="203"/>
      <c r="V12" s="203"/>
      <c r="W12" s="203"/>
      <c r="X12" s="213"/>
      <c r="Y12" s="213"/>
      <c r="Z12" s="213"/>
      <c r="AA12" s="213"/>
      <c r="AB12" s="213"/>
      <c r="AC12" s="213"/>
      <c r="AD12" s="213"/>
      <c r="AE12" s="218"/>
      <c r="AF12" s="218"/>
    </row>
    <row r="13" spans="1:32" s="85" customFormat="1" ht="18.75" customHeight="1">
      <c r="A13" s="289" t="s">
        <v>253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289"/>
      <c r="Z13" s="289"/>
      <c r="AA13" s="289"/>
      <c r="AB13" s="289"/>
      <c r="AC13" s="289"/>
      <c r="AD13" s="289"/>
      <c r="AE13" s="289"/>
      <c r="AF13" s="289"/>
    </row>
    <row r="14" spans="1:32" s="63" customFormat="1" ht="18.75" customHeight="1"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204"/>
      <c r="AD14" s="204"/>
      <c r="AE14" s="204"/>
      <c r="AF14" s="204"/>
    </row>
    <row r="15" spans="1:32" ht="29.25" customHeight="1">
      <c r="A15" s="469" t="s">
        <v>53</v>
      </c>
      <c r="B15" s="436" t="s">
        <v>203</v>
      </c>
      <c r="C15" s="437"/>
      <c r="D15" s="288" t="s">
        <v>196</v>
      </c>
      <c r="E15" s="288"/>
      <c r="F15" s="288"/>
      <c r="G15" s="288"/>
      <c r="H15" s="288" t="s">
        <v>346</v>
      </c>
      <c r="I15" s="288"/>
      <c r="J15" s="288"/>
      <c r="K15" s="288"/>
      <c r="L15" s="288"/>
      <c r="M15" s="288"/>
      <c r="N15" s="288"/>
      <c r="O15" s="288"/>
      <c r="P15" s="288"/>
      <c r="Q15" s="288"/>
      <c r="R15" s="433" t="s">
        <v>204</v>
      </c>
      <c r="S15" s="433"/>
      <c r="T15" s="433"/>
      <c r="U15" s="433"/>
      <c r="V15" s="433"/>
      <c r="W15" s="292" t="s">
        <v>205</v>
      </c>
      <c r="X15" s="292"/>
      <c r="Y15" s="292"/>
      <c r="Z15" s="292"/>
      <c r="AA15" s="292"/>
      <c r="AB15" s="292"/>
      <c r="AC15" s="292"/>
      <c r="AD15" s="292"/>
      <c r="AE15" s="292"/>
      <c r="AF15" s="292"/>
    </row>
    <row r="16" spans="1:32" ht="25" customHeight="1">
      <c r="A16" s="469"/>
      <c r="B16" s="470"/>
      <c r="C16" s="471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433"/>
      <c r="S16" s="433"/>
      <c r="T16" s="433"/>
      <c r="U16" s="433"/>
      <c r="V16" s="433"/>
      <c r="W16" s="472" t="s">
        <v>309</v>
      </c>
      <c r="X16" s="472"/>
      <c r="Y16" s="420" t="s">
        <v>247</v>
      </c>
      <c r="Z16" s="421"/>
      <c r="AA16" s="420" t="s">
        <v>248</v>
      </c>
      <c r="AB16" s="421"/>
      <c r="AC16" s="420" t="s">
        <v>275</v>
      </c>
      <c r="AD16" s="421"/>
      <c r="AE16" s="420" t="s">
        <v>276</v>
      </c>
      <c r="AF16" s="421"/>
    </row>
    <row r="17" spans="1:32" ht="25" customHeight="1">
      <c r="A17" s="469"/>
      <c r="B17" s="438"/>
      <c r="C17" s="439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433"/>
      <c r="S17" s="433"/>
      <c r="T17" s="433"/>
      <c r="U17" s="433"/>
      <c r="V17" s="433"/>
      <c r="W17" s="472"/>
      <c r="X17" s="472"/>
      <c r="Y17" s="422"/>
      <c r="Z17" s="423"/>
      <c r="AA17" s="422"/>
      <c r="AB17" s="423"/>
      <c r="AC17" s="422"/>
      <c r="AD17" s="423"/>
      <c r="AE17" s="422"/>
      <c r="AF17" s="423"/>
    </row>
    <row r="18" spans="1:32" ht="18.75" customHeight="1">
      <c r="A18" s="67">
        <v>1</v>
      </c>
      <c r="B18" s="440">
        <v>2</v>
      </c>
      <c r="C18" s="441"/>
      <c r="D18" s="337">
        <v>3</v>
      </c>
      <c r="E18" s="337"/>
      <c r="F18" s="337"/>
      <c r="G18" s="337"/>
      <c r="H18" s="337">
        <v>4</v>
      </c>
      <c r="I18" s="337"/>
      <c r="J18" s="337"/>
      <c r="K18" s="337"/>
      <c r="L18" s="337"/>
      <c r="M18" s="337"/>
      <c r="N18" s="337"/>
      <c r="O18" s="337"/>
      <c r="P18" s="337"/>
      <c r="Q18" s="337"/>
      <c r="R18" s="359">
        <v>5</v>
      </c>
      <c r="S18" s="359"/>
      <c r="T18" s="359"/>
      <c r="U18" s="359"/>
      <c r="V18" s="359"/>
      <c r="W18" s="359">
        <v>6</v>
      </c>
      <c r="X18" s="359"/>
      <c r="Y18" s="361">
        <v>7</v>
      </c>
      <c r="Z18" s="361"/>
      <c r="AA18" s="361">
        <v>8</v>
      </c>
      <c r="AB18" s="361"/>
      <c r="AC18" s="361">
        <v>9</v>
      </c>
      <c r="AD18" s="361"/>
      <c r="AE18" s="361">
        <v>10</v>
      </c>
      <c r="AF18" s="361"/>
    </row>
    <row r="19" spans="1:32" ht="20.149999999999999" customHeight="1">
      <c r="A19" s="68"/>
      <c r="B19" s="444"/>
      <c r="C19" s="445"/>
      <c r="D19" s="414"/>
      <c r="E19" s="414"/>
      <c r="F19" s="414"/>
      <c r="G19" s="414"/>
      <c r="H19" s="431"/>
      <c r="I19" s="431"/>
      <c r="J19" s="431"/>
      <c r="K19" s="431"/>
      <c r="L19" s="431"/>
      <c r="M19" s="431"/>
      <c r="N19" s="431"/>
      <c r="O19" s="431"/>
      <c r="P19" s="431"/>
      <c r="Q19" s="431"/>
      <c r="R19" s="432"/>
      <c r="S19" s="432"/>
      <c r="T19" s="432"/>
      <c r="U19" s="432"/>
      <c r="V19" s="432"/>
      <c r="W19" s="378"/>
      <c r="X19" s="378"/>
      <c r="Y19" s="378"/>
      <c r="Z19" s="378"/>
      <c r="AA19" s="378"/>
      <c r="AB19" s="378"/>
      <c r="AC19" s="378"/>
      <c r="AD19" s="378"/>
      <c r="AE19" s="371"/>
      <c r="AF19" s="371"/>
    </row>
    <row r="20" spans="1:32" ht="20.149999999999999" customHeight="1">
      <c r="A20" s="68"/>
      <c r="B20" s="444"/>
      <c r="C20" s="445"/>
      <c r="D20" s="414"/>
      <c r="E20" s="414"/>
      <c r="F20" s="414"/>
      <c r="G20" s="414"/>
      <c r="H20" s="431"/>
      <c r="I20" s="431"/>
      <c r="J20" s="431"/>
      <c r="K20" s="431"/>
      <c r="L20" s="431"/>
      <c r="M20" s="431"/>
      <c r="N20" s="431"/>
      <c r="O20" s="431"/>
      <c r="P20" s="431"/>
      <c r="Q20" s="431"/>
      <c r="R20" s="432"/>
      <c r="S20" s="432"/>
      <c r="T20" s="432"/>
      <c r="U20" s="432"/>
      <c r="V20" s="432"/>
      <c r="W20" s="378"/>
      <c r="X20" s="378"/>
      <c r="Y20" s="378"/>
      <c r="Z20" s="378"/>
      <c r="AA20" s="378"/>
      <c r="AB20" s="378"/>
      <c r="AC20" s="378"/>
      <c r="AD20" s="378"/>
      <c r="AE20" s="371"/>
      <c r="AF20" s="371"/>
    </row>
    <row r="21" spans="1:32" ht="20.149999999999999" customHeight="1">
      <c r="A21" s="68"/>
      <c r="B21" s="444"/>
      <c r="C21" s="445"/>
      <c r="D21" s="414"/>
      <c r="E21" s="414"/>
      <c r="F21" s="414"/>
      <c r="G21" s="414"/>
      <c r="H21" s="431"/>
      <c r="I21" s="431"/>
      <c r="J21" s="431"/>
      <c r="K21" s="431"/>
      <c r="L21" s="431"/>
      <c r="M21" s="431"/>
      <c r="N21" s="431"/>
      <c r="O21" s="431"/>
      <c r="P21" s="431"/>
      <c r="Q21" s="431"/>
      <c r="R21" s="432"/>
      <c r="S21" s="432"/>
      <c r="T21" s="432"/>
      <c r="U21" s="432"/>
      <c r="V21" s="432"/>
      <c r="W21" s="378"/>
      <c r="X21" s="378"/>
      <c r="Y21" s="378"/>
      <c r="Z21" s="378"/>
      <c r="AA21" s="378"/>
      <c r="AB21" s="378"/>
      <c r="AC21" s="378"/>
      <c r="AD21" s="378"/>
      <c r="AE21" s="371"/>
      <c r="AF21" s="371"/>
    </row>
    <row r="22" spans="1:32" ht="20.149999999999999" customHeight="1">
      <c r="A22" s="68"/>
      <c r="B22" s="444"/>
      <c r="C22" s="445"/>
      <c r="D22" s="414"/>
      <c r="E22" s="414"/>
      <c r="F22" s="414"/>
      <c r="G22" s="414"/>
      <c r="H22" s="431"/>
      <c r="I22" s="431"/>
      <c r="J22" s="431"/>
      <c r="K22" s="431"/>
      <c r="L22" s="431"/>
      <c r="M22" s="431"/>
      <c r="N22" s="431"/>
      <c r="O22" s="431"/>
      <c r="P22" s="431"/>
      <c r="Q22" s="431"/>
      <c r="R22" s="432"/>
      <c r="S22" s="432"/>
      <c r="T22" s="432"/>
      <c r="U22" s="432"/>
      <c r="V22" s="432"/>
      <c r="W22" s="378"/>
      <c r="X22" s="378"/>
      <c r="Y22" s="378"/>
      <c r="Z22" s="378"/>
      <c r="AA22" s="378"/>
      <c r="AB22" s="378"/>
      <c r="AC22" s="378"/>
      <c r="AD22" s="378"/>
      <c r="AE22" s="371"/>
      <c r="AF22" s="371"/>
    </row>
    <row r="23" spans="1:32" ht="25" customHeight="1">
      <c r="A23" s="468" t="s">
        <v>58</v>
      </c>
      <c r="B23" s="468"/>
      <c r="C23" s="468"/>
      <c r="D23" s="468"/>
      <c r="E23" s="468"/>
      <c r="F23" s="468"/>
      <c r="G23" s="468"/>
      <c r="H23" s="468"/>
      <c r="I23" s="468"/>
      <c r="J23" s="468"/>
      <c r="K23" s="468"/>
      <c r="L23" s="468"/>
      <c r="M23" s="468"/>
      <c r="N23" s="468"/>
      <c r="O23" s="468"/>
      <c r="P23" s="468"/>
      <c r="Q23" s="468"/>
      <c r="R23" s="468"/>
      <c r="S23" s="468"/>
      <c r="T23" s="468"/>
      <c r="U23" s="468"/>
      <c r="V23" s="468"/>
      <c r="W23" s="378"/>
      <c r="X23" s="378"/>
      <c r="Y23" s="378"/>
      <c r="Z23" s="378"/>
      <c r="AA23" s="378"/>
      <c r="AB23" s="378"/>
      <c r="AC23" s="378"/>
      <c r="AD23" s="378"/>
      <c r="AE23" s="371"/>
      <c r="AF23" s="371"/>
    </row>
    <row r="24" spans="1:32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161"/>
      <c r="O24" s="161"/>
      <c r="P24" s="161"/>
      <c r="R24" s="201"/>
      <c r="S24" s="201"/>
      <c r="T24" s="201"/>
      <c r="U24" s="201"/>
      <c r="V24" s="201"/>
      <c r="AF24" s="201"/>
    </row>
    <row r="25" spans="1:32" ht="5.25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161"/>
      <c r="O25" s="161"/>
      <c r="P25" s="161"/>
      <c r="R25" s="201"/>
      <c r="S25" s="201"/>
      <c r="T25" s="201"/>
      <c r="U25" s="201"/>
      <c r="V25" s="201"/>
      <c r="AF25" s="201"/>
    </row>
    <row r="26" spans="1:32" s="85" customFormat="1" ht="18.75" customHeight="1">
      <c r="A26" s="289" t="s">
        <v>217</v>
      </c>
      <c r="B26" s="289"/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89"/>
      <c r="X26" s="289"/>
      <c r="Y26" s="289"/>
      <c r="Z26" s="289"/>
      <c r="AA26" s="289"/>
      <c r="AB26" s="289"/>
      <c r="AC26" s="289"/>
      <c r="AD26" s="289"/>
      <c r="AE26" s="289"/>
      <c r="AF26" s="289"/>
    </row>
    <row r="27" spans="1:32">
      <c r="A27" s="69"/>
      <c r="B27" s="69"/>
      <c r="C27" s="69"/>
      <c r="D27" s="69"/>
      <c r="E27" s="69"/>
      <c r="F27" s="69"/>
      <c r="G27" s="69"/>
      <c r="H27" s="69"/>
      <c r="I27" s="70"/>
      <c r="J27" s="70"/>
      <c r="K27" s="70"/>
      <c r="L27" s="70"/>
      <c r="M27" s="70"/>
      <c r="N27" s="205"/>
      <c r="O27" s="205"/>
      <c r="P27" s="205"/>
      <c r="Q27" s="205"/>
      <c r="R27" s="205"/>
      <c r="S27" s="205"/>
      <c r="T27" s="205"/>
      <c r="U27" s="205"/>
      <c r="V27" s="205"/>
      <c r="W27" s="214"/>
      <c r="Z27" s="461"/>
      <c r="AA27" s="461"/>
      <c r="AB27" s="461"/>
      <c r="AD27" s="461" t="s">
        <v>237</v>
      </c>
      <c r="AE27" s="461"/>
      <c r="AF27" s="461"/>
    </row>
    <row r="28" spans="1:32" ht="25" customHeight="1">
      <c r="A28" s="434" t="s">
        <v>53</v>
      </c>
      <c r="B28" s="436" t="s">
        <v>254</v>
      </c>
      <c r="C28" s="483"/>
      <c r="D28" s="483"/>
      <c r="E28" s="483"/>
      <c r="F28" s="483"/>
      <c r="G28" s="483"/>
      <c r="H28" s="483"/>
      <c r="I28" s="483"/>
      <c r="J28" s="483"/>
      <c r="K28" s="483"/>
      <c r="L28" s="437"/>
      <c r="M28" s="458" t="s">
        <v>57</v>
      </c>
      <c r="N28" s="459"/>
      <c r="O28" s="459"/>
      <c r="P28" s="460"/>
      <c r="Q28" s="455" t="s">
        <v>87</v>
      </c>
      <c r="R28" s="456"/>
      <c r="S28" s="456"/>
      <c r="T28" s="457"/>
      <c r="U28" s="455" t="s">
        <v>312</v>
      </c>
      <c r="V28" s="456"/>
      <c r="W28" s="456"/>
      <c r="X28" s="457"/>
      <c r="Y28" s="455" t="s">
        <v>127</v>
      </c>
      <c r="Z28" s="456"/>
      <c r="AA28" s="456"/>
      <c r="AB28" s="457"/>
      <c r="AC28" s="455" t="s">
        <v>58</v>
      </c>
      <c r="AD28" s="456"/>
      <c r="AE28" s="456"/>
      <c r="AF28" s="457"/>
    </row>
    <row r="29" spans="1:32" ht="25" customHeight="1">
      <c r="A29" s="482"/>
      <c r="B29" s="470"/>
      <c r="C29" s="484"/>
      <c r="D29" s="484"/>
      <c r="E29" s="484"/>
      <c r="F29" s="484"/>
      <c r="G29" s="484"/>
      <c r="H29" s="484"/>
      <c r="I29" s="484"/>
      <c r="J29" s="484"/>
      <c r="K29" s="484"/>
      <c r="L29" s="471"/>
      <c r="M29" s="486" t="s">
        <v>247</v>
      </c>
      <c r="N29" s="418" t="s">
        <v>248</v>
      </c>
      <c r="O29" s="418" t="s">
        <v>366</v>
      </c>
      <c r="P29" s="418" t="s">
        <v>367</v>
      </c>
      <c r="Q29" s="418" t="s">
        <v>247</v>
      </c>
      <c r="R29" s="418" t="s">
        <v>248</v>
      </c>
      <c r="S29" s="418" t="s">
        <v>366</v>
      </c>
      <c r="T29" s="418" t="s">
        <v>367</v>
      </c>
      <c r="U29" s="418" t="s">
        <v>247</v>
      </c>
      <c r="V29" s="418" t="s">
        <v>248</v>
      </c>
      <c r="W29" s="418" t="s">
        <v>366</v>
      </c>
      <c r="X29" s="418" t="s">
        <v>367</v>
      </c>
      <c r="Y29" s="418" t="s">
        <v>247</v>
      </c>
      <c r="Z29" s="418" t="s">
        <v>248</v>
      </c>
      <c r="AA29" s="418" t="s">
        <v>366</v>
      </c>
      <c r="AB29" s="418" t="s">
        <v>367</v>
      </c>
      <c r="AC29" s="418" t="s">
        <v>247</v>
      </c>
      <c r="AD29" s="418" t="s">
        <v>248</v>
      </c>
      <c r="AE29" s="418" t="s">
        <v>366</v>
      </c>
      <c r="AF29" s="418" t="s">
        <v>367</v>
      </c>
    </row>
    <row r="30" spans="1:32" ht="36.75" customHeight="1">
      <c r="A30" s="435"/>
      <c r="B30" s="438"/>
      <c r="C30" s="485"/>
      <c r="D30" s="485"/>
      <c r="E30" s="485"/>
      <c r="F30" s="485"/>
      <c r="G30" s="485"/>
      <c r="H30" s="485"/>
      <c r="I30" s="485"/>
      <c r="J30" s="485"/>
      <c r="K30" s="485"/>
      <c r="L30" s="439"/>
      <c r="M30" s="487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19"/>
      <c r="Z30" s="419"/>
      <c r="AA30" s="419"/>
      <c r="AB30" s="419"/>
      <c r="AC30" s="419"/>
      <c r="AD30" s="419"/>
      <c r="AE30" s="419"/>
      <c r="AF30" s="419"/>
    </row>
    <row r="31" spans="1:32" ht="18.75" customHeight="1">
      <c r="A31" s="68">
        <v>1</v>
      </c>
      <c r="B31" s="488">
        <v>2</v>
      </c>
      <c r="C31" s="488"/>
      <c r="D31" s="488"/>
      <c r="E31" s="488"/>
      <c r="F31" s="488"/>
      <c r="G31" s="488"/>
      <c r="H31" s="488"/>
      <c r="I31" s="488"/>
      <c r="J31" s="488"/>
      <c r="K31" s="488"/>
      <c r="L31" s="488"/>
      <c r="M31" s="31">
        <v>3</v>
      </c>
      <c r="N31" s="172">
        <v>4</v>
      </c>
      <c r="O31" s="172">
        <v>5</v>
      </c>
      <c r="P31" s="172">
        <v>6</v>
      </c>
      <c r="Q31" s="172">
        <v>7</v>
      </c>
      <c r="R31" s="172">
        <v>8</v>
      </c>
      <c r="S31" s="172">
        <v>9</v>
      </c>
      <c r="T31" s="172">
        <v>10</v>
      </c>
      <c r="U31" s="172">
        <v>11</v>
      </c>
      <c r="V31" s="172">
        <v>12</v>
      </c>
      <c r="W31" s="172">
        <v>13</v>
      </c>
      <c r="X31" s="172">
        <v>14</v>
      </c>
      <c r="Y31" s="172">
        <v>15</v>
      </c>
      <c r="Z31" s="172">
        <v>16</v>
      </c>
      <c r="AA31" s="172">
        <v>17</v>
      </c>
      <c r="AB31" s="172">
        <v>18</v>
      </c>
      <c r="AC31" s="172">
        <v>19</v>
      </c>
      <c r="AD31" s="172">
        <v>20</v>
      </c>
      <c r="AE31" s="172">
        <v>21</v>
      </c>
      <c r="AF31" s="172">
        <v>22</v>
      </c>
    </row>
    <row r="32" spans="1:32" ht="54.75" customHeight="1">
      <c r="A32" s="65">
        <v>1</v>
      </c>
      <c r="B32" s="477" t="s">
        <v>538</v>
      </c>
      <c r="C32" s="477"/>
      <c r="D32" s="477"/>
      <c r="E32" s="477"/>
      <c r="F32" s="477"/>
      <c r="G32" s="477"/>
      <c r="H32" s="477"/>
      <c r="I32" s="477"/>
      <c r="J32" s="477"/>
      <c r="K32" s="477"/>
      <c r="L32" s="477"/>
      <c r="M32" s="31"/>
      <c r="N32" s="172"/>
      <c r="O32" s="172"/>
      <c r="P32" s="206"/>
      <c r="Q32" s="172"/>
      <c r="R32" s="172"/>
      <c r="S32" s="172"/>
      <c r="T32" s="206"/>
      <c r="U32" s="172"/>
      <c r="V32" s="172"/>
      <c r="W32" s="172"/>
      <c r="X32" s="206"/>
      <c r="Y32" s="172"/>
      <c r="Z32" s="172"/>
      <c r="AA32" s="172"/>
      <c r="AB32" s="206"/>
      <c r="AC32" s="172">
        <f>U32</f>
        <v>0</v>
      </c>
      <c r="AD32" s="172"/>
      <c r="AE32" s="172"/>
      <c r="AF32" s="206"/>
    </row>
    <row r="33" spans="1:32" ht="54.75" customHeight="1">
      <c r="A33" s="65">
        <v>2</v>
      </c>
      <c r="B33" s="477" t="s">
        <v>539</v>
      </c>
      <c r="C33" s="477"/>
      <c r="D33" s="477"/>
      <c r="E33" s="477"/>
      <c r="F33" s="477"/>
      <c r="G33" s="477"/>
      <c r="H33" s="477"/>
      <c r="I33" s="477"/>
      <c r="J33" s="477"/>
      <c r="K33" s="477"/>
      <c r="L33" s="477"/>
      <c r="M33" s="31"/>
      <c r="N33" s="172"/>
      <c r="O33" s="172"/>
      <c r="P33" s="206"/>
      <c r="Q33" s="172"/>
      <c r="R33" s="172"/>
      <c r="S33" s="172"/>
      <c r="T33" s="206"/>
      <c r="U33" s="172"/>
      <c r="V33" s="172">
        <f>'4. Кап. інвестиції'!E8</f>
        <v>0</v>
      </c>
      <c r="W33" s="172"/>
      <c r="X33" s="206"/>
      <c r="Y33" s="172"/>
      <c r="Z33" s="172"/>
      <c r="AA33" s="172"/>
      <c r="AB33" s="206"/>
      <c r="AC33" s="172">
        <f>U33</f>
        <v>0</v>
      </c>
      <c r="AD33" s="172">
        <f>V33</f>
        <v>0</v>
      </c>
      <c r="AE33" s="172"/>
      <c r="AF33" s="206"/>
    </row>
    <row r="34" spans="1:32" ht="39" customHeight="1">
      <c r="A34" s="65">
        <v>3</v>
      </c>
      <c r="B34" s="477" t="s">
        <v>580</v>
      </c>
      <c r="C34" s="477"/>
      <c r="D34" s="477"/>
      <c r="E34" s="477"/>
      <c r="F34" s="477"/>
      <c r="G34" s="477"/>
      <c r="H34" s="477"/>
      <c r="I34" s="477"/>
      <c r="J34" s="477"/>
      <c r="K34" s="477"/>
      <c r="L34" s="477"/>
      <c r="M34" s="31"/>
      <c r="N34" s="172"/>
      <c r="O34" s="172"/>
      <c r="P34" s="206"/>
      <c r="Q34" s="172"/>
      <c r="R34" s="172"/>
      <c r="S34" s="172"/>
      <c r="T34" s="206"/>
      <c r="U34" s="267"/>
      <c r="V34" s="267">
        <f>'4. Кап. інвестиції'!E10</f>
        <v>11083.333333333334</v>
      </c>
      <c r="W34" s="267">
        <f>V34-U34</f>
        <v>11083.333333333334</v>
      </c>
      <c r="X34" s="206"/>
      <c r="Y34" s="172"/>
      <c r="Z34" s="172"/>
      <c r="AA34" s="172"/>
      <c r="AB34" s="206"/>
      <c r="AC34" s="172"/>
      <c r="AD34" s="172"/>
      <c r="AE34" s="172"/>
      <c r="AF34" s="206"/>
    </row>
    <row r="35" spans="1:32" ht="38.25" customHeight="1">
      <c r="A35" s="65">
        <v>4</v>
      </c>
      <c r="B35" s="474" t="s">
        <v>582</v>
      </c>
      <c r="C35" s="475"/>
      <c r="D35" s="475"/>
      <c r="E35" s="475"/>
      <c r="F35" s="475"/>
      <c r="G35" s="475"/>
      <c r="H35" s="475"/>
      <c r="I35" s="475"/>
      <c r="J35" s="475"/>
      <c r="K35" s="475"/>
      <c r="L35" s="476"/>
      <c r="M35" s="31"/>
      <c r="N35" s="172"/>
      <c r="O35" s="172"/>
      <c r="P35" s="206"/>
      <c r="Q35" s="172"/>
      <c r="R35" s="172"/>
      <c r="S35" s="172"/>
      <c r="T35" s="206"/>
      <c r="U35" s="267"/>
      <c r="V35" s="267">
        <f>'4. Кап. інвестиції'!E9</f>
        <v>0</v>
      </c>
      <c r="W35" s="267"/>
      <c r="X35" s="206"/>
      <c r="Y35" s="172"/>
      <c r="Z35" s="172"/>
      <c r="AA35" s="172"/>
      <c r="AB35" s="206"/>
      <c r="AC35" s="172"/>
      <c r="AD35" s="172"/>
      <c r="AE35" s="172"/>
      <c r="AF35" s="206"/>
    </row>
    <row r="36" spans="1:32" ht="25" customHeight="1">
      <c r="A36" s="474" t="s">
        <v>58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5"/>
      <c r="L36" s="476"/>
      <c r="M36" s="31"/>
      <c r="N36" s="172"/>
      <c r="O36" s="172"/>
      <c r="P36" s="206"/>
      <c r="Q36" s="172"/>
      <c r="R36" s="172"/>
      <c r="S36" s="172"/>
      <c r="T36" s="206"/>
      <c r="U36" s="267">
        <f>U34</f>
        <v>0</v>
      </c>
      <c r="V36" s="267">
        <f>V33+V34</f>
        <v>11083.333333333334</v>
      </c>
      <c r="W36" s="267">
        <f>V36-U36</f>
        <v>11083.333333333334</v>
      </c>
      <c r="X36" s="206"/>
      <c r="Y36" s="172"/>
      <c r="Z36" s="172"/>
      <c r="AA36" s="172"/>
      <c r="AB36" s="206"/>
      <c r="AC36" s="172">
        <f>SUM(AC32:AC33)</f>
        <v>0</v>
      </c>
      <c r="AD36" s="172">
        <f>AD33</f>
        <v>0</v>
      </c>
      <c r="AE36" s="172"/>
      <c r="AF36" s="206"/>
    </row>
    <row r="37" spans="1:32" ht="25" customHeight="1">
      <c r="A37" s="474" t="s">
        <v>59</v>
      </c>
      <c r="B37" s="475"/>
      <c r="C37" s="475"/>
      <c r="D37" s="475"/>
      <c r="E37" s="475"/>
      <c r="F37" s="475"/>
      <c r="G37" s="475"/>
      <c r="H37" s="475"/>
      <c r="I37" s="475"/>
      <c r="J37" s="475"/>
      <c r="K37" s="475"/>
      <c r="L37" s="476"/>
      <c r="M37" s="71" t="e">
        <f>M36/AC36*100</f>
        <v>#DIV/0!</v>
      </c>
      <c r="N37" s="206"/>
      <c r="O37" s="206"/>
      <c r="P37" s="206"/>
      <c r="Q37" s="215" t="e">
        <f>Q36/AC36*100</f>
        <v>#DIV/0!</v>
      </c>
      <c r="R37" s="206"/>
      <c r="S37" s="206"/>
      <c r="T37" s="206"/>
      <c r="U37" s="206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</row>
    <row r="38" spans="1:32" ht="15" customHeight="1">
      <c r="A38" s="62"/>
      <c r="B38" s="62"/>
      <c r="C38" s="6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207"/>
      <c r="O38" s="207"/>
      <c r="P38" s="207"/>
      <c r="Q38" s="207"/>
      <c r="R38" s="207"/>
      <c r="S38" s="207"/>
      <c r="T38" s="207"/>
      <c r="U38" s="207"/>
      <c r="V38" s="207"/>
    </row>
    <row r="39" spans="1:32" ht="5.25" customHeight="1">
      <c r="A39" s="62"/>
      <c r="B39" s="62"/>
      <c r="C39" s="6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207"/>
      <c r="O39" s="207"/>
      <c r="P39" s="207"/>
      <c r="Q39" s="207"/>
      <c r="R39" s="207"/>
      <c r="S39" s="207"/>
      <c r="T39" s="207"/>
      <c r="U39" s="207"/>
      <c r="V39" s="207"/>
    </row>
    <row r="40" spans="1:32" s="85" customFormat="1" ht="31.5" customHeight="1">
      <c r="A40" s="289" t="s">
        <v>255</v>
      </c>
      <c r="B40" s="289"/>
      <c r="C40" s="289"/>
      <c r="D40" s="289"/>
      <c r="E40" s="289"/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</row>
    <row r="41" spans="1:32" s="73" customFormat="1" ht="9" customHeight="1">
      <c r="A41" s="35"/>
      <c r="B41" s="35"/>
      <c r="C41" s="35"/>
      <c r="D41" s="35"/>
      <c r="E41" s="35"/>
      <c r="F41" s="35"/>
      <c r="G41" s="35"/>
      <c r="H41" s="35"/>
      <c r="I41" s="35"/>
      <c r="J41" s="35"/>
      <c r="L41" s="35"/>
      <c r="N41" s="208"/>
      <c r="O41" s="208"/>
      <c r="P41" s="208"/>
      <c r="Q41" s="208"/>
      <c r="R41" s="208"/>
      <c r="S41" s="208"/>
      <c r="T41" s="208"/>
      <c r="U41" s="208"/>
      <c r="V41" s="208"/>
      <c r="W41" s="208"/>
      <c r="X41" s="208"/>
      <c r="Y41" s="208"/>
      <c r="Z41" s="208"/>
      <c r="AA41" s="208"/>
      <c r="AB41" s="208"/>
      <c r="AC41" s="208"/>
      <c r="AD41" s="462" t="s">
        <v>237</v>
      </c>
      <c r="AE41" s="462"/>
      <c r="AF41" s="462"/>
    </row>
    <row r="42" spans="1:32" s="74" customFormat="1" ht="34.5" customHeight="1">
      <c r="A42" s="473" t="s">
        <v>210</v>
      </c>
      <c r="B42" s="446" t="s">
        <v>335</v>
      </c>
      <c r="C42" s="478"/>
      <c r="D42" s="337" t="s">
        <v>368</v>
      </c>
      <c r="E42" s="337"/>
      <c r="F42" s="288" t="s">
        <v>211</v>
      </c>
      <c r="G42" s="288"/>
      <c r="H42" s="337" t="s">
        <v>212</v>
      </c>
      <c r="I42" s="337"/>
      <c r="J42" s="337" t="s">
        <v>369</v>
      </c>
      <c r="K42" s="337"/>
      <c r="L42" s="287" t="s">
        <v>365</v>
      </c>
      <c r="M42" s="287"/>
      <c r="N42" s="287"/>
      <c r="O42" s="287"/>
      <c r="P42" s="287"/>
      <c r="Q42" s="287"/>
      <c r="R42" s="287"/>
      <c r="S42" s="287"/>
      <c r="T42" s="287"/>
      <c r="U42" s="287"/>
      <c r="V42" s="433" t="s">
        <v>336</v>
      </c>
      <c r="W42" s="433"/>
      <c r="X42" s="433"/>
      <c r="Y42" s="433"/>
      <c r="Z42" s="433"/>
      <c r="AA42" s="433" t="s">
        <v>337</v>
      </c>
      <c r="AB42" s="433"/>
      <c r="AC42" s="433"/>
      <c r="AD42" s="433"/>
      <c r="AE42" s="433"/>
      <c r="AF42" s="433"/>
    </row>
    <row r="43" spans="1:32" s="74" customFormat="1" ht="52.5" customHeight="1">
      <c r="A43" s="473"/>
      <c r="B43" s="479"/>
      <c r="C43" s="480"/>
      <c r="D43" s="337"/>
      <c r="E43" s="337"/>
      <c r="F43" s="288"/>
      <c r="G43" s="288"/>
      <c r="H43" s="337"/>
      <c r="I43" s="337"/>
      <c r="J43" s="337"/>
      <c r="K43" s="337"/>
      <c r="L43" s="288" t="s">
        <v>305</v>
      </c>
      <c r="M43" s="288"/>
      <c r="N43" s="359" t="s">
        <v>310</v>
      </c>
      <c r="O43" s="359"/>
      <c r="P43" s="433" t="s">
        <v>311</v>
      </c>
      <c r="Q43" s="433"/>
      <c r="R43" s="433"/>
      <c r="S43" s="433"/>
      <c r="T43" s="433"/>
      <c r="U43" s="433"/>
      <c r="V43" s="433"/>
      <c r="W43" s="433"/>
      <c r="X43" s="433"/>
      <c r="Y43" s="433"/>
      <c r="Z43" s="433"/>
      <c r="AA43" s="433"/>
      <c r="AB43" s="433"/>
      <c r="AC43" s="433"/>
      <c r="AD43" s="433"/>
      <c r="AE43" s="433"/>
      <c r="AF43" s="433"/>
    </row>
    <row r="44" spans="1:32" s="75" customFormat="1" ht="82.5" customHeight="1">
      <c r="A44" s="473"/>
      <c r="B44" s="448"/>
      <c r="C44" s="481"/>
      <c r="D44" s="337"/>
      <c r="E44" s="337"/>
      <c r="F44" s="288"/>
      <c r="G44" s="288"/>
      <c r="H44" s="337"/>
      <c r="I44" s="337"/>
      <c r="J44" s="337"/>
      <c r="K44" s="337"/>
      <c r="L44" s="288"/>
      <c r="M44" s="288"/>
      <c r="N44" s="359"/>
      <c r="O44" s="359"/>
      <c r="P44" s="433" t="s">
        <v>306</v>
      </c>
      <c r="Q44" s="433"/>
      <c r="R44" s="433" t="s">
        <v>307</v>
      </c>
      <c r="S44" s="433"/>
      <c r="T44" s="433" t="s">
        <v>308</v>
      </c>
      <c r="U44" s="433"/>
      <c r="V44" s="433"/>
      <c r="W44" s="433"/>
      <c r="X44" s="433"/>
      <c r="Y44" s="433"/>
      <c r="Z44" s="433"/>
      <c r="AA44" s="433"/>
      <c r="AB44" s="433"/>
      <c r="AC44" s="433"/>
      <c r="AD44" s="433"/>
      <c r="AE44" s="433"/>
      <c r="AF44" s="433"/>
    </row>
    <row r="45" spans="1:32" s="74" customFormat="1" ht="18.75" customHeight="1">
      <c r="A45" s="52">
        <v>1</v>
      </c>
      <c r="B45" s="353">
        <v>2</v>
      </c>
      <c r="C45" s="354"/>
      <c r="D45" s="337">
        <v>3</v>
      </c>
      <c r="E45" s="337"/>
      <c r="F45" s="337">
        <v>4</v>
      </c>
      <c r="G45" s="337"/>
      <c r="H45" s="337">
        <v>5</v>
      </c>
      <c r="I45" s="337"/>
      <c r="J45" s="337">
        <v>6</v>
      </c>
      <c r="K45" s="337"/>
      <c r="L45" s="353">
        <v>7</v>
      </c>
      <c r="M45" s="354"/>
      <c r="N45" s="356">
        <v>8</v>
      </c>
      <c r="O45" s="358"/>
      <c r="P45" s="359">
        <v>9</v>
      </c>
      <c r="Q45" s="359"/>
      <c r="R45" s="361">
        <v>10</v>
      </c>
      <c r="S45" s="361"/>
      <c r="T45" s="359">
        <v>11</v>
      </c>
      <c r="U45" s="359"/>
      <c r="V45" s="359">
        <v>12</v>
      </c>
      <c r="W45" s="359"/>
      <c r="X45" s="359"/>
      <c r="Y45" s="359"/>
      <c r="Z45" s="359"/>
      <c r="AA45" s="359">
        <v>13</v>
      </c>
      <c r="AB45" s="359"/>
      <c r="AC45" s="359"/>
      <c r="AD45" s="359"/>
      <c r="AE45" s="359"/>
      <c r="AF45" s="359"/>
    </row>
    <row r="46" spans="1:32" s="74" customFormat="1" ht="20.149999999999999" customHeight="1">
      <c r="A46" s="76"/>
      <c r="B46" s="463"/>
      <c r="C46" s="464"/>
      <c r="D46" s="414"/>
      <c r="E46" s="414"/>
      <c r="F46" s="347"/>
      <c r="G46" s="347"/>
      <c r="H46" s="347"/>
      <c r="I46" s="347"/>
      <c r="J46" s="347"/>
      <c r="K46" s="347"/>
      <c r="L46" s="362"/>
      <c r="M46" s="363"/>
      <c r="N46" s="372"/>
      <c r="O46" s="373"/>
      <c r="P46" s="378"/>
      <c r="Q46" s="378"/>
      <c r="R46" s="378"/>
      <c r="S46" s="378"/>
      <c r="T46" s="378"/>
      <c r="U46" s="378"/>
      <c r="V46" s="412"/>
      <c r="W46" s="412"/>
      <c r="X46" s="412"/>
      <c r="Y46" s="412"/>
      <c r="Z46" s="412"/>
      <c r="AA46" s="378"/>
      <c r="AB46" s="378"/>
      <c r="AC46" s="378"/>
      <c r="AD46" s="378"/>
      <c r="AE46" s="378"/>
      <c r="AF46" s="378"/>
    </row>
    <row r="47" spans="1:32" s="74" customFormat="1" ht="20.149999999999999" customHeight="1">
      <c r="A47" s="76"/>
      <c r="B47" s="463"/>
      <c r="C47" s="464"/>
      <c r="D47" s="414"/>
      <c r="E47" s="414"/>
      <c r="F47" s="347"/>
      <c r="G47" s="347"/>
      <c r="H47" s="347"/>
      <c r="I47" s="347"/>
      <c r="J47" s="347"/>
      <c r="K47" s="347"/>
      <c r="L47" s="362"/>
      <c r="M47" s="363"/>
      <c r="N47" s="372"/>
      <c r="O47" s="373"/>
      <c r="P47" s="378"/>
      <c r="Q47" s="378"/>
      <c r="R47" s="378"/>
      <c r="S47" s="378"/>
      <c r="T47" s="378"/>
      <c r="U47" s="378"/>
      <c r="V47" s="412"/>
      <c r="W47" s="412"/>
      <c r="X47" s="412"/>
      <c r="Y47" s="412"/>
      <c r="Z47" s="412"/>
      <c r="AA47" s="378"/>
      <c r="AB47" s="378"/>
      <c r="AC47" s="378"/>
      <c r="AD47" s="378"/>
      <c r="AE47" s="378"/>
      <c r="AF47" s="378"/>
    </row>
    <row r="48" spans="1:32" s="74" customFormat="1" ht="20.149999999999999" customHeight="1">
      <c r="A48" s="76"/>
      <c r="B48" s="463"/>
      <c r="C48" s="464"/>
      <c r="D48" s="414"/>
      <c r="E48" s="414"/>
      <c r="F48" s="347"/>
      <c r="G48" s="347"/>
      <c r="H48" s="347"/>
      <c r="I48" s="347"/>
      <c r="J48" s="347"/>
      <c r="K48" s="347"/>
      <c r="L48" s="362"/>
      <c r="M48" s="363"/>
      <c r="N48" s="372"/>
      <c r="O48" s="373"/>
      <c r="P48" s="378"/>
      <c r="Q48" s="378"/>
      <c r="R48" s="378"/>
      <c r="S48" s="378"/>
      <c r="T48" s="378"/>
      <c r="U48" s="378"/>
      <c r="V48" s="412"/>
      <c r="W48" s="412"/>
      <c r="X48" s="412"/>
      <c r="Y48" s="412"/>
      <c r="Z48" s="412"/>
      <c r="AA48" s="378"/>
      <c r="AB48" s="378"/>
      <c r="AC48" s="378"/>
      <c r="AD48" s="378"/>
      <c r="AE48" s="378"/>
      <c r="AF48" s="378"/>
    </row>
    <row r="49" spans="1:32" s="74" customFormat="1" ht="20.149999999999999" customHeight="1">
      <c r="A49" s="76"/>
      <c r="B49" s="463"/>
      <c r="C49" s="464"/>
      <c r="D49" s="414"/>
      <c r="E49" s="414"/>
      <c r="F49" s="347"/>
      <c r="G49" s="347"/>
      <c r="H49" s="347"/>
      <c r="I49" s="347"/>
      <c r="J49" s="347"/>
      <c r="K49" s="347"/>
      <c r="L49" s="362"/>
      <c r="M49" s="363"/>
      <c r="N49" s="372"/>
      <c r="O49" s="373"/>
      <c r="P49" s="378"/>
      <c r="Q49" s="378"/>
      <c r="R49" s="378"/>
      <c r="S49" s="378"/>
      <c r="T49" s="378"/>
      <c r="U49" s="378"/>
      <c r="V49" s="412"/>
      <c r="W49" s="412"/>
      <c r="X49" s="412"/>
      <c r="Y49" s="412"/>
      <c r="Z49" s="412"/>
      <c r="AA49" s="378"/>
      <c r="AB49" s="378"/>
      <c r="AC49" s="378"/>
      <c r="AD49" s="378"/>
      <c r="AE49" s="378"/>
      <c r="AF49" s="378"/>
    </row>
    <row r="50" spans="1:32" s="74" customFormat="1" ht="20.149999999999999" customHeight="1">
      <c r="A50" s="76"/>
      <c r="B50" s="463"/>
      <c r="C50" s="464"/>
      <c r="D50" s="414"/>
      <c r="E50" s="414"/>
      <c r="F50" s="347"/>
      <c r="G50" s="347"/>
      <c r="H50" s="347"/>
      <c r="I50" s="347"/>
      <c r="J50" s="347"/>
      <c r="K50" s="347"/>
      <c r="L50" s="362"/>
      <c r="M50" s="363"/>
      <c r="N50" s="372"/>
      <c r="O50" s="373"/>
      <c r="P50" s="378"/>
      <c r="Q50" s="378"/>
      <c r="R50" s="378"/>
      <c r="S50" s="378"/>
      <c r="T50" s="378"/>
      <c r="U50" s="378"/>
      <c r="V50" s="412"/>
      <c r="W50" s="412"/>
      <c r="X50" s="412"/>
      <c r="Y50" s="412"/>
      <c r="Z50" s="412"/>
      <c r="AA50" s="378"/>
      <c r="AB50" s="378"/>
      <c r="AC50" s="378"/>
      <c r="AD50" s="378"/>
      <c r="AE50" s="378"/>
      <c r="AF50" s="378"/>
    </row>
    <row r="51" spans="1:32" s="74" customFormat="1" ht="20.149999999999999" customHeight="1">
      <c r="A51" s="76"/>
      <c r="B51" s="463"/>
      <c r="C51" s="464"/>
      <c r="D51" s="414"/>
      <c r="E51" s="414"/>
      <c r="F51" s="347"/>
      <c r="G51" s="347"/>
      <c r="H51" s="347"/>
      <c r="I51" s="347"/>
      <c r="J51" s="347"/>
      <c r="K51" s="347"/>
      <c r="L51" s="362"/>
      <c r="M51" s="363"/>
      <c r="N51" s="372"/>
      <c r="O51" s="373"/>
      <c r="P51" s="378"/>
      <c r="Q51" s="378"/>
      <c r="R51" s="378"/>
      <c r="S51" s="378"/>
      <c r="T51" s="378"/>
      <c r="U51" s="378"/>
      <c r="V51" s="412"/>
      <c r="W51" s="412"/>
      <c r="X51" s="412"/>
      <c r="Y51" s="412"/>
      <c r="Z51" s="412"/>
      <c r="AA51" s="378"/>
      <c r="AB51" s="378"/>
      <c r="AC51" s="378"/>
      <c r="AD51" s="378"/>
      <c r="AE51" s="378"/>
      <c r="AF51" s="378"/>
    </row>
    <row r="52" spans="1:32" s="74" customFormat="1" ht="20.149999999999999" customHeight="1">
      <c r="A52" s="76"/>
      <c r="B52" s="463"/>
      <c r="C52" s="464"/>
      <c r="D52" s="414"/>
      <c r="E52" s="414"/>
      <c r="F52" s="347"/>
      <c r="G52" s="347"/>
      <c r="H52" s="347"/>
      <c r="I52" s="347"/>
      <c r="J52" s="347"/>
      <c r="K52" s="347"/>
      <c r="L52" s="362"/>
      <c r="M52" s="363"/>
      <c r="N52" s="372"/>
      <c r="O52" s="373"/>
      <c r="P52" s="378"/>
      <c r="Q52" s="378"/>
      <c r="R52" s="378"/>
      <c r="S52" s="378"/>
      <c r="T52" s="378"/>
      <c r="U52" s="378"/>
      <c r="V52" s="412"/>
      <c r="W52" s="412"/>
      <c r="X52" s="412"/>
      <c r="Y52" s="412"/>
      <c r="Z52" s="412"/>
      <c r="AA52" s="378"/>
      <c r="AB52" s="378"/>
      <c r="AC52" s="378"/>
      <c r="AD52" s="378"/>
      <c r="AE52" s="378"/>
      <c r="AF52" s="378"/>
    </row>
    <row r="53" spans="1:32" s="74" customFormat="1" ht="25" customHeight="1">
      <c r="A53" s="415" t="s">
        <v>58</v>
      </c>
      <c r="B53" s="416"/>
      <c r="C53" s="416"/>
      <c r="D53" s="416"/>
      <c r="E53" s="417"/>
      <c r="F53" s="347"/>
      <c r="G53" s="347"/>
      <c r="H53" s="347"/>
      <c r="I53" s="347"/>
      <c r="J53" s="347"/>
      <c r="K53" s="347"/>
      <c r="L53" s="362"/>
      <c r="M53" s="363"/>
      <c r="N53" s="372"/>
      <c r="O53" s="373"/>
      <c r="P53" s="378"/>
      <c r="Q53" s="378"/>
      <c r="R53" s="378"/>
      <c r="S53" s="378"/>
      <c r="T53" s="378"/>
      <c r="U53" s="378"/>
      <c r="V53" s="412"/>
      <c r="W53" s="412"/>
      <c r="X53" s="412"/>
      <c r="Y53" s="412"/>
      <c r="Z53" s="412"/>
      <c r="AA53" s="378"/>
      <c r="AB53" s="378"/>
      <c r="AC53" s="378"/>
      <c r="AD53" s="378"/>
      <c r="AE53" s="378"/>
      <c r="AF53" s="378"/>
    </row>
    <row r="54" spans="1:32" ht="15" customHeight="1">
      <c r="A54" s="62"/>
      <c r="B54" s="62"/>
      <c r="C54" s="6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207"/>
      <c r="O54" s="207"/>
      <c r="P54" s="207"/>
      <c r="Q54" s="207"/>
      <c r="R54" s="207"/>
      <c r="S54" s="207"/>
      <c r="T54" s="207"/>
      <c r="U54" s="207"/>
      <c r="V54" s="207"/>
    </row>
    <row r="55" spans="1:32" ht="15" customHeight="1">
      <c r="A55" s="62"/>
      <c r="B55" s="62"/>
      <c r="C55" s="6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207"/>
      <c r="O55" s="207"/>
      <c r="P55" s="207"/>
      <c r="Q55" s="207"/>
      <c r="R55" s="207"/>
      <c r="S55" s="207"/>
      <c r="T55" s="207"/>
      <c r="U55" s="207"/>
      <c r="V55" s="207"/>
    </row>
    <row r="56" spans="1:32">
      <c r="A56" s="62"/>
      <c r="B56" s="62"/>
      <c r="C56" s="6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207"/>
      <c r="O56" s="207"/>
      <c r="P56" s="207"/>
      <c r="Q56" s="207"/>
      <c r="R56" s="207"/>
      <c r="S56" s="207"/>
      <c r="T56" s="207"/>
      <c r="U56" s="207"/>
      <c r="V56" s="207"/>
    </row>
    <row r="57" spans="1:32" ht="15" customHeight="1">
      <c r="A57" s="62"/>
      <c r="B57" s="62"/>
      <c r="C57" s="6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207"/>
      <c r="O57" s="207"/>
      <c r="P57" s="207"/>
      <c r="Q57" s="207"/>
      <c r="R57" s="207"/>
      <c r="S57" s="207"/>
      <c r="T57" s="207"/>
      <c r="U57" s="207"/>
      <c r="V57" s="207"/>
    </row>
    <row r="58" spans="1:32" s="84" customFormat="1" ht="27" customHeight="1">
      <c r="A58" s="289" t="s">
        <v>620</v>
      </c>
      <c r="B58" s="289"/>
      <c r="C58" s="289"/>
      <c r="D58" s="289"/>
      <c r="E58" s="289"/>
      <c r="F58" s="289"/>
      <c r="G58" s="289"/>
      <c r="H58" s="289"/>
      <c r="I58" s="289"/>
      <c r="J58" s="289"/>
      <c r="K58" s="86"/>
      <c r="L58" s="86"/>
      <c r="M58" s="410"/>
      <c r="N58" s="410"/>
      <c r="O58" s="410"/>
      <c r="P58" s="410"/>
      <c r="Q58" s="410"/>
      <c r="R58" s="209"/>
      <c r="S58" s="209"/>
      <c r="T58" s="209"/>
      <c r="U58" s="209"/>
      <c r="V58" s="209"/>
      <c r="W58" s="293"/>
      <c r="X58" s="293"/>
      <c r="Y58" s="293"/>
      <c r="Z58" s="293"/>
      <c r="AA58" s="293"/>
      <c r="AB58" s="411" t="s">
        <v>621</v>
      </c>
      <c r="AC58" s="411"/>
      <c r="AD58" s="411"/>
      <c r="AE58" s="411"/>
      <c r="AF58" s="411"/>
    </row>
    <row r="59" spans="1:32" s="28" customFormat="1">
      <c r="B59" s="413" t="s">
        <v>77</v>
      </c>
      <c r="C59" s="413"/>
      <c r="D59" s="413"/>
      <c r="E59" s="413"/>
      <c r="F59" s="413"/>
      <c r="G59" s="413"/>
      <c r="H59" s="62"/>
      <c r="I59" s="62"/>
      <c r="J59" s="63"/>
      <c r="K59" s="63"/>
      <c r="L59" s="63"/>
      <c r="N59" s="179"/>
      <c r="O59" s="179"/>
      <c r="P59" s="179"/>
      <c r="Q59" s="179"/>
      <c r="R59" s="179" t="s">
        <v>78</v>
      </c>
      <c r="S59" s="180"/>
      <c r="T59" s="180"/>
      <c r="U59" s="180"/>
      <c r="V59" s="179"/>
      <c r="W59" s="180"/>
      <c r="X59" s="180"/>
      <c r="Y59" s="180"/>
      <c r="Z59" s="180"/>
      <c r="AA59" s="180"/>
      <c r="AB59" s="409" t="s">
        <v>128</v>
      </c>
      <c r="AC59" s="409"/>
      <c r="AD59" s="409"/>
      <c r="AE59" s="409"/>
      <c r="AF59" s="409"/>
    </row>
    <row r="60" spans="1:32" s="77" customFormat="1" ht="16.5" customHeight="1">
      <c r="C60" s="78"/>
      <c r="D60" s="79"/>
      <c r="E60" s="79"/>
      <c r="F60" s="80"/>
      <c r="G60" s="80"/>
      <c r="H60" s="80"/>
      <c r="I60" s="80"/>
      <c r="J60" s="80"/>
      <c r="K60" s="80"/>
      <c r="L60" s="80"/>
      <c r="M60" s="80"/>
      <c r="N60" s="216"/>
      <c r="O60" s="210"/>
      <c r="P60" s="210"/>
      <c r="Q60" s="210"/>
      <c r="R60" s="210"/>
      <c r="S60" s="210"/>
      <c r="T60" s="210"/>
      <c r="U60" s="210"/>
      <c r="V60" s="210"/>
      <c r="W60" s="210"/>
      <c r="X60" s="210"/>
      <c r="Y60" s="210"/>
      <c r="Z60" s="210"/>
      <c r="AA60" s="210"/>
      <c r="AB60" s="216"/>
      <c r="AC60" s="216"/>
      <c r="AD60" s="216"/>
      <c r="AE60" s="216"/>
      <c r="AF60" s="216"/>
    </row>
    <row r="61" spans="1:32"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211"/>
      <c r="O61" s="211"/>
      <c r="P61" s="211"/>
      <c r="Q61" s="211"/>
      <c r="R61" s="211"/>
      <c r="S61" s="211"/>
      <c r="T61" s="211"/>
      <c r="U61" s="211"/>
      <c r="V61" s="211"/>
    </row>
    <row r="62" spans="1:32">
      <c r="C62" s="82"/>
    </row>
    <row r="65" spans="3:3">
      <c r="C65" s="83"/>
    </row>
    <row r="66" spans="3:3">
      <c r="C66" s="83"/>
    </row>
    <row r="67" spans="3:3">
      <c r="C67" s="83"/>
    </row>
    <row r="68" spans="3:3">
      <c r="C68" s="83"/>
    </row>
    <row r="69" spans="3:3">
      <c r="C69" s="83"/>
    </row>
    <row r="70" spans="3:3">
      <c r="C70" s="83"/>
    </row>
    <row r="71" spans="3:3">
      <c r="C71" s="83"/>
    </row>
  </sheetData>
  <mergeCells count="278">
    <mergeCell ref="W29:W30"/>
    <mergeCell ref="A3:AF3"/>
    <mergeCell ref="A13:AF13"/>
    <mergeCell ref="A26:AF26"/>
    <mergeCell ref="A40:AF40"/>
    <mergeCell ref="B31:L31"/>
    <mergeCell ref="B32:L32"/>
    <mergeCell ref="U29:U30"/>
    <mergeCell ref="AA6:AC6"/>
    <mergeCell ref="N5:Q6"/>
    <mergeCell ref="AC29:AC30"/>
    <mergeCell ref="R29:R30"/>
    <mergeCell ref="V29:V30"/>
    <mergeCell ref="B21:C21"/>
    <mergeCell ref="B22:C22"/>
    <mergeCell ref="W21:X21"/>
    <mergeCell ref="AC28:AF28"/>
    <mergeCell ref="D7:F7"/>
    <mergeCell ref="D8:F8"/>
    <mergeCell ref="B33:L33"/>
    <mergeCell ref="D22:G22"/>
    <mergeCell ref="W15:AF15"/>
    <mergeCell ref="AF29:AF30"/>
    <mergeCell ref="R18:V18"/>
    <mergeCell ref="A28:A30"/>
    <mergeCell ref="T29:T30"/>
    <mergeCell ref="P29:P30"/>
    <mergeCell ref="S29:S30"/>
    <mergeCell ref="B28:L30"/>
    <mergeCell ref="M29:M30"/>
    <mergeCell ref="Q28:T28"/>
    <mergeCell ref="Q29:Q30"/>
    <mergeCell ref="D21:G21"/>
    <mergeCell ref="H21:Q21"/>
    <mergeCell ref="T44:U44"/>
    <mergeCell ref="Y23:Z23"/>
    <mergeCell ref="W22:X22"/>
    <mergeCell ref="W18:X18"/>
    <mergeCell ref="H18:Q18"/>
    <mergeCell ref="R19:V19"/>
    <mergeCell ref="W19:X19"/>
    <mergeCell ref="Y19:Z19"/>
    <mergeCell ref="H48:I48"/>
    <mergeCell ref="J48:K48"/>
    <mergeCell ref="B35:L35"/>
    <mergeCell ref="B45:C45"/>
    <mergeCell ref="A37:L37"/>
    <mergeCell ref="A36:L36"/>
    <mergeCell ref="J42:K44"/>
    <mergeCell ref="B34:L34"/>
    <mergeCell ref="B42:C44"/>
    <mergeCell ref="D45:E45"/>
    <mergeCell ref="J47:K47"/>
    <mergeCell ref="L43:M44"/>
    <mergeCell ref="J46:K46"/>
    <mergeCell ref="H45:I45"/>
    <mergeCell ref="D48:E48"/>
    <mergeCell ref="J45:K45"/>
    <mergeCell ref="A42:A44"/>
    <mergeCell ref="P43:U43"/>
    <mergeCell ref="AA49:AF49"/>
    <mergeCell ref="AA48:AF48"/>
    <mergeCell ref="L46:M46"/>
    <mergeCell ref="P46:Q46"/>
    <mergeCell ref="AA45:AF45"/>
    <mergeCell ref="AA46:AF46"/>
    <mergeCell ref="L47:M47"/>
    <mergeCell ref="L48:M48"/>
    <mergeCell ref="P45:Q45"/>
    <mergeCell ref="N45:O45"/>
    <mergeCell ref="L45:M45"/>
    <mergeCell ref="N48:O48"/>
    <mergeCell ref="N47:O47"/>
    <mergeCell ref="N46:O46"/>
    <mergeCell ref="H47:I47"/>
    <mergeCell ref="H46:I46"/>
    <mergeCell ref="L42:U42"/>
    <mergeCell ref="D42:E44"/>
    <mergeCell ref="F42:G44"/>
    <mergeCell ref="H42:I44"/>
    <mergeCell ref="N43:O44"/>
    <mergeCell ref="R44:S44"/>
    <mergeCell ref="AD7:AF7"/>
    <mergeCell ref="AD6:AF6"/>
    <mergeCell ref="U6:W6"/>
    <mergeCell ref="X6:Z6"/>
    <mergeCell ref="AE23:AF23"/>
    <mergeCell ref="N7:Q7"/>
    <mergeCell ref="H22:Q22"/>
    <mergeCell ref="A23:V23"/>
    <mergeCell ref="AA7:AC7"/>
    <mergeCell ref="X7:Z7"/>
    <mergeCell ref="A15:A17"/>
    <mergeCell ref="D15:G17"/>
    <mergeCell ref="H15:Q17"/>
    <mergeCell ref="B15:C17"/>
    <mergeCell ref="W16:X17"/>
    <mergeCell ref="X10:Z10"/>
    <mergeCell ref="AA16:AB17"/>
    <mergeCell ref="G7:M7"/>
    <mergeCell ref="B9:C9"/>
    <mergeCell ref="U7:W7"/>
    <mergeCell ref="U8:W8"/>
    <mergeCell ref="R7:T7"/>
    <mergeCell ref="R22:V22"/>
    <mergeCell ref="W23:X23"/>
    <mergeCell ref="AA52:AF52"/>
    <mergeCell ref="T46:U46"/>
    <mergeCell ref="V45:Z45"/>
    <mergeCell ref="P51:Q51"/>
    <mergeCell ref="R51:S51"/>
    <mergeCell ref="AA53:AF53"/>
    <mergeCell ref="AA50:AF50"/>
    <mergeCell ref="AA51:AF51"/>
    <mergeCell ref="P47:Q47"/>
    <mergeCell ref="R48:S48"/>
    <mergeCell ref="P48:Q48"/>
    <mergeCell ref="R50:S50"/>
    <mergeCell ref="V53:Z53"/>
    <mergeCell ref="AA47:AF47"/>
    <mergeCell ref="R46:S46"/>
    <mergeCell ref="R45:S45"/>
    <mergeCell ref="T45:U45"/>
    <mergeCell ref="T48:U48"/>
    <mergeCell ref="R47:S47"/>
    <mergeCell ref="V50:Z50"/>
    <mergeCell ref="T49:U49"/>
    <mergeCell ref="V49:Z49"/>
    <mergeCell ref="R49:S49"/>
    <mergeCell ref="T50:U50"/>
    <mergeCell ref="B51:C51"/>
    <mergeCell ref="B52:C52"/>
    <mergeCell ref="D52:E52"/>
    <mergeCell ref="F52:G52"/>
    <mergeCell ref="F45:G45"/>
    <mergeCell ref="F51:G51"/>
    <mergeCell ref="D49:E49"/>
    <mergeCell ref="F49:G49"/>
    <mergeCell ref="F50:G50"/>
    <mergeCell ref="D50:E50"/>
    <mergeCell ref="F47:G47"/>
    <mergeCell ref="B50:C50"/>
    <mergeCell ref="B46:C46"/>
    <mergeCell ref="D46:E46"/>
    <mergeCell ref="F46:G46"/>
    <mergeCell ref="B47:C47"/>
    <mergeCell ref="D47:E47"/>
    <mergeCell ref="F48:G48"/>
    <mergeCell ref="B49:C49"/>
    <mergeCell ref="B48:C48"/>
    <mergeCell ref="X9:Z9"/>
    <mergeCell ref="P44:Q44"/>
    <mergeCell ref="AA29:AA30"/>
    <mergeCell ref="U28:X28"/>
    <mergeCell ref="M28:P28"/>
    <mergeCell ref="N29:N30"/>
    <mergeCell ref="X29:X30"/>
    <mergeCell ref="Y28:AB28"/>
    <mergeCell ref="AA23:AB23"/>
    <mergeCell ref="Z27:AB27"/>
    <mergeCell ref="Y29:Y30"/>
    <mergeCell ref="AA9:AC9"/>
    <mergeCell ref="AA21:AB21"/>
    <mergeCell ref="AC23:AD23"/>
    <mergeCell ref="O29:O30"/>
    <mergeCell ref="AB29:AB30"/>
    <mergeCell ref="V42:Z44"/>
    <mergeCell ref="AD10:AF10"/>
    <mergeCell ref="Y22:Z22"/>
    <mergeCell ref="AA42:AF44"/>
    <mergeCell ref="AD41:AF41"/>
    <mergeCell ref="AE29:AE30"/>
    <mergeCell ref="AD27:AF27"/>
    <mergeCell ref="AD29:AD30"/>
    <mergeCell ref="A5:A6"/>
    <mergeCell ref="B5:C6"/>
    <mergeCell ref="B7:C7"/>
    <mergeCell ref="B8:C8"/>
    <mergeCell ref="B20:C20"/>
    <mergeCell ref="D5:F6"/>
    <mergeCell ref="B18:C18"/>
    <mergeCell ref="H19:Q19"/>
    <mergeCell ref="B19:C19"/>
    <mergeCell ref="D19:G19"/>
    <mergeCell ref="G5:M6"/>
    <mergeCell ref="G8:M8"/>
    <mergeCell ref="G9:M9"/>
    <mergeCell ref="A10:M10"/>
    <mergeCell ref="D9:F9"/>
    <mergeCell ref="D18:G18"/>
    <mergeCell ref="R5:AF5"/>
    <mergeCell ref="D20:G20"/>
    <mergeCell ref="H20:Q20"/>
    <mergeCell ref="W20:X20"/>
    <mergeCell ref="R20:V20"/>
    <mergeCell ref="Y20:Z20"/>
    <mergeCell ref="R21:V21"/>
    <mergeCell ref="AE19:AF19"/>
    <mergeCell ref="AC19:AD19"/>
    <mergeCell ref="AD8:AF8"/>
    <mergeCell ref="R15:V17"/>
    <mergeCell ref="X8:Z8"/>
    <mergeCell ref="R8:T8"/>
    <mergeCell ref="N8:Q8"/>
    <mergeCell ref="AA18:AB18"/>
    <mergeCell ref="AD9:AF9"/>
    <mergeCell ref="U9:W9"/>
    <mergeCell ref="Y16:Z17"/>
    <mergeCell ref="AA8:AC8"/>
    <mergeCell ref="N9:Q9"/>
    <mergeCell ref="R10:T10"/>
    <mergeCell ref="N10:Q10"/>
    <mergeCell ref="R9:T9"/>
    <mergeCell ref="Y18:Z18"/>
    <mergeCell ref="H50:I50"/>
    <mergeCell ref="L52:M52"/>
    <mergeCell ref="N52:O52"/>
    <mergeCell ref="P52:Q52"/>
    <mergeCell ref="J51:K51"/>
    <mergeCell ref="P50:Q50"/>
    <mergeCell ref="J50:K50"/>
    <mergeCell ref="L49:M49"/>
    <mergeCell ref="N50:O50"/>
    <mergeCell ref="N51:O51"/>
    <mergeCell ref="P49:Q49"/>
    <mergeCell ref="N49:O49"/>
    <mergeCell ref="L50:M50"/>
    <mergeCell ref="L51:M51"/>
    <mergeCell ref="J49:K49"/>
    <mergeCell ref="H49:I49"/>
    <mergeCell ref="AD1:AF1"/>
    <mergeCell ref="AD2:AF2"/>
    <mergeCell ref="T47:U47"/>
    <mergeCell ref="V47:Z47"/>
    <mergeCell ref="V48:Z48"/>
    <mergeCell ref="V46:Z46"/>
    <mergeCell ref="AC20:AD20"/>
    <mergeCell ref="Y21:Z21"/>
    <mergeCell ref="Z29:Z30"/>
    <mergeCell ref="AA19:AB19"/>
    <mergeCell ref="AC22:AD22"/>
    <mergeCell ref="AA22:AB22"/>
    <mergeCell ref="AA20:AB20"/>
    <mergeCell ref="AC21:AD21"/>
    <mergeCell ref="AE22:AF22"/>
    <mergeCell ref="AC18:AD18"/>
    <mergeCell ref="AE18:AF18"/>
    <mergeCell ref="AE21:AF21"/>
    <mergeCell ref="AE20:AF20"/>
    <mergeCell ref="AE16:AF17"/>
    <mergeCell ref="AC16:AD17"/>
    <mergeCell ref="U10:W10"/>
    <mergeCell ref="AA10:AC10"/>
    <mergeCell ref="R6:T6"/>
    <mergeCell ref="AB59:AF59"/>
    <mergeCell ref="M58:Q58"/>
    <mergeCell ref="A58:J58"/>
    <mergeCell ref="AB58:AF58"/>
    <mergeCell ref="V51:Z51"/>
    <mergeCell ref="T52:U52"/>
    <mergeCell ref="V52:Z52"/>
    <mergeCell ref="R52:S52"/>
    <mergeCell ref="W58:AA58"/>
    <mergeCell ref="B59:G59"/>
    <mergeCell ref="H52:I52"/>
    <mergeCell ref="J52:K52"/>
    <mergeCell ref="H51:I51"/>
    <mergeCell ref="R53:S53"/>
    <mergeCell ref="L53:M53"/>
    <mergeCell ref="N53:O53"/>
    <mergeCell ref="J53:K53"/>
    <mergeCell ref="P53:Q53"/>
    <mergeCell ref="T53:U53"/>
    <mergeCell ref="H53:I53"/>
    <mergeCell ref="D51:E51"/>
    <mergeCell ref="A53:E53"/>
    <mergeCell ref="F53:G53"/>
    <mergeCell ref="T51:U51"/>
  </mergeCells>
  <phoneticPr fontId="3" type="noConversion"/>
  <pageMargins left="0.39370078740157483" right="0.39370078740157483" top="0.78740157480314965" bottom="0.39370078740157483" header="0" footer="0"/>
  <pageSetup paperSize="9" scale="3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фінплан - зведені показники</vt:lpstr>
      <vt:lpstr>1. Фін результат</vt:lpstr>
      <vt:lpstr>2. Розрахунки з бюджетом</vt:lpstr>
      <vt:lpstr>3. Рух грошових коштів</vt:lpstr>
      <vt:lpstr>4. Кап. інвестиції</vt:lpstr>
      <vt:lpstr> 5. Коефіцієнти</vt:lpstr>
      <vt:lpstr>6.1. Інша інфо_1</vt:lpstr>
      <vt:lpstr>6.2. Інша інфо_2</vt:lpstr>
      <vt:lpstr>' 5. Коефіцієнти'!Заголовки_для_печати</vt:lpstr>
      <vt:lpstr>'1. Фін результат'!Заголовки_для_печати</vt:lpstr>
      <vt:lpstr>'2. Розрахунки з бюджетом'!Заголовки_для_печати</vt:lpstr>
      <vt:lpstr>'3. Рух грошових коштів'!Заголовки_для_печати</vt:lpstr>
      <vt:lpstr>'фінплан - зведені показники'!Заголовки_для_печати</vt:lpstr>
      <vt:lpstr>' 5. Коефіцієнти'!Область_печати</vt:lpstr>
      <vt:lpstr>'1. Фін результат'!Область_печати</vt:lpstr>
      <vt:lpstr>'2. Розрахунки з бюджетом'!Область_печати</vt:lpstr>
      <vt:lpstr>'3. Рух грошових коштів'!Область_печати</vt:lpstr>
      <vt:lpstr>'4. Кап. інвестиції'!Область_печати</vt:lpstr>
      <vt:lpstr>'6.1. Інша інфо_1'!Область_печати</vt:lpstr>
      <vt:lpstr>'6.2. Інша інфо_2'!Область_печати</vt:lpstr>
      <vt:lpstr>'фінплан - зведені показники'!Область_печати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G1840-1</dc:creator>
  <cp:lastModifiedBy>Юрий</cp:lastModifiedBy>
  <cp:lastPrinted>2022-08-01T09:56:08Z</cp:lastPrinted>
  <dcterms:created xsi:type="dcterms:W3CDTF">2003-03-13T16:00:22Z</dcterms:created>
  <dcterms:modified xsi:type="dcterms:W3CDTF">2022-08-01T10:00:29Z</dcterms:modified>
</cp:coreProperties>
</file>