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каб. 302\тариф\2023р\"/>
    </mc:Choice>
  </mc:AlternateContent>
  <bookViews>
    <workbookView xWindow="0" yWindow="0" windowWidth="23040" windowHeight="8040" activeTab="1"/>
  </bookViews>
  <sheets>
    <sheet name="СТРУКТУРА" sheetId="2" r:id="rId1"/>
    <sheet name="штати " sheetId="3" r:id="rId2"/>
    <sheet name="Лист1" sheetId="1" r:id="rId3"/>
  </sheets>
  <externalReferences>
    <externalReference r:id="rId4"/>
    <externalReference r:id="rId5"/>
  </externalReferences>
  <definedNames>
    <definedName name="_xlnm.Print_Area" localSheetId="1">'штати '!$A$1:$H$158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8" i="3" l="1"/>
  <c r="AA329" i="3" s="1"/>
  <c r="AA327" i="3"/>
  <c r="AA326" i="3"/>
  <c r="AA325" i="3"/>
  <c r="AA324" i="3"/>
  <c r="Z321" i="3"/>
  <c r="AA284" i="3"/>
  <c r="L263" i="3"/>
  <c r="AB260" i="3"/>
  <c r="AA259" i="3"/>
  <c r="Y259" i="3"/>
  <c r="AA258" i="3"/>
  <c r="Y257" i="3"/>
  <c r="AA257" i="3" s="1"/>
  <c r="Y256" i="3"/>
  <c r="Z256" i="3" s="1"/>
  <c r="AA256" i="3" s="1"/>
  <c r="Z253" i="3"/>
  <c r="Z250" i="3"/>
  <c r="Z247" i="3"/>
  <c r="Z244" i="3"/>
  <c r="Z241" i="3"/>
  <c r="W167" i="3"/>
  <c r="Z167" i="3" s="1"/>
  <c r="Y164" i="3"/>
  <c r="Y255" i="3" s="1"/>
  <c r="AA255" i="3" s="1"/>
  <c r="AA260" i="3" s="1"/>
  <c r="I157" i="3"/>
  <c r="I156" i="3"/>
  <c r="I155" i="3"/>
  <c r="I154" i="3"/>
  <c r="F154" i="3"/>
  <c r="E154" i="3"/>
  <c r="I153" i="3"/>
  <c r="I150" i="3" s="1"/>
  <c r="F153" i="3"/>
  <c r="C153" i="3"/>
  <c r="I152" i="3"/>
  <c r="E152" i="3"/>
  <c r="I151" i="3"/>
  <c r="E151" i="3"/>
  <c r="I148" i="3"/>
  <c r="C148" i="3"/>
  <c r="D147" i="3"/>
  <c r="G147" i="3" s="1"/>
  <c r="H147" i="3" s="1"/>
  <c r="G146" i="3"/>
  <c r="H146" i="3" s="1"/>
  <c r="D146" i="3"/>
  <c r="F145" i="3"/>
  <c r="F148" i="3" s="1"/>
  <c r="F155" i="3" s="1"/>
  <c r="D145" i="3"/>
  <c r="G144" i="3"/>
  <c r="H144" i="3" s="1"/>
  <c r="D144" i="3"/>
  <c r="E143" i="3"/>
  <c r="E148" i="3" s="1"/>
  <c r="E155" i="3" s="1"/>
  <c r="D143" i="3"/>
  <c r="G143" i="3" s="1"/>
  <c r="H143" i="3" s="1"/>
  <c r="D142" i="3"/>
  <c r="G142" i="3" s="1"/>
  <c r="H142" i="3" s="1"/>
  <c r="H141" i="3"/>
  <c r="D141" i="3"/>
  <c r="G141" i="3" s="1"/>
  <c r="D140" i="3"/>
  <c r="G140" i="3" s="1"/>
  <c r="H140" i="3" s="1"/>
  <c r="C139" i="3"/>
  <c r="D138" i="3"/>
  <c r="G138" i="3" s="1"/>
  <c r="H138" i="3" s="1"/>
  <c r="G137" i="3"/>
  <c r="H137" i="3" s="1"/>
  <c r="D137" i="3"/>
  <c r="I135" i="3"/>
  <c r="F135" i="3"/>
  <c r="E135" i="3"/>
  <c r="C135" i="3"/>
  <c r="D134" i="3"/>
  <c r="G134" i="3" s="1"/>
  <c r="H134" i="3" s="1"/>
  <c r="D133" i="3"/>
  <c r="G133" i="3" s="1"/>
  <c r="H133" i="3" s="1"/>
  <c r="D132" i="3"/>
  <c r="G132" i="3" s="1"/>
  <c r="H132" i="3" s="1"/>
  <c r="G131" i="3"/>
  <c r="H131" i="3" s="1"/>
  <c r="D131" i="3"/>
  <c r="G130" i="3"/>
  <c r="H130" i="3" s="1"/>
  <c r="D130" i="3"/>
  <c r="D129" i="3"/>
  <c r="G129" i="3" s="1"/>
  <c r="H129" i="3" s="1"/>
  <c r="I127" i="3"/>
  <c r="E127" i="3"/>
  <c r="C127" i="3"/>
  <c r="G126" i="3"/>
  <c r="H126" i="3" s="1"/>
  <c r="D126" i="3"/>
  <c r="F125" i="3"/>
  <c r="D125" i="3"/>
  <c r="G125" i="3" s="1"/>
  <c r="H125" i="3" s="1"/>
  <c r="G124" i="3"/>
  <c r="H124" i="3" s="1"/>
  <c r="F124" i="3"/>
  <c r="F127" i="3" s="1"/>
  <c r="D124" i="3"/>
  <c r="I122" i="3"/>
  <c r="E122" i="3"/>
  <c r="C122" i="3"/>
  <c r="F121" i="3"/>
  <c r="C121" i="3"/>
  <c r="D121" i="3" s="1"/>
  <c r="G121" i="3" s="1"/>
  <c r="H121" i="3" s="1"/>
  <c r="G120" i="3"/>
  <c r="H120" i="3" s="1"/>
  <c r="F120" i="3"/>
  <c r="D120" i="3"/>
  <c r="F119" i="3"/>
  <c r="F122" i="3" s="1"/>
  <c r="D119" i="3"/>
  <c r="F118" i="3"/>
  <c r="D118" i="3"/>
  <c r="G118" i="3" s="1"/>
  <c r="B116" i="3"/>
  <c r="I114" i="3"/>
  <c r="E114" i="3"/>
  <c r="C114" i="3"/>
  <c r="F113" i="3"/>
  <c r="D113" i="3"/>
  <c r="F112" i="3"/>
  <c r="F114" i="3" s="1"/>
  <c r="D112" i="3"/>
  <c r="G112" i="3" s="1"/>
  <c r="F111" i="3"/>
  <c r="D111" i="3"/>
  <c r="G111" i="3" s="1"/>
  <c r="H111" i="3" s="1"/>
  <c r="C111" i="3"/>
  <c r="G110" i="3"/>
  <c r="I111" i="3" s="1"/>
  <c r="F110" i="3"/>
  <c r="D110" i="3"/>
  <c r="C110" i="3"/>
  <c r="I108" i="3"/>
  <c r="E108" i="3"/>
  <c r="C108" i="3"/>
  <c r="F107" i="3"/>
  <c r="F108" i="3" s="1"/>
  <c r="D107" i="3"/>
  <c r="I105" i="3"/>
  <c r="D104" i="3"/>
  <c r="G104" i="3" s="1"/>
  <c r="H104" i="3" s="1"/>
  <c r="E103" i="3"/>
  <c r="E105" i="3" s="1"/>
  <c r="D103" i="3"/>
  <c r="G103" i="3" s="1"/>
  <c r="H103" i="3" s="1"/>
  <c r="F102" i="3"/>
  <c r="D102" i="3"/>
  <c r="C102" i="3"/>
  <c r="G102" i="3" s="1"/>
  <c r="H102" i="3" s="1"/>
  <c r="F101" i="3"/>
  <c r="G101" i="3" s="1"/>
  <c r="H101" i="3" s="1"/>
  <c r="D101" i="3"/>
  <c r="F100" i="3"/>
  <c r="F105" i="3" s="1"/>
  <c r="C100" i="3"/>
  <c r="F99" i="3"/>
  <c r="D99" i="3"/>
  <c r="G99" i="3" s="1"/>
  <c r="H99" i="3" s="1"/>
  <c r="I97" i="3"/>
  <c r="C97" i="3"/>
  <c r="D96" i="3"/>
  <c r="G96" i="3" s="1"/>
  <c r="H96" i="3" s="1"/>
  <c r="E95" i="3"/>
  <c r="G95" i="3" s="1"/>
  <c r="H95" i="3" s="1"/>
  <c r="D95" i="3"/>
  <c r="H94" i="3"/>
  <c r="G94" i="3"/>
  <c r="F94" i="3"/>
  <c r="D94" i="3"/>
  <c r="F93" i="3"/>
  <c r="D93" i="3"/>
  <c r="G93" i="3" s="1"/>
  <c r="H93" i="3" s="1"/>
  <c r="F92" i="3"/>
  <c r="F97" i="3" s="1"/>
  <c r="C92" i="3"/>
  <c r="D92" i="3" s="1"/>
  <c r="G92" i="3" s="1"/>
  <c r="H92" i="3" s="1"/>
  <c r="F91" i="3"/>
  <c r="G91" i="3" s="1"/>
  <c r="D91" i="3"/>
  <c r="I89" i="3"/>
  <c r="E89" i="3"/>
  <c r="D88" i="3"/>
  <c r="G88" i="3" s="1"/>
  <c r="H88" i="3" s="1"/>
  <c r="E87" i="3"/>
  <c r="D87" i="3"/>
  <c r="G87" i="3" s="1"/>
  <c r="H87" i="3" s="1"/>
  <c r="F86" i="3"/>
  <c r="G86" i="3" s="1"/>
  <c r="H86" i="3" s="1"/>
  <c r="C86" i="3"/>
  <c r="D86" i="3" s="1"/>
  <c r="G85" i="3"/>
  <c r="H85" i="3" s="1"/>
  <c r="F85" i="3"/>
  <c r="C85" i="3"/>
  <c r="D85" i="3" s="1"/>
  <c r="H84" i="3"/>
  <c r="G84" i="3"/>
  <c r="F84" i="3"/>
  <c r="D84" i="3"/>
  <c r="F83" i="3"/>
  <c r="G83" i="3" s="1"/>
  <c r="C83" i="3"/>
  <c r="D83" i="3" s="1"/>
  <c r="G82" i="3"/>
  <c r="F82" i="3"/>
  <c r="D82" i="3"/>
  <c r="I80" i="3"/>
  <c r="G80" i="3"/>
  <c r="E80" i="3"/>
  <c r="D80" i="3"/>
  <c r="C80" i="3"/>
  <c r="H79" i="3"/>
  <c r="H80" i="3" s="1"/>
  <c r="G79" i="3"/>
  <c r="F79" i="3"/>
  <c r="F80" i="3" s="1"/>
  <c r="D79" i="3"/>
  <c r="I77" i="3"/>
  <c r="E77" i="3"/>
  <c r="C77" i="3"/>
  <c r="H76" i="3"/>
  <c r="H153" i="3" s="1"/>
  <c r="G76" i="3"/>
  <c r="G153" i="3" s="1"/>
  <c r="D153" i="3" s="1"/>
  <c r="E76" i="3"/>
  <c r="E153" i="3" s="1"/>
  <c r="E150" i="3" s="1"/>
  <c r="D76" i="3"/>
  <c r="F75" i="3"/>
  <c r="G75" i="3" s="1"/>
  <c r="H75" i="3" s="1"/>
  <c r="D75" i="3"/>
  <c r="F74" i="3"/>
  <c r="D74" i="3"/>
  <c r="G74" i="3" s="1"/>
  <c r="F73" i="3"/>
  <c r="F77" i="3" s="1"/>
  <c r="D73" i="3"/>
  <c r="G73" i="3" s="1"/>
  <c r="H73" i="3" s="1"/>
  <c r="I71" i="3"/>
  <c r="F71" i="3"/>
  <c r="E71" i="3"/>
  <c r="F70" i="3"/>
  <c r="C70" i="3"/>
  <c r="I68" i="3"/>
  <c r="G68" i="3"/>
  <c r="E68" i="3"/>
  <c r="C68" i="3"/>
  <c r="F67" i="3"/>
  <c r="F68" i="3" s="1"/>
  <c r="D67" i="3"/>
  <c r="G67" i="3" s="1"/>
  <c r="H67" i="3" s="1"/>
  <c r="H68" i="3" s="1"/>
  <c r="I65" i="3"/>
  <c r="F64" i="3"/>
  <c r="D64" i="3"/>
  <c r="G64" i="3" s="1"/>
  <c r="H64" i="3" s="1"/>
  <c r="B62" i="3"/>
  <c r="C62" i="3" s="1"/>
  <c r="D62" i="3" s="1"/>
  <c r="E62" i="3" s="1"/>
  <c r="F62" i="3" s="1"/>
  <c r="G62" i="3" s="1"/>
  <c r="H62" i="3" s="1"/>
  <c r="I60" i="3"/>
  <c r="C59" i="3"/>
  <c r="D59" i="3" s="1"/>
  <c r="E58" i="3"/>
  <c r="E60" i="3" s="1"/>
  <c r="C58" i="3"/>
  <c r="D58" i="3" s="1"/>
  <c r="G58" i="3" s="1"/>
  <c r="H58" i="3" s="1"/>
  <c r="F57" i="3"/>
  <c r="G57" i="3" s="1"/>
  <c r="H57" i="3" s="1"/>
  <c r="D57" i="3"/>
  <c r="F56" i="3"/>
  <c r="D56" i="3"/>
  <c r="G56" i="3" s="1"/>
  <c r="H56" i="3" s="1"/>
  <c r="C56" i="3"/>
  <c r="F55" i="3"/>
  <c r="D55" i="3"/>
  <c r="G54" i="3"/>
  <c r="H54" i="3" s="1"/>
  <c r="F54" i="3"/>
  <c r="D54" i="3"/>
  <c r="J53" i="3"/>
  <c r="F53" i="3"/>
  <c r="D53" i="3"/>
  <c r="C53" i="3"/>
  <c r="F52" i="3"/>
  <c r="D52" i="3"/>
  <c r="I50" i="3"/>
  <c r="E50" i="3"/>
  <c r="C50" i="3"/>
  <c r="I49" i="3"/>
  <c r="G49" i="3"/>
  <c r="H49" i="3" s="1"/>
  <c r="D49" i="3"/>
  <c r="I48" i="3"/>
  <c r="H48" i="3"/>
  <c r="E48" i="3"/>
  <c r="D48" i="3"/>
  <c r="G48" i="3" s="1"/>
  <c r="F47" i="3"/>
  <c r="F50" i="3" s="1"/>
  <c r="D47" i="3"/>
  <c r="G47" i="3" s="1"/>
  <c r="H47" i="3" s="1"/>
  <c r="F46" i="3"/>
  <c r="C46" i="3"/>
  <c r="G45" i="3"/>
  <c r="H45" i="3" s="1"/>
  <c r="F45" i="3"/>
  <c r="D45" i="3"/>
  <c r="F44" i="3"/>
  <c r="D44" i="3"/>
  <c r="G44" i="3" s="1"/>
  <c r="H44" i="3" s="1"/>
  <c r="C44" i="3"/>
  <c r="F43" i="3"/>
  <c r="D43" i="3"/>
  <c r="G43" i="3" s="1"/>
  <c r="I40" i="3"/>
  <c r="F40" i="3"/>
  <c r="E40" i="3"/>
  <c r="C39" i="3"/>
  <c r="D39" i="3" s="1"/>
  <c r="D38" i="3"/>
  <c r="G38" i="3" s="1"/>
  <c r="H38" i="3" s="1"/>
  <c r="H37" i="3"/>
  <c r="G37" i="3"/>
  <c r="D37" i="3"/>
  <c r="I35" i="3"/>
  <c r="E35" i="3"/>
  <c r="C35" i="3"/>
  <c r="D34" i="3"/>
  <c r="G34" i="3" s="1"/>
  <c r="H34" i="3" s="1"/>
  <c r="D33" i="3"/>
  <c r="G33" i="3" s="1"/>
  <c r="H33" i="3" s="1"/>
  <c r="G32" i="3"/>
  <c r="H32" i="3" s="1"/>
  <c r="D32" i="3"/>
  <c r="A32" i="3"/>
  <c r="A33" i="3" s="1"/>
  <c r="A34" i="3" s="1"/>
  <c r="A37" i="3" s="1"/>
  <c r="A38" i="3" s="1"/>
  <c r="A39" i="3" s="1"/>
  <c r="A43" i="3" s="1"/>
  <c r="A44" i="3" s="1"/>
  <c r="A45" i="3" s="1"/>
  <c r="A46" i="3" s="1"/>
  <c r="A47" i="3" s="1"/>
  <c r="A48" i="3" s="1"/>
  <c r="A49" i="3" s="1"/>
  <c r="A52" i="3" s="1"/>
  <c r="A53" i="3" s="1"/>
  <c r="A54" i="3" s="1"/>
  <c r="A55" i="3" s="1"/>
  <c r="A56" i="3" s="1"/>
  <c r="A57" i="3" s="1"/>
  <c r="A58" i="3" s="1"/>
  <c r="A59" i="3" s="1"/>
  <c r="A64" i="3" s="1"/>
  <c r="A67" i="3" s="1"/>
  <c r="A70" i="3" s="1"/>
  <c r="A73" i="3" s="1"/>
  <c r="A74" i="3" s="1"/>
  <c r="A75" i="3" s="1"/>
  <c r="A76" i="3" s="1"/>
  <c r="A79" i="3" s="1"/>
  <c r="A82" i="3" s="1"/>
  <c r="A83" i="3" s="1"/>
  <c r="A84" i="3" s="1"/>
  <c r="A85" i="3" s="1"/>
  <c r="A86" i="3" s="1"/>
  <c r="A87" i="3" s="1"/>
  <c r="A88" i="3" s="1"/>
  <c r="A91" i="3" s="1"/>
  <c r="A92" i="3" s="1"/>
  <c r="A93" i="3" s="1"/>
  <c r="A94" i="3" s="1"/>
  <c r="A95" i="3" s="1"/>
  <c r="A96" i="3" s="1"/>
  <c r="A99" i="3" s="1"/>
  <c r="A100" i="3" s="1"/>
  <c r="A101" i="3" s="1"/>
  <c r="A102" i="3" s="1"/>
  <c r="A103" i="3" s="1"/>
  <c r="A104" i="3" s="1"/>
  <c r="A107" i="3" s="1"/>
  <c r="A110" i="3" s="1"/>
  <c r="A111" i="3" s="1"/>
  <c r="A112" i="3" s="1"/>
  <c r="A113" i="3" s="1"/>
  <c r="A118" i="3" s="1"/>
  <c r="A119" i="3" s="1"/>
  <c r="A120" i="3" s="1"/>
  <c r="A121" i="3" s="1"/>
  <c r="A122" i="3" s="1"/>
  <c r="A124" i="3" s="1"/>
  <c r="A125" i="3" s="1"/>
  <c r="A126" i="3" s="1"/>
  <c r="A129" i="3" s="1"/>
  <c r="A130" i="3" s="1"/>
  <c r="A131" i="3" s="1"/>
  <c r="A132" i="3" s="1"/>
  <c r="A133" i="3" s="1"/>
  <c r="A134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D31" i="3"/>
  <c r="G31" i="3" s="1"/>
  <c r="H31" i="3" s="1"/>
  <c r="F30" i="3"/>
  <c r="D30" i="3"/>
  <c r="G30" i="3" s="1"/>
  <c r="D29" i="3"/>
  <c r="G29" i="3" s="1"/>
  <c r="F28" i="3"/>
  <c r="D28" i="3"/>
  <c r="G28" i="3" s="1"/>
  <c r="A28" i="3"/>
  <c r="A29" i="3" s="1"/>
  <c r="F25" i="3"/>
  <c r="G25" i="3" s="1"/>
  <c r="H25" i="3" s="1"/>
  <c r="C25" i="3"/>
  <c r="D25" i="3" s="1"/>
  <c r="E25" i="3" s="1"/>
  <c r="B25" i="3"/>
  <c r="H112" i="3" l="1"/>
  <c r="H30" i="3"/>
  <c r="J82" i="3"/>
  <c r="H83" i="3"/>
  <c r="G89" i="3"/>
  <c r="G77" i="3"/>
  <c r="D77" i="3" s="1"/>
  <c r="H74" i="3"/>
  <c r="H77" i="3" s="1"/>
  <c r="I44" i="3"/>
  <c r="H43" i="3"/>
  <c r="H135" i="3"/>
  <c r="G35" i="3"/>
  <c r="D35" i="3" s="1"/>
  <c r="H28" i="3"/>
  <c r="J84" i="3"/>
  <c r="H127" i="3"/>
  <c r="D68" i="3"/>
  <c r="G100" i="3"/>
  <c r="H100" i="3" s="1"/>
  <c r="H105" i="3" s="1"/>
  <c r="D100" i="3"/>
  <c r="G107" i="3"/>
  <c r="H110" i="3"/>
  <c r="G119" i="3"/>
  <c r="H119" i="3" s="1"/>
  <c r="D139" i="3"/>
  <c r="G139" i="3" s="1"/>
  <c r="F89" i="3"/>
  <c r="G59" i="3"/>
  <c r="H59" i="3" s="1"/>
  <c r="C155" i="3"/>
  <c r="J35" i="3"/>
  <c r="K35" i="3" s="1"/>
  <c r="C71" i="3"/>
  <c r="G70" i="3"/>
  <c r="G135" i="3"/>
  <c r="D135" i="3" s="1"/>
  <c r="D70" i="3"/>
  <c r="E97" i="3"/>
  <c r="Z263" i="3"/>
  <c r="E263" i="3" s="1"/>
  <c r="F151" i="3"/>
  <c r="H29" i="3"/>
  <c r="G154" i="3"/>
  <c r="D154" i="3" s="1"/>
  <c r="G127" i="3"/>
  <c r="D127" i="3" s="1"/>
  <c r="H40" i="3"/>
  <c r="C105" i="3"/>
  <c r="G145" i="3"/>
  <c r="H145" i="3" s="1"/>
  <c r="C152" i="3"/>
  <c r="F35" i="3"/>
  <c r="F152" i="3"/>
  <c r="H91" i="3"/>
  <c r="H97" i="3" s="1"/>
  <c r="G97" i="3"/>
  <c r="D97" i="3" s="1"/>
  <c r="G55" i="3"/>
  <c r="H55" i="3" s="1"/>
  <c r="F60" i="3"/>
  <c r="G52" i="3"/>
  <c r="G105" i="3"/>
  <c r="D105" i="3" s="1"/>
  <c r="H118" i="3"/>
  <c r="H122" i="3" s="1"/>
  <c r="G122" i="3"/>
  <c r="D122" i="3" s="1"/>
  <c r="D46" i="3"/>
  <c r="G46" i="3" s="1"/>
  <c r="H82" i="3"/>
  <c r="H89" i="3" s="1"/>
  <c r="C40" i="3"/>
  <c r="C154" i="3"/>
  <c r="G39" i="3"/>
  <c r="H39" i="3" s="1"/>
  <c r="C151" i="3"/>
  <c r="G53" i="3"/>
  <c r="H53" i="3" s="1"/>
  <c r="C60" i="3"/>
  <c r="C89" i="3"/>
  <c r="G113" i="3"/>
  <c r="H113" i="3" s="1"/>
  <c r="G148" i="3" l="1"/>
  <c r="H139" i="3"/>
  <c r="H148" i="3" s="1"/>
  <c r="H155" i="3" s="1"/>
  <c r="H46" i="3"/>
  <c r="G50" i="3"/>
  <c r="D50" i="3" s="1"/>
  <c r="I45" i="3"/>
  <c r="J122" i="3"/>
  <c r="H70" i="3"/>
  <c r="H71" i="3" s="1"/>
  <c r="G71" i="3"/>
  <c r="D71" i="3" s="1"/>
  <c r="I53" i="3"/>
  <c r="H52" i="3"/>
  <c r="H60" i="3" s="1"/>
  <c r="G60" i="3"/>
  <c r="C150" i="3"/>
  <c r="G7" i="3" s="1"/>
  <c r="H154" i="3"/>
  <c r="G40" i="3"/>
  <c r="D40" i="3" s="1"/>
  <c r="D89" i="3"/>
  <c r="F150" i="3"/>
  <c r="H35" i="3"/>
  <c r="G114" i="3"/>
  <c r="D114" i="3" s="1"/>
  <c r="G152" i="3"/>
  <c r="D152" i="3" s="1"/>
  <c r="H114" i="3"/>
  <c r="H152" i="3"/>
  <c r="G108" i="3"/>
  <c r="D108" i="3" s="1"/>
  <c r="H107" i="3"/>
  <c r="H108" i="3" s="1"/>
  <c r="H50" i="3"/>
  <c r="G151" i="3"/>
  <c r="I112" i="3"/>
  <c r="G150" i="3" l="1"/>
  <c r="J151" i="3"/>
  <c r="K151" i="3" s="1"/>
  <c r="D151" i="3"/>
  <c r="J60" i="3"/>
  <c r="D60" i="3"/>
  <c r="H151" i="3"/>
  <c r="H150" i="3" s="1"/>
  <c r="G155" i="3"/>
  <c r="D155" i="3" s="1"/>
  <c r="D148" i="3"/>
  <c r="J156" i="3" l="1"/>
  <c r="E9" i="3"/>
  <c r="D150" i="3"/>
</calcChain>
</file>

<file path=xl/sharedStrings.xml><?xml version="1.0" encoding="utf-8"?>
<sst xmlns="http://schemas.openxmlformats.org/spreadsheetml/2006/main" count="213" uniqueCount="137">
  <si>
    <t>ПОГОДЖЕНО</t>
  </si>
  <si>
    <t>ЗАТВЕРДЖУЮ</t>
  </si>
  <si>
    <t>Тимчасовий виконувач обов’язків голови Дарницької районної в  місті Києві державної адміністрації</t>
  </si>
  <si>
    <t xml:space="preserve">Директор  КНП ЦПМСД Дарницького району </t>
  </si>
  <si>
    <t xml:space="preserve"> _______________ М.КАЛАШНИК  </t>
  </si>
  <si>
    <t xml:space="preserve">                               Ю. СМІЩУК</t>
  </si>
  <si>
    <t xml:space="preserve">                       (підпис)</t>
  </si>
  <si>
    <t>"______" ________________2023р.</t>
  </si>
  <si>
    <t>"______" __________________2023 р.</t>
  </si>
  <si>
    <t xml:space="preserve">Структура </t>
  </si>
  <si>
    <t xml:space="preserve"> Комунального некомерційного підприємства                                                                                                                          "Центр первинної медико-санітарної допомоги Дарницького району м. Києва"                                                                                               на 2023 рік</t>
  </si>
  <si>
    <t>(назва установи)</t>
  </si>
  <si>
    <t>№ з/п</t>
  </si>
  <si>
    <t xml:space="preserve">Назва структурного підрозділу </t>
  </si>
  <si>
    <t xml:space="preserve"> </t>
  </si>
  <si>
    <t xml:space="preserve">Адміністративно - управлінський  персонал </t>
  </si>
  <si>
    <t>Відділ бухгалтерського обліку</t>
  </si>
  <si>
    <t>Амбулаторія № 1 (вул. Урлівська 1/8 )</t>
  </si>
  <si>
    <t>Амбулаторія № 3 ( вул. Срібнокільська 14 б )</t>
  </si>
  <si>
    <t>Кабінет експертизи непрацездатності</t>
  </si>
  <si>
    <t>Процедурний кабінет</t>
  </si>
  <si>
    <t>Пункт щеплення ( вул. Срібнокільська 14 б )</t>
  </si>
  <si>
    <t>Кабінет лабораторних досліджень</t>
  </si>
  <si>
    <t>Філія  КНП ЦПМСД Дарницького району (вул. Урлівська,13)</t>
  </si>
  <si>
    <t>Амбулаторія № 2 (вул. Урлівська 13 )</t>
  </si>
  <si>
    <t>Амбулаторія № 4 (вул. Урлівська 13 )</t>
  </si>
  <si>
    <t>Амбулаторія № 5 (вул. Урлівська 13 )</t>
  </si>
  <si>
    <t>Пункт щеплення (вул. Урлівська 13 )</t>
  </si>
  <si>
    <t>Черговий кабінет (вул.Срібнокільська 14-Б, вул. Урлівська,13)</t>
  </si>
  <si>
    <t>Відділ інфекційного контролю та контролю якості</t>
  </si>
  <si>
    <t>Інформаційно-аналітичний кабінет</t>
  </si>
  <si>
    <t>Інженерно - технічний персонал</t>
  </si>
  <si>
    <t>Господарсько-обслуговувальний персонал</t>
  </si>
  <si>
    <t xml:space="preserve">Заступник директора з економічних питань                  </t>
  </si>
  <si>
    <t>Ганна КУЗЬМЕНКО</t>
  </si>
  <si>
    <t>ЗАТВЕРДЖЕНО</t>
  </si>
  <si>
    <t xml:space="preserve">наказом Міністерства фінансів Українивід 28 січня 2002 р. № 57    </t>
  </si>
  <si>
    <t xml:space="preserve">(у редакції наказу Міністерства фінансів України </t>
  </si>
  <si>
    <t>від 26 листопада 2012року № 1220)</t>
  </si>
  <si>
    <t>Затверджую:</t>
  </si>
  <si>
    <t xml:space="preserve">Штат у кількості </t>
  </si>
  <si>
    <r>
      <t>штатних одиницьз місячним фондом заробітної плати</t>
    </r>
    <r>
      <rPr>
        <b/>
        <i/>
        <sz val="11"/>
        <rFont val="Times New Roman"/>
        <family val="1"/>
        <charset val="204"/>
      </rPr>
      <t xml:space="preserve"> </t>
    </r>
  </si>
  <si>
    <t>гривень</t>
  </si>
  <si>
    <t>Тимчасовий виконувач обов'язків голови </t>
  </si>
  <si>
    <t>Директор</t>
  </si>
  <si>
    <t>Дарницької районної в місті Києві Державної адміністрації</t>
  </si>
  <si>
    <t xml:space="preserve">КНП ЦПМСД Дарницького району </t>
  </si>
  <si>
    <t xml:space="preserve">                                                            М. КАЛАШНИК</t>
  </si>
  <si>
    <t xml:space="preserve">                               Ю.СМІЩУК</t>
  </si>
  <si>
    <t>"______" __________________2023р.</t>
  </si>
  <si>
    <t>М.П.</t>
  </si>
  <si>
    <t xml:space="preserve"> ШТАТHИЙ  РОЗПИС </t>
  </si>
  <si>
    <t xml:space="preserve">(на 01.01.2023  рік)   </t>
  </si>
  <si>
    <t xml:space="preserve">Комунального некомерційного підприємства  </t>
  </si>
  <si>
    <t>"Центр первинної медико-санітарної допомоги  Дарницького району м. Києва"</t>
  </si>
  <si>
    <t>Назва структурного підрозділу та посад</t>
  </si>
  <si>
    <t>Кількість штатних посад</t>
  </si>
  <si>
    <t>Посадовий оклад (грн.)</t>
  </si>
  <si>
    <t>Доплати (грн.)</t>
  </si>
  <si>
    <t>Надбавки (грн.)</t>
  </si>
  <si>
    <t>Фонд заробітної плати на місяць (грн.)</t>
  </si>
  <si>
    <t>Фонд заробітної плати на 2023 рік (грн.)</t>
  </si>
  <si>
    <t xml:space="preserve">відповідно  до контракту </t>
  </si>
  <si>
    <t>Заступник директора з медичного обслуговування</t>
  </si>
  <si>
    <t>Заступник директора з економічних питань</t>
  </si>
  <si>
    <t>Головна медична сестра</t>
  </si>
  <si>
    <t xml:space="preserve">Юрисконсульт  </t>
  </si>
  <si>
    <t>Інспектор з кадрів</t>
  </si>
  <si>
    <t>Економіст</t>
  </si>
  <si>
    <t>Секретар</t>
  </si>
  <si>
    <t>Всього по підрозділу</t>
  </si>
  <si>
    <t>Головний бухгалтер</t>
  </si>
  <si>
    <t>Заступник головного бухгалтера</t>
  </si>
  <si>
    <t>Бухгалтер</t>
  </si>
  <si>
    <t>Лікувально-профілактичні підрозділи</t>
  </si>
  <si>
    <t xml:space="preserve">Завідувач амбулаторії.Лікар загальної практики-сімейний лікар </t>
  </si>
  <si>
    <t xml:space="preserve">Лікар загальної практики-сімейний лікар </t>
  </si>
  <si>
    <t xml:space="preserve">Старша сестра медична </t>
  </si>
  <si>
    <t>Сестра медична загальної практики сімейної медицини</t>
  </si>
  <si>
    <t xml:space="preserve">Сестра медична </t>
  </si>
  <si>
    <t>Молодша медична сестра (санітарка-прибиральниця)</t>
  </si>
  <si>
    <t>Реєстратор медичний</t>
  </si>
  <si>
    <t xml:space="preserve">Завідувач амбулаторії. Лікар загальної практики-сімейний лікар </t>
  </si>
  <si>
    <t>Лікар педіатр</t>
  </si>
  <si>
    <t>Старша медична сестра  загальної практики-сімейної медицини</t>
  </si>
  <si>
    <t>Сестра медична загальної практики-сімейної медицини</t>
  </si>
  <si>
    <t xml:space="preserve">Молодша медична сестра (санітарка-прибиральниця) </t>
  </si>
  <si>
    <t xml:space="preserve">Реєстратор медичний </t>
  </si>
  <si>
    <t xml:space="preserve">Пункт щеплення </t>
  </si>
  <si>
    <t>Кабінет  лабораторних досліджень</t>
  </si>
  <si>
    <t xml:space="preserve">Біолог </t>
  </si>
  <si>
    <t>Фельдшер-лаборант</t>
  </si>
  <si>
    <t>Лаборант</t>
  </si>
  <si>
    <t>Молодща медична сестра(санітарка-прибиральниця)</t>
  </si>
  <si>
    <t>Філія  КНП ЦПМСД Дарницького району по вул. Урлівська,13</t>
  </si>
  <si>
    <t>Завідувач філії лікар-педіатр</t>
  </si>
  <si>
    <t xml:space="preserve">Реєстратор медичний   </t>
  </si>
  <si>
    <t xml:space="preserve">Завідувач амбулаторіїї. Лікар-педіатр  </t>
  </si>
  <si>
    <t xml:space="preserve">Лікар-педіатр 
</t>
  </si>
  <si>
    <t>Завідувач амбулаторіїї. Лікар-педіатр</t>
  </si>
  <si>
    <t>Сестра медична</t>
  </si>
  <si>
    <t xml:space="preserve">Реєстратор медичний      </t>
  </si>
  <si>
    <t xml:space="preserve">Пункт щеплення  </t>
  </si>
  <si>
    <t>Черговий кабінет  (вул.Срібнокільська 14-б, вул.Урлівська,13)</t>
  </si>
  <si>
    <t xml:space="preserve">Лікар-педіатр     </t>
  </si>
  <si>
    <t xml:space="preserve">Лікар загальної практики-сімейний лікар    </t>
  </si>
  <si>
    <t xml:space="preserve">Сестра медична    </t>
  </si>
  <si>
    <t>Завідувач відділу  лікар-педіатр</t>
  </si>
  <si>
    <t xml:space="preserve">Завідувач кабінету. Лікар статистик </t>
  </si>
  <si>
    <t>Лікар-статистик</t>
  </si>
  <si>
    <t xml:space="preserve">Статистик </t>
  </si>
  <si>
    <t>Інженерно-технічний персонал</t>
  </si>
  <si>
    <t>Адміністратор системи</t>
  </si>
  <si>
    <t xml:space="preserve">Інженер з охорони праці          </t>
  </si>
  <si>
    <t xml:space="preserve">Інженер з метрології                                   </t>
  </si>
  <si>
    <t>Фахівець з питань цивільного захисту</t>
  </si>
  <si>
    <t>Інженер з експлуатації споруд та устаткування водопровідно-каналізаційного господарства</t>
  </si>
  <si>
    <t>Інженер програміст</t>
  </si>
  <si>
    <t>Господарсько - обслуговувальний   персонал</t>
  </si>
  <si>
    <t>Завідувач господарством</t>
  </si>
  <si>
    <t>Сестра-господиня</t>
  </si>
  <si>
    <t>Оператор комп'ютерного набору</t>
  </si>
  <si>
    <t>Гардеробник</t>
  </si>
  <si>
    <t xml:space="preserve">Електромонтер    </t>
  </si>
  <si>
    <t xml:space="preserve">Слюсарь - сантехник                                </t>
  </si>
  <si>
    <t xml:space="preserve">Прибиральник службових приміщень   </t>
  </si>
  <si>
    <t xml:space="preserve">Механік з ремонту автотранспорту </t>
  </si>
  <si>
    <t xml:space="preserve">Водій </t>
  </si>
  <si>
    <t xml:space="preserve">Сторож                                                                </t>
  </si>
  <si>
    <t xml:space="preserve">Двірник  </t>
  </si>
  <si>
    <t>Всього</t>
  </si>
  <si>
    <t>лікарі</t>
  </si>
  <si>
    <t>середній медичний персонал</t>
  </si>
  <si>
    <t>молодший медичний персонал</t>
  </si>
  <si>
    <t>спеціалісти</t>
  </si>
  <si>
    <t>інші</t>
  </si>
  <si>
    <t>Кузьменко Г.Є.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</si>
</sst>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₴&quot;"/>
    <numFmt numFmtId="165" formatCode="0.0"/>
    <numFmt numFmtId="166" formatCode="#,##0.0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i/>
      <sz val="11"/>
      <name val="Times New Roman"/>
      <family val="1"/>
      <charset val="204"/>
    </font>
    <font>
      <sz val="11"/>
      <color indexed="22"/>
      <name val="Verdana"/>
      <family val="2"/>
      <charset val="204"/>
    </font>
    <font>
      <i/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rgb="FF30303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name val="Times New Roman Cyr"/>
      <family val="1"/>
      <charset val="204"/>
    </font>
    <font>
      <b/>
      <sz val="14"/>
      <name val="Times New Roman CYR"/>
      <charset val="204"/>
    </font>
    <font>
      <b/>
      <i/>
      <u/>
      <sz val="14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2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Times New Roman Cyr"/>
      <charset val="204"/>
    </font>
    <font>
      <b/>
      <i/>
      <sz val="12"/>
      <color theme="1"/>
      <name val="Times New Roman Cyr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 Cyr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 Cyr"/>
      <charset val="204"/>
    </font>
    <font>
      <sz val="12"/>
      <color indexed="10"/>
      <name val="Times New Roman CYR"/>
      <family val="1"/>
      <charset val="204"/>
    </font>
    <font>
      <b/>
      <i/>
      <sz val="11"/>
      <name val="Times New Roman Cyr"/>
      <charset val="204"/>
    </font>
    <font>
      <sz val="12"/>
      <color theme="1"/>
      <name val="Times New Roman Cyr"/>
      <family val="1"/>
      <charset val="204"/>
    </font>
    <font>
      <b/>
      <i/>
      <sz val="14"/>
      <name val="Times New Roman Cyr"/>
      <charset val="204"/>
    </font>
    <font>
      <sz val="12"/>
      <color theme="1"/>
      <name val="Times New Roman CYR"/>
      <charset val="204"/>
    </font>
    <font>
      <i/>
      <sz val="10"/>
      <name val="Times New Roman Cyr"/>
      <family val="1"/>
      <charset val="204"/>
    </font>
    <font>
      <i/>
      <sz val="10"/>
      <name val="Arial Cyr"/>
      <charset val="204"/>
    </font>
    <font>
      <i/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0" tint="-0.34998626667073579"/>
      <name val="Times New Roman"/>
      <family val="1"/>
      <charset val="204"/>
    </font>
    <font>
      <sz val="12"/>
      <color theme="0" tint="-0.34998626667073579"/>
      <name val="Arial Cyr"/>
      <charset val="204"/>
    </font>
    <font>
      <b/>
      <i/>
      <sz val="11"/>
      <color theme="0" tint="-0.34998626667073579"/>
      <name val="Times New Roman"/>
      <family val="1"/>
      <charset val="204"/>
    </font>
    <font>
      <sz val="11"/>
      <color theme="0" tint="-0.34998626667073579"/>
      <name val="Calibri"/>
      <family val="2"/>
      <charset val="204"/>
    </font>
    <font>
      <sz val="11"/>
      <color theme="0" tint="-0.34998626667073579"/>
      <name val="Times New Roman"/>
      <family val="1"/>
      <charset val="204"/>
    </font>
    <font>
      <i/>
      <sz val="16"/>
      <color theme="0" tint="-0.3499862666707357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06">
    <xf numFmtId="0" fontId="0" fillId="0" borderId="0" xfId="0"/>
    <xf numFmtId="2" fontId="2" fillId="0" borderId="0" xfId="1" applyNumberFormat="1" applyFont="1" applyFill="1" applyAlignment="1">
      <alignment vertical="top"/>
    </xf>
    <xf numFmtId="2" fontId="2" fillId="0" borderId="0" xfId="1" applyNumberFormat="1" applyFont="1" applyFill="1" applyAlignment="1">
      <alignment horizontal="left" vertical="top"/>
    </xf>
    <xf numFmtId="2" fontId="3" fillId="0" borderId="0" xfId="1" applyNumberFormat="1" applyFont="1" applyAlignment="1">
      <alignment horizontal="center"/>
    </xf>
    <xf numFmtId="0" fontId="1" fillId="0" borderId="0" xfId="1" applyFill="1"/>
    <xf numFmtId="2" fontId="3" fillId="0" borderId="0" xfId="1" applyNumberFormat="1" applyFont="1" applyFill="1" applyAlignment="1">
      <alignment horizontal="center"/>
    </xf>
    <xf numFmtId="0" fontId="1" fillId="0" borderId="0" xfId="1" applyFont="1"/>
    <xf numFmtId="0" fontId="1" fillId="0" borderId="0" xfId="1"/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2" fillId="0" borderId="0" xfId="1" applyFont="1" applyAlignment="1">
      <alignment vertical="top" wrapText="1"/>
    </xf>
    <xf numFmtId="164" fontId="7" fillId="0" borderId="0" xfId="1" applyNumberFormat="1" applyFont="1" applyFill="1" applyAlignment="1"/>
    <xf numFmtId="0" fontId="6" fillId="0" borderId="0" xfId="1" applyFont="1"/>
    <xf numFmtId="0" fontId="8" fillId="0" borderId="0" xfId="1" applyFont="1" applyAlignment="1"/>
    <xf numFmtId="2" fontId="9" fillId="0" borderId="0" xfId="1" applyNumberFormat="1" applyFont="1" applyFill="1" applyAlignment="1">
      <alignment horizontal="left"/>
    </xf>
    <xf numFmtId="0" fontId="10" fillId="0" borderId="0" xfId="1" applyFont="1"/>
    <xf numFmtId="2" fontId="3" fillId="0" borderId="0" xfId="1" applyNumberFormat="1" applyFont="1" applyFill="1" applyAlignment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11" fillId="0" borderId="0" xfId="1" applyFont="1" applyAlignment="1"/>
    <xf numFmtId="0" fontId="3" fillId="0" borderId="0" xfId="1" applyFont="1" applyFill="1" applyAlignment="1">
      <alignment horizontal="center"/>
    </xf>
    <xf numFmtId="0" fontId="12" fillId="0" borderId="0" xfId="1" applyFont="1" applyBorder="1" applyAlignment="1">
      <alignment horizontal="left"/>
    </xf>
    <xf numFmtId="2" fontId="2" fillId="0" borderId="0" xfId="1" applyNumberFormat="1" applyFont="1" applyFill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2" fontId="13" fillId="0" borderId="0" xfId="1" applyNumberFormat="1" applyFont="1" applyAlignment="1">
      <alignment horizontal="left"/>
    </xf>
    <xf numFmtId="2" fontId="14" fillId="0" borderId="0" xfId="1" applyNumberFormat="1" applyFont="1" applyBorder="1" applyAlignment="1">
      <alignment horizontal="center" vertical="justify"/>
    </xf>
    <xf numFmtId="0" fontId="15" fillId="0" borderId="0" xfId="1" applyFont="1"/>
    <xf numFmtId="2" fontId="12" fillId="0" borderId="0" xfId="1" applyNumberFormat="1" applyFont="1" applyAlignment="1">
      <alignment horizontal="center"/>
    </xf>
    <xf numFmtId="0" fontId="14" fillId="0" borderId="0" xfId="1" applyFont="1" applyBorder="1" applyAlignment="1">
      <alignment horizontal="left" vertical="justify"/>
    </xf>
    <xf numFmtId="0" fontId="14" fillId="0" borderId="0" xfId="1" applyFont="1" applyBorder="1" applyAlignment="1">
      <alignment horizontal="left" vertical="justify"/>
    </xf>
    <xf numFmtId="2" fontId="12" fillId="0" borderId="0" xfId="1" applyNumberFormat="1" applyFont="1" applyBorder="1" applyAlignment="1">
      <alignment horizontal="center"/>
    </xf>
    <xf numFmtId="0" fontId="16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vertical="center" wrapText="1"/>
    </xf>
    <xf numFmtId="0" fontId="15" fillId="0" borderId="0" xfId="1" applyFont="1" applyFill="1"/>
    <xf numFmtId="0" fontId="13" fillId="0" borderId="0" xfId="1" applyFont="1" applyFill="1" applyAlignment="1">
      <alignment horizontal="center" vertical="justify"/>
    </xf>
    <xf numFmtId="0" fontId="17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/>
    </xf>
    <xf numFmtId="0" fontId="18" fillId="0" borderId="12" xfId="1" applyFont="1" applyFill="1" applyBorder="1" applyAlignment="1">
      <alignment horizontal="center"/>
    </xf>
    <xf numFmtId="0" fontId="18" fillId="0" borderId="13" xfId="1" applyFont="1" applyFill="1" applyBorder="1" applyAlignment="1">
      <alignment horizontal="center"/>
    </xf>
    <xf numFmtId="0" fontId="18" fillId="0" borderId="14" xfId="1" applyFont="1" applyFill="1" applyBorder="1" applyAlignment="1">
      <alignment horizontal="center"/>
    </xf>
    <xf numFmtId="0" fontId="12" fillId="0" borderId="15" xfId="1" applyFont="1" applyFill="1" applyBorder="1" applyAlignment="1"/>
    <xf numFmtId="0" fontId="12" fillId="0" borderId="16" xfId="1" applyFont="1" applyFill="1" applyBorder="1" applyAlignment="1">
      <alignment horizontal="left"/>
    </xf>
    <xf numFmtId="0" fontId="12" fillId="0" borderId="17" xfId="1" applyFont="1" applyFill="1" applyBorder="1" applyAlignment="1">
      <alignment horizontal="left"/>
    </xf>
    <xf numFmtId="0" fontId="12" fillId="0" borderId="18" xfId="1" applyFont="1" applyFill="1" applyBorder="1" applyAlignment="1">
      <alignment horizontal="left"/>
    </xf>
    <xf numFmtId="0" fontId="12" fillId="0" borderId="19" xfId="1" applyFont="1" applyFill="1" applyBorder="1" applyAlignment="1">
      <alignment horizontal="left"/>
    </xf>
    <xf numFmtId="0" fontId="12" fillId="0" borderId="20" xfId="1" applyFont="1" applyFill="1" applyBorder="1" applyAlignment="1">
      <alignment horizontal="left"/>
    </xf>
    <xf numFmtId="0" fontId="12" fillId="0" borderId="21" xfId="1" applyFont="1" applyFill="1" applyBorder="1" applyAlignment="1">
      <alignment horizontal="left"/>
    </xf>
    <xf numFmtId="0" fontId="13" fillId="0" borderId="19" xfId="1" applyFont="1" applyFill="1" applyBorder="1" applyAlignment="1">
      <alignment horizontal="left"/>
    </xf>
    <xf numFmtId="0" fontId="13" fillId="0" borderId="20" xfId="1" applyFont="1" applyFill="1" applyBorder="1" applyAlignment="1">
      <alignment horizontal="left"/>
    </xf>
    <xf numFmtId="0" fontId="13" fillId="0" borderId="21" xfId="1" applyFont="1" applyFill="1" applyBorder="1" applyAlignment="1">
      <alignment horizontal="left"/>
    </xf>
    <xf numFmtId="0" fontId="13" fillId="0" borderId="19" xfId="1" applyFont="1" applyFill="1" applyBorder="1" applyAlignment="1">
      <alignment horizontal="left" wrapText="1"/>
    </xf>
    <xf numFmtId="0" fontId="13" fillId="0" borderId="20" xfId="1" applyFont="1" applyFill="1" applyBorder="1" applyAlignment="1">
      <alignment horizontal="left" wrapText="1"/>
    </xf>
    <xf numFmtId="0" fontId="13" fillId="0" borderId="21" xfId="1" applyFont="1" applyFill="1" applyBorder="1" applyAlignment="1">
      <alignment horizontal="left" wrapText="1"/>
    </xf>
    <xf numFmtId="0" fontId="13" fillId="0" borderId="19" xfId="1" applyFont="1" applyFill="1" applyBorder="1" applyAlignment="1">
      <alignment horizontal="left" shrinkToFit="1"/>
    </xf>
    <xf numFmtId="0" fontId="13" fillId="0" borderId="20" xfId="1" applyFont="1" applyFill="1" applyBorder="1" applyAlignment="1">
      <alignment horizontal="left" shrinkToFit="1"/>
    </xf>
    <xf numFmtId="0" fontId="13" fillId="0" borderId="21" xfId="1" applyFont="1" applyFill="1" applyBorder="1" applyAlignment="1">
      <alignment horizontal="left" shrinkToFit="1"/>
    </xf>
    <xf numFmtId="0" fontId="13" fillId="0" borderId="22" xfId="1" applyFont="1" applyFill="1" applyBorder="1" applyAlignment="1">
      <alignment horizontal="left"/>
    </xf>
    <xf numFmtId="0" fontId="13" fillId="0" borderId="23" xfId="1" applyFont="1" applyFill="1" applyBorder="1" applyAlignment="1">
      <alignment horizontal="left"/>
    </xf>
    <xf numFmtId="0" fontId="13" fillId="0" borderId="24" xfId="1" applyFont="1" applyFill="1" applyBorder="1" applyAlignment="1">
      <alignment horizontal="left"/>
    </xf>
    <xf numFmtId="4" fontId="15" fillId="0" borderId="0" xfId="1" applyNumberFormat="1" applyFont="1" applyFill="1"/>
    <xf numFmtId="0" fontId="19" fillId="0" borderId="0" xfId="1" applyFont="1" applyFill="1" applyBorder="1" applyAlignment="1">
      <alignment horizontal="left"/>
    </xf>
    <xf numFmtId="4" fontId="19" fillId="0" borderId="0" xfId="1" applyNumberFormat="1" applyFont="1" applyFill="1" applyBorder="1" applyAlignment="1">
      <alignment horizontal="center"/>
    </xf>
    <xf numFmtId="2" fontId="15" fillId="0" borderId="0" xfId="1" applyNumberFormat="1" applyFont="1" applyFill="1" applyBorder="1"/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/>
    <xf numFmtId="0" fontId="20" fillId="0" borderId="0" xfId="1" applyFont="1" applyAlignment="1">
      <alignment horizontal="center"/>
    </xf>
    <xf numFmtId="2" fontId="6" fillId="0" borderId="0" xfId="1" applyNumberFormat="1" applyFont="1" applyAlignment="1">
      <alignment horizontal="center"/>
    </xf>
    <xf numFmtId="2" fontId="20" fillId="0" borderId="0" xfId="1" applyNumberFormat="1" applyFont="1" applyAlignment="1">
      <alignment horizontal="left"/>
    </xf>
    <xf numFmtId="2" fontId="6" fillId="0" borderId="0" xfId="1" applyNumberFormat="1" applyFont="1" applyAlignment="1">
      <alignment horizontal="left"/>
    </xf>
    <xf numFmtId="0" fontId="21" fillId="0" borderId="0" xfId="1" applyFont="1"/>
    <xf numFmtId="0" fontId="8" fillId="0" borderId="0" xfId="1" applyFont="1"/>
    <xf numFmtId="0" fontId="22" fillId="0" borderId="0" xfId="1" applyFont="1" applyAlignment="1"/>
    <xf numFmtId="2" fontId="2" fillId="0" borderId="0" xfId="1" applyNumberFormat="1" applyFont="1" applyFill="1" applyAlignment="1">
      <alignment horizontal="left"/>
    </xf>
    <xf numFmtId="0" fontId="3" fillId="0" borderId="0" xfId="1" applyFont="1"/>
    <xf numFmtId="2" fontId="23" fillId="0" borderId="0" xfId="1" applyNumberFormat="1" applyFont="1" applyFill="1" applyAlignment="1"/>
    <xf numFmtId="2" fontId="20" fillId="0" borderId="0" xfId="1" applyNumberFormat="1" applyFont="1" applyFill="1" applyAlignment="1">
      <alignment horizontal="left"/>
    </xf>
    <xf numFmtId="2" fontId="3" fillId="0" borderId="0" xfId="1" applyNumberFormat="1" applyFont="1" applyFill="1" applyAlignment="1">
      <alignment horizontal="left"/>
    </xf>
    <xf numFmtId="2" fontId="20" fillId="0" borderId="0" xfId="1" applyNumberFormat="1" applyFont="1" applyFill="1" applyAlignment="1">
      <alignment horizontal="left" wrapText="1"/>
    </xf>
    <xf numFmtId="2" fontId="20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2" fontId="20" fillId="0" borderId="0" xfId="1" applyNumberFormat="1" applyFont="1" applyFill="1" applyAlignment="1"/>
    <xf numFmtId="164" fontId="20" fillId="0" borderId="0" xfId="1" applyNumberFormat="1" applyFont="1" applyFill="1" applyAlignment="1">
      <alignment horizontal="left" wrapText="1"/>
    </xf>
    <xf numFmtId="4" fontId="24" fillId="0" borderId="0" xfId="1" applyNumberFormat="1" applyFont="1" applyFill="1" applyAlignment="1">
      <alignment vertical="top"/>
    </xf>
    <xf numFmtId="164" fontId="20" fillId="0" borderId="0" xfId="1" applyNumberFormat="1" applyFont="1" applyFill="1" applyAlignment="1">
      <alignment vertical="top" wrapText="1"/>
    </xf>
    <xf numFmtId="4" fontId="6" fillId="0" borderId="0" xfId="1" applyNumberFormat="1" applyFont="1"/>
    <xf numFmtId="0" fontId="25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6" fillId="0" borderId="0" xfId="1" applyFont="1" applyAlignment="1">
      <alignment horizontal="center"/>
    </xf>
    <xf numFmtId="0" fontId="20" fillId="0" borderId="0" xfId="1" applyFont="1"/>
    <xf numFmtId="2" fontId="7" fillId="0" borderId="0" xfId="1" applyNumberFormat="1" applyFont="1" applyFill="1" applyAlignment="1"/>
    <xf numFmtId="0" fontId="26" fillId="0" borderId="25" xfId="1" applyFont="1" applyBorder="1" applyAlignment="1">
      <alignment horizontal="center"/>
    </xf>
    <xf numFmtId="0" fontId="20" fillId="0" borderId="25" xfId="1" applyFont="1" applyBorder="1" applyAlignment="1">
      <alignment horizontal="center"/>
    </xf>
    <xf numFmtId="0" fontId="3" fillId="0" borderId="0" xfId="1" applyFont="1" applyAlignment="1">
      <alignment horizontal="center"/>
    </xf>
    <xf numFmtId="2" fontId="7" fillId="0" borderId="0" xfId="1" applyNumberFormat="1" applyFont="1" applyFill="1" applyAlignment="1">
      <alignment horizontal="left"/>
    </xf>
    <xf numFmtId="0" fontId="27" fillId="0" borderId="0" xfId="1" applyFont="1" applyAlignment="1">
      <alignment horizontal="left"/>
    </xf>
    <xf numFmtId="0" fontId="12" fillId="0" borderId="0" xfId="1" applyFont="1" applyAlignment="1"/>
    <xf numFmtId="2" fontId="12" fillId="0" borderId="0" xfId="1" applyNumberFormat="1" applyFont="1" applyAlignment="1">
      <alignment horizontal="left"/>
    </xf>
    <xf numFmtId="0" fontId="2" fillId="0" borderId="0" xfId="1" applyFont="1"/>
    <xf numFmtId="0" fontId="14" fillId="0" borderId="0" xfId="1" applyFont="1" applyBorder="1" applyAlignment="1">
      <alignment horizontal="left"/>
    </xf>
    <xf numFmtId="2" fontId="16" fillId="0" borderId="0" xfId="1" applyNumberFormat="1" applyFont="1" applyAlignment="1">
      <alignment horizontal="center"/>
    </xf>
    <xf numFmtId="0" fontId="28" fillId="0" borderId="0" xfId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 wrapText="1"/>
    </xf>
    <xf numFmtId="0" fontId="30" fillId="0" borderId="9" xfId="1" applyFont="1" applyFill="1" applyBorder="1" applyAlignment="1">
      <alignment horizontal="center" vertical="justify"/>
    </xf>
    <xf numFmtId="0" fontId="31" fillId="0" borderId="0" xfId="1" applyFont="1" applyFill="1" applyBorder="1" applyAlignment="1">
      <alignment horizontal="center" vertical="justify"/>
    </xf>
    <xf numFmtId="0" fontId="30" fillId="0" borderId="0" xfId="1" applyFont="1" applyFill="1" applyBorder="1" applyAlignment="1">
      <alignment horizontal="center" vertical="justify"/>
    </xf>
    <xf numFmtId="0" fontId="3" fillId="0" borderId="0" xfId="1" applyFont="1" applyFill="1" applyBorder="1" applyAlignment="1">
      <alignment horizontal="center" vertical="justify"/>
    </xf>
    <xf numFmtId="0" fontId="23" fillId="0" borderId="26" xfId="1" applyFont="1" applyBorder="1" applyAlignment="1">
      <alignment horizontal="center" vertical="center" wrapText="1"/>
    </xf>
    <xf numFmtId="0" fontId="32" fillId="0" borderId="27" xfId="1" applyFont="1" applyBorder="1" applyAlignment="1">
      <alignment horizontal="center" vertical="center" wrapText="1"/>
    </xf>
    <xf numFmtId="2" fontId="32" fillId="0" borderId="27" xfId="1" applyNumberFormat="1" applyFont="1" applyBorder="1" applyAlignment="1">
      <alignment horizontal="center" vertical="center" wrapText="1"/>
    </xf>
    <xf numFmtId="2" fontId="32" fillId="0" borderId="27" xfId="1" applyNumberFormat="1" applyFont="1" applyBorder="1" applyAlignment="1">
      <alignment horizontal="center" wrapText="1"/>
    </xf>
    <xf numFmtId="0" fontId="23" fillId="0" borderId="28" xfId="1" applyFont="1" applyBorder="1" applyAlignment="1">
      <alignment horizontal="center" vertical="center" wrapText="1"/>
    </xf>
    <xf numFmtId="0" fontId="32" fillId="0" borderId="29" xfId="1" applyFont="1" applyBorder="1" applyAlignment="1">
      <alignment horizontal="center" vertical="center" wrapText="1"/>
    </xf>
    <xf numFmtId="2" fontId="32" fillId="0" borderId="29" xfId="1" applyNumberFormat="1" applyFont="1" applyBorder="1" applyAlignment="1">
      <alignment horizontal="center" vertical="center" wrapText="1"/>
    </xf>
    <xf numFmtId="2" fontId="32" fillId="0" borderId="29" xfId="1" applyNumberFormat="1" applyFont="1" applyBorder="1" applyAlignment="1">
      <alignment horizontal="center" wrapText="1"/>
    </xf>
    <xf numFmtId="0" fontId="33" fillId="0" borderId="26" xfId="1" applyFont="1" applyBorder="1" applyAlignment="1">
      <alignment horizontal="center"/>
    </xf>
    <xf numFmtId="0" fontId="34" fillId="0" borderId="27" xfId="1" applyFont="1" applyBorder="1" applyAlignment="1">
      <alignment horizontal="center"/>
    </xf>
    <xf numFmtId="0" fontId="35" fillId="3" borderId="30" xfId="1" applyFont="1" applyFill="1" applyBorder="1" applyAlignment="1">
      <alignment horizontal="center"/>
    </xf>
    <xf numFmtId="0" fontId="35" fillId="3" borderId="31" xfId="1" applyFont="1" applyFill="1" applyBorder="1" applyAlignment="1">
      <alignment horizontal="center"/>
    </xf>
    <xf numFmtId="0" fontId="35" fillId="3" borderId="32" xfId="1" applyFont="1" applyFill="1" applyBorder="1" applyAlignment="1">
      <alignment horizontal="center"/>
    </xf>
    <xf numFmtId="0" fontId="23" fillId="2" borderId="33" xfId="1" applyFont="1" applyFill="1" applyBorder="1" applyAlignment="1">
      <alignment horizontal="center"/>
    </xf>
    <xf numFmtId="2" fontId="2" fillId="0" borderId="34" xfId="1" applyNumberFormat="1" applyFont="1" applyFill="1" applyBorder="1" applyAlignment="1"/>
    <xf numFmtId="4" fontId="2" fillId="4" borderId="34" xfId="1" applyNumberFormat="1" applyFont="1" applyFill="1" applyBorder="1" applyAlignment="1">
      <alignment horizontal="center"/>
    </xf>
    <xf numFmtId="4" fontId="2" fillId="4" borderId="35" xfId="1" applyNumberFormat="1" applyFont="1" applyFill="1" applyBorder="1" applyAlignment="1">
      <alignment horizontal="center" wrapText="1"/>
    </xf>
    <xf numFmtId="4" fontId="2" fillId="4" borderId="20" xfId="1" applyNumberFormat="1" applyFont="1" applyFill="1" applyBorder="1" applyAlignment="1">
      <alignment horizontal="center" wrapText="1"/>
    </xf>
    <xf numFmtId="4" fontId="2" fillId="4" borderId="21" xfId="1" applyNumberFormat="1" applyFont="1" applyFill="1" applyBorder="1" applyAlignment="1">
      <alignment horizontal="center" wrapText="1"/>
    </xf>
    <xf numFmtId="4" fontId="20" fillId="0" borderId="0" xfId="1" applyNumberFormat="1" applyFont="1" applyAlignment="1">
      <alignment horizontal="center"/>
    </xf>
    <xf numFmtId="0" fontId="2" fillId="0" borderId="34" xfId="1" applyFont="1" applyFill="1" applyBorder="1" applyAlignment="1">
      <alignment horizontal="left" wrapText="1"/>
    </xf>
    <xf numFmtId="4" fontId="12" fillId="2" borderId="34" xfId="1" applyNumberFormat="1" applyFont="1" applyFill="1" applyBorder="1" applyAlignment="1">
      <alignment horizontal="center"/>
    </xf>
    <xf numFmtId="2" fontId="2" fillId="0" borderId="36" xfId="1" applyNumberFormat="1" applyFont="1" applyBorder="1" applyAlignment="1">
      <alignment horizontal="center"/>
    </xf>
    <xf numFmtId="4" fontId="15" fillId="0" borderId="0" xfId="1" applyNumberFormat="1" applyFont="1" applyBorder="1"/>
    <xf numFmtId="4" fontId="15" fillId="0" borderId="0" xfId="1" applyNumberFormat="1" applyFont="1"/>
    <xf numFmtId="0" fontId="20" fillId="0" borderId="0" xfId="1" applyFont="1" applyFill="1" applyBorder="1" applyAlignment="1">
      <alignment horizontal="center"/>
    </xf>
    <xf numFmtId="0" fontId="15" fillId="0" borderId="0" xfId="1" applyFont="1" applyBorder="1"/>
    <xf numFmtId="0" fontId="12" fillId="0" borderId="34" xfId="1" applyFont="1" applyFill="1" applyBorder="1" applyAlignment="1">
      <alignment vertical="justify"/>
    </xf>
    <xf numFmtId="4" fontId="12" fillId="4" borderId="34" xfId="1" applyNumberFormat="1" applyFont="1" applyFill="1" applyBorder="1" applyAlignment="1">
      <alignment horizontal="center"/>
    </xf>
    <xf numFmtId="0" fontId="2" fillId="0" borderId="34" xfId="1" applyFont="1" applyFill="1" applyBorder="1"/>
    <xf numFmtId="2" fontId="2" fillId="0" borderId="34" xfId="1" applyNumberFormat="1" applyFont="1" applyBorder="1" applyAlignment="1">
      <alignment horizontal="center"/>
    </xf>
    <xf numFmtId="0" fontId="3" fillId="0" borderId="34" xfId="1" applyFont="1" applyBorder="1"/>
    <xf numFmtId="0" fontId="26" fillId="0" borderId="0" xfId="1" applyFont="1" applyAlignment="1">
      <alignment horizontal="center"/>
    </xf>
    <xf numFmtId="0" fontId="12" fillId="0" borderId="34" xfId="1" applyFont="1" applyFill="1" applyBorder="1"/>
    <xf numFmtId="0" fontId="12" fillId="0" borderId="37" xfId="1" applyFont="1" applyFill="1" applyBorder="1"/>
    <xf numFmtId="4" fontId="12" fillId="2" borderId="37" xfId="1" applyNumberFormat="1" applyFont="1" applyFill="1" applyBorder="1" applyAlignment="1">
      <alignment horizontal="center"/>
    </xf>
    <xf numFmtId="4" fontId="2" fillId="4" borderId="37" xfId="1" applyNumberFormat="1" applyFont="1" applyFill="1" applyBorder="1" applyAlignment="1">
      <alignment horizontal="center"/>
    </xf>
    <xf numFmtId="4" fontId="2" fillId="0" borderId="37" xfId="1" applyNumberFormat="1" applyFont="1" applyFill="1" applyBorder="1"/>
    <xf numFmtId="4" fontId="12" fillId="4" borderId="37" xfId="1" applyNumberFormat="1" applyFont="1" applyFill="1" applyBorder="1" applyAlignment="1">
      <alignment horizontal="center"/>
    </xf>
    <xf numFmtId="0" fontId="36" fillId="2" borderId="12" xfId="1" applyFont="1" applyFill="1" applyBorder="1" applyAlignment="1">
      <alignment horizontal="center"/>
    </xf>
    <xf numFmtId="0" fontId="36" fillId="2" borderId="38" xfId="1" applyFont="1" applyFill="1" applyBorder="1" applyAlignment="1">
      <alignment horizontal="center"/>
    </xf>
    <xf numFmtId="4" fontId="36" fillId="2" borderId="39" xfId="1" applyNumberFormat="1" applyFont="1" applyFill="1" applyBorder="1" applyAlignment="1">
      <alignment horizontal="center"/>
    </xf>
    <xf numFmtId="4" fontId="37" fillId="2" borderId="39" xfId="1" applyNumberFormat="1" applyFont="1" applyFill="1" applyBorder="1" applyAlignment="1">
      <alignment horizontal="center"/>
    </xf>
    <xf numFmtId="4" fontId="38" fillId="2" borderId="40" xfId="1" applyNumberFormat="1" applyFont="1" applyFill="1" applyBorder="1" applyAlignment="1">
      <alignment horizontal="center"/>
    </xf>
    <xf numFmtId="4" fontId="12" fillId="2" borderId="34" xfId="1" applyNumberFormat="1" applyFont="1" applyFill="1" applyBorder="1"/>
    <xf numFmtId="0" fontId="27" fillId="4" borderId="41" xfId="1" applyFont="1" applyFill="1" applyBorder="1" applyAlignment="1">
      <alignment horizontal="center"/>
    </xf>
    <xf numFmtId="0" fontId="13" fillId="4" borderId="42" xfId="1" applyFont="1" applyFill="1" applyBorder="1" applyAlignment="1">
      <alignment horizontal="left"/>
    </xf>
    <xf numFmtId="2" fontId="13" fillId="4" borderId="42" xfId="1" applyNumberFormat="1" applyFont="1" applyFill="1" applyBorder="1" applyAlignment="1">
      <alignment horizontal="center"/>
    </xf>
    <xf numFmtId="0" fontId="18" fillId="4" borderId="42" xfId="1" applyFont="1" applyFill="1" applyBorder="1" applyAlignment="1">
      <alignment horizontal="center"/>
    </xf>
    <xf numFmtId="3" fontId="23" fillId="2" borderId="33" xfId="1" applyNumberFormat="1" applyFont="1" applyFill="1" applyBorder="1" applyAlignment="1">
      <alignment horizontal="center"/>
    </xf>
    <xf numFmtId="0" fontId="23" fillId="2" borderId="43" xfId="1" applyFont="1" applyFill="1" applyBorder="1" applyAlignment="1">
      <alignment horizontal="center"/>
    </xf>
    <xf numFmtId="0" fontId="36" fillId="2" borderId="44" xfId="1" applyFont="1" applyFill="1" applyBorder="1"/>
    <xf numFmtId="4" fontId="32" fillId="2" borderId="44" xfId="1" applyNumberFormat="1" applyFont="1" applyFill="1" applyBorder="1" applyAlignment="1">
      <alignment horizontal="center" wrapText="1"/>
    </xf>
    <xf numFmtId="4" fontId="36" fillId="2" borderId="29" xfId="1" applyNumberFormat="1" applyFont="1" applyFill="1" applyBorder="1" applyAlignment="1">
      <alignment horizontal="center"/>
    </xf>
    <xf numFmtId="4" fontId="39" fillId="2" borderId="44" xfId="1" applyNumberFormat="1" applyFont="1" applyFill="1" applyBorder="1" applyAlignment="1">
      <alignment horizontal="center" wrapText="1"/>
    </xf>
    <xf numFmtId="0" fontId="40" fillId="3" borderId="2" xfId="1" applyFont="1" applyFill="1" applyBorder="1" applyAlignment="1">
      <alignment horizontal="center"/>
    </xf>
    <xf numFmtId="0" fontId="40" fillId="3" borderId="3" xfId="1" applyFont="1" applyFill="1" applyBorder="1" applyAlignment="1">
      <alignment horizontal="center"/>
    </xf>
    <xf numFmtId="0" fontId="40" fillId="3" borderId="4" xfId="1" applyFont="1" applyFill="1" applyBorder="1" applyAlignment="1">
      <alignment horizontal="center"/>
    </xf>
    <xf numFmtId="0" fontId="35" fillId="3" borderId="2" xfId="1" applyFont="1" applyFill="1" applyBorder="1" applyAlignment="1">
      <alignment horizontal="center" wrapText="1"/>
    </xf>
    <xf numFmtId="0" fontId="35" fillId="3" borderId="3" xfId="1" applyFont="1" applyFill="1" applyBorder="1" applyAlignment="1">
      <alignment horizontal="center" wrapText="1"/>
    </xf>
    <xf numFmtId="0" fontId="35" fillId="3" borderId="4" xfId="1" applyFont="1" applyFill="1" applyBorder="1" applyAlignment="1">
      <alignment horizontal="center" wrapText="1"/>
    </xf>
    <xf numFmtId="3" fontId="41" fillId="2" borderId="33" xfId="1" applyNumberFormat="1" applyFont="1" applyFill="1" applyBorder="1" applyAlignment="1">
      <alignment horizontal="center" wrapText="1"/>
    </xf>
    <xf numFmtId="0" fontId="12" fillId="0" borderId="34" xfId="1" applyFont="1" applyFill="1" applyBorder="1" applyAlignment="1">
      <alignment horizontal="left" vertical="center" wrapText="1"/>
    </xf>
    <xf numFmtId="4" fontId="13" fillId="2" borderId="34" xfId="1" applyNumberFormat="1" applyFont="1" applyFill="1" applyBorder="1" applyAlignment="1">
      <alignment horizontal="center" wrapText="1"/>
    </xf>
    <xf numFmtId="0" fontId="12" fillId="0" borderId="25" xfId="1" applyFont="1" applyFill="1" applyBorder="1" applyAlignment="1">
      <alignment horizontal="left" vertical="center" wrapText="1"/>
    </xf>
    <xf numFmtId="4" fontId="13" fillId="2" borderId="42" xfId="1" applyNumberFormat="1" applyFont="1" applyFill="1" applyBorder="1" applyAlignment="1">
      <alignment horizontal="center" wrapText="1"/>
    </xf>
    <xf numFmtId="3" fontId="41" fillId="2" borderId="41" xfId="1" applyNumberFormat="1" applyFont="1" applyFill="1" applyBorder="1" applyAlignment="1">
      <alignment horizontal="center" wrapText="1"/>
    </xf>
    <xf numFmtId="0" fontId="12" fillId="0" borderId="20" xfId="1" applyFont="1" applyFill="1" applyBorder="1" applyAlignment="1">
      <alignment vertical="justify" wrapText="1"/>
    </xf>
    <xf numFmtId="4" fontId="13" fillId="4" borderId="34" xfId="1" applyNumberFormat="1" applyFont="1" applyFill="1" applyBorder="1" applyAlignment="1">
      <alignment horizontal="center" wrapText="1"/>
    </xf>
    <xf numFmtId="0" fontId="12" fillId="2" borderId="45" xfId="1" applyFont="1" applyFill="1" applyBorder="1" applyAlignment="1">
      <alignment wrapText="1"/>
    </xf>
    <xf numFmtId="3" fontId="41" fillId="2" borderId="43" xfId="1" applyNumberFormat="1" applyFont="1" applyFill="1" applyBorder="1" applyAlignment="1">
      <alignment horizontal="center" wrapText="1"/>
    </xf>
    <xf numFmtId="0" fontId="12" fillId="2" borderId="46" xfId="1" applyFont="1" applyFill="1" applyBorder="1" applyAlignment="1">
      <alignment wrapText="1"/>
    </xf>
    <xf numFmtId="4" fontId="13" fillId="2" borderId="44" xfId="1" applyNumberFormat="1" applyFont="1" applyFill="1" applyBorder="1" applyAlignment="1">
      <alignment horizontal="center" wrapText="1"/>
    </xf>
    <xf numFmtId="0" fontId="23" fillId="2" borderId="12" xfId="1" applyFont="1" applyFill="1" applyBorder="1" applyAlignment="1">
      <alignment horizontal="center"/>
    </xf>
    <xf numFmtId="0" fontId="36" fillId="2" borderId="38" xfId="1" applyFont="1" applyFill="1" applyBorder="1"/>
    <xf numFmtId="4" fontId="32" fillId="2" borderId="39" xfId="1" applyNumberFormat="1" applyFont="1" applyFill="1" applyBorder="1" applyAlignment="1">
      <alignment horizontal="center" wrapText="1"/>
    </xf>
    <xf numFmtId="4" fontId="39" fillId="2" borderId="39" xfId="1" applyNumberFormat="1" applyFont="1" applyFill="1" applyBorder="1" applyAlignment="1">
      <alignment horizontal="center" wrapText="1"/>
    </xf>
    <xf numFmtId="4" fontId="38" fillId="2" borderId="39" xfId="1" applyNumberFormat="1" applyFont="1" applyFill="1" applyBorder="1" applyAlignment="1">
      <alignment horizontal="center" wrapText="1"/>
    </xf>
    <xf numFmtId="0" fontId="35" fillId="3" borderId="30" xfId="1" applyFont="1" applyFill="1" applyBorder="1" applyAlignment="1">
      <alignment horizontal="center" wrapText="1"/>
    </xf>
    <xf numFmtId="0" fontId="35" fillId="3" borderId="31" xfId="1" applyFont="1" applyFill="1" applyBorder="1" applyAlignment="1">
      <alignment horizontal="center" wrapText="1"/>
    </xf>
    <xf numFmtId="0" fontId="35" fillId="3" borderId="32" xfId="1" applyFont="1" applyFill="1" applyBorder="1" applyAlignment="1">
      <alignment horizontal="center" wrapText="1"/>
    </xf>
    <xf numFmtId="4" fontId="12" fillId="2" borderId="34" xfId="1" applyNumberFormat="1" applyFont="1" applyFill="1" applyBorder="1" applyAlignment="1">
      <alignment horizontal="center" wrapText="1"/>
    </xf>
    <xf numFmtId="4" fontId="12" fillId="4" borderId="34" xfId="1" applyNumberFormat="1" applyFont="1" applyFill="1" applyBorder="1" applyAlignment="1">
      <alignment horizontal="center" wrapText="1"/>
    </xf>
    <xf numFmtId="0" fontId="12" fillId="0" borderId="34" xfId="1" applyFont="1" applyFill="1" applyBorder="1" applyAlignment="1">
      <alignment wrapText="1"/>
    </xf>
    <xf numFmtId="0" fontId="12" fillId="0" borderId="34" xfId="1" applyFont="1" applyFill="1" applyBorder="1" applyAlignment="1">
      <alignment vertical="justify" wrapText="1"/>
    </xf>
    <xf numFmtId="4" fontId="42" fillId="2" borderId="34" xfId="1" applyNumberFormat="1" applyFont="1" applyFill="1" applyBorder="1" applyAlignment="1">
      <alignment horizontal="center" wrapText="1"/>
    </xf>
    <xf numFmtId="0" fontId="13" fillId="2" borderId="42" xfId="1" applyFont="1" applyFill="1" applyBorder="1" applyAlignment="1">
      <alignment wrapText="1"/>
    </xf>
    <xf numFmtId="4" fontId="12" fillId="2" borderId="42" xfId="1" applyNumberFormat="1" applyFont="1" applyFill="1" applyBorder="1" applyAlignment="1">
      <alignment horizontal="center" wrapText="1"/>
    </xf>
    <xf numFmtId="0" fontId="12" fillId="2" borderId="37" xfId="1" applyFont="1" applyFill="1" applyBorder="1" applyAlignment="1">
      <alignment wrapText="1"/>
    </xf>
    <xf numFmtId="4" fontId="12" fillId="4" borderId="37" xfId="1" applyNumberFormat="1" applyFont="1" applyFill="1" applyBorder="1" applyAlignment="1">
      <alignment horizontal="center" wrapText="1"/>
    </xf>
    <xf numFmtId="4" fontId="13" fillId="2" borderId="37" xfId="1" applyNumberFormat="1" applyFont="1" applyFill="1" applyBorder="1" applyAlignment="1">
      <alignment horizontal="center" wrapText="1"/>
    </xf>
    <xf numFmtId="0" fontId="23" fillId="2" borderId="6" xfId="1" applyFont="1" applyFill="1" applyBorder="1" applyAlignment="1">
      <alignment horizontal="center"/>
    </xf>
    <xf numFmtId="0" fontId="36" fillId="2" borderId="47" xfId="1" applyFont="1" applyFill="1" applyBorder="1"/>
    <xf numFmtId="4" fontId="32" fillId="4" borderId="39" xfId="1" applyNumberFormat="1" applyFont="1" applyFill="1" applyBorder="1" applyAlignment="1">
      <alignment horizontal="center" wrapText="1"/>
    </xf>
    <xf numFmtId="4" fontId="38" fillId="2" borderId="40" xfId="1" applyNumberFormat="1" applyFont="1" applyFill="1" applyBorder="1" applyAlignment="1">
      <alignment horizontal="center" wrapText="1"/>
    </xf>
    <xf numFmtId="0" fontId="23" fillId="0" borderId="26" xfId="1" applyFont="1" applyBorder="1" applyAlignment="1">
      <alignment vertical="center" wrapText="1"/>
    </xf>
    <xf numFmtId="0" fontId="36" fillId="0" borderId="27" xfId="1" applyFont="1" applyBorder="1" applyAlignment="1">
      <alignment vertical="center" wrapText="1"/>
    </xf>
    <xf numFmtId="2" fontId="36" fillId="0" borderId="27" xfId="1" applyNumberFormat="1" applyFont="1" applyBorder="1" applyAlignment="1">
      <alignment vertical="center" wrapText="1"/>
    </xf>
    <xf numFmtId="2" fontId="36" fillId="4" borderId="27" xfId="1" applyNumberFormat="1" applyFont="1" applyFill="1" applyBorder="1" applyAlignment="1">
      <alignment vertical="center" wrapText="1"/>
    </xf>
    <xf numFmtId="2" fontId="36" fillId="0" borderId="48" xfId="1" applyNumberFormat="1" applyFont="1" applyBorder="1" applyAlignment="1">
      <alignment horizontal="center" wrapText="1"/>
    </xf>
    <xf numFmtId="2" fontId="43" fillId="0" borderId="27" xfId="1" applyNumberFormat="1" applyFont="1" applyBorder="1" applyAlignment="1">
      <alignment wrapText="1"/>
    </xf>
    <xf numFmtId="0" fontId="7" fillId="0" borderId="26" xfId="1" applyFont="1" applyBorder="1" applyAlignment="1">
      <alignment horizontal="center"/>
    </xf>
    <xf numFmtId="0" fontId="34" fillId="0" borderId="49" xfId="1" applyFont="1" applyBorder="1" applyAlignment="1">
      <alignment horizontal="center"/>
    </xf>
    <xf numFmtId="0" fontId="35" fillId="3" borderId="30" xfId="1" applyFont="1" applyFill="1" applyBorder="1" applyAlignment="1">
      <alignment horizontal="center" shrinkToFit="1"/>
    </xf>
    <xf numFmtId="0" fontId="35" fillId="3" borderId="31" xfId="1" applyFont="1" applyFill="1" applyBorder="1" applyAlignment="1">
      <alignment horizontal="center" shrinkToFit="1"/>
    </xf>
    <xf numFmtId="0" fontId="35" fillId="3" borderId="32" xfId="1" applyFont="1" applyFill="1" applyBorder="1" applyAlignment="1">
      <alignment horizontal="center" shrinkToFit="1"/>
    </xf>
    <xf numFmtId="3" fontId="23" fillId="2" borderId="34" xfId="1" applyNumberFormat="1" applyFont="1" applyFill="1" applyBorder="1" applyAlignment="1">
      <alignment horizontal="center"/>
    </xf>
    <xf numFmtId="4" fontId="44" fillId="2" borderId="34" xfId="1" applyNumberFormat="1" applyFont="1" applyFill="1" applyBorder="1" applyAlignment="1">
      <alignment horizontal="center"/>
    </xf>
    <xf numFmtId="1" fontId="34" fillId="0" borderId="27" xfId="1" applyNumberFormat="1" applyFont="1" applyBorder="1" applyAlignment="1">
      <alignment horizontal="center"/>
    </xf>
    <xf numFmtId="1" fontId="34" fillId="0" borderId="48" xfId="1" applyNumberFormat="1" applyFont="1" applyBorder="1" applyAlignment="1">
      <alignment horizontal="center"/>
    </xf>
    <xf numFmtId="1" fontId="33" fillId="0" borderId="50" xfId="1" applyNumberFormat="1" applyFont="1" applyBorder="1" applyAlignment="1">
      <alignment horizontal="center"/>
    </xf>
    <xf numFmtId="3" fontId="23" fillId="2" borderId="51" xfId="1" applyNumberFormat="1" applyFont="1" applyFill="1" applyBorder="1" applyAlignment="1">
      <alignment horizontal="center"/>
    </xf>
    <xf numFmtId="0" fontId="12" fillId="0" borderId="37" xfId="1" applyFont="1" applyFill="1" applyBorder="1" applyAlignment="1">
      <alignment vertical="justify" wrapText="1"/>
    </xf>
    <xf numFmtId="0" fontId="23" fillId="2" borderId="47" xfId="1" applyFont="1" applyFill="1" applyBorder="1" applyAlignment="1">
      <alignment horizontal="center"/>
    </xf>
    <xf numFmtId="0" fontId="36" fillId="2" borderId="39" xfId="1" applyFont="1" applyFill="1" applyBorder="1"/>
    <xf numFmtId="0" fontId="28" fillId="3" borderId="30" xfId="1" applyFont="1" applyFill="1" applyBorder="1" applyAlignment="1">
      <alignment horizontal="center"/>
    </xf>
    <xf numFmtId="0" fontId="28" fillId="3" borderId="31" xfId="1" applyFont="1" applyFill="1" applyBorder="1" applyAlignment="1">
      <alignment horizontal="center"/>
    </xf>
    <xf numFmtId="0" fontId="28" fillId="3" borderId="32" xfId="1" applyFont="1" applyFill="1" applyBorder="1" applyAlignment="1">
      <alignment horizontal="center"/>
    </xf>
    <xf numFmtId="0" fontId="13" fillId="0" borderId="42" xfId="1" applyFont="1" applyFill="1" applyBorder="1" applyAlignment="1">
      <alignment horizontal="left"/>
    </xf>
    <xf numFmtId="4" fontId="13" fillId="4" borderId="42" xfId="1" applyNumberFormat="1" applyFont="1" applyFill="1" applyBorder="1" applyAlignment="1">
      <alignment horizontal="center"/>
    </xf>
    <xf numFmtId="4" fontId="13" fillId="2" borderId="34" xfId="1" applyNumberFormat="1" applyFont="1" applyFill="1" applyBorder="1" applyAlignment="1">
      <alignment horizontal="center"/>
    </xf>
    <xf numFmtId="4" fontId="12" fillId="4" borderId="52" xfId="1" applyNumberFormat="1" applyFont="1" applyFill="1" applyBorder="1" applyAlignment="1">
      <alignment horizontal="center"/>
    </xf>
    <xf numFmtId="0" fontId="13" fillId="0" borderId="34" xfId="1" applyFont="1" applyFill="1" applyBorder="1" applyAlignment="1">
      <alignment horizontal="left"/>
    </xf>
    <xf numFmtId="4" fontId="13" fillId="4" borderId="34" xfId="1" applyNumberFormat="1" applyFont="1" applyFill="1" applyBorder="1" applyAlignment="1">
      <alignment horizontal="center"/>
    </xf>
    <xf numFmtId="0" fontId="13" fillId="4" borderId="37" xfId="1" applyFont="1" applyFill="1" applyBorder="1" applyAlignment="1">
      <alignment horizontal="left"/>
    </xf>
    <xf numFmtId="4" fontId="13" fillId="4" borderId="37" xfId="1" applyNumberFormat="1" applyFont="1" applyFill="1" applyBorder="1" applyAlignment="1">
      <alignment horizontal="center"/>
    </xf>
    <xf numFmtId="3" fontId="23" fillId="2" borderId="12" xfId="1" applyNumberFormat="1" applyFont="1" applyFill="1" applyBorder="1" applyAlignment="1">
      <alignment horizontal="center"/>
    </xf>
    <xf numFmtId="4" fontId="32" fillId="2" borderId="39" xfId="1" applyNumberFormat="1" applyFont="1" applyFill="1" applyBorder="1" applyAlignment="1">
      <alignment horizontal="center"/>
    </xf>
    <xf numFmtId="4" fontId="39" fillId="2" borderId="39" xfId="1" applyNumberFormat="1" applyFont="1" applyFill="1" applyBorder="1" applyAlignment="1">
      <alignment horizontal="center"/>
    </xf>
    <xf numFmtId="4" fontId="38" fillId="2" borderId="39" xfId="1" applyNumberFormat="1" applyFont="1" applyFill="1" applyBorder="1" applyAlignment="1">
      <alignment horizontal="center"/>
    </xf>
    <xf numFmtId="0" fontId="45" fillId="3" borderId="30" xfId="1" applyFont="1" applyFill="1" applyBorder="1" applyAlignment="1">
      <alignment horizontal="center"/>
    </xf>
    <xf numFmtId="0" fontId="45" fillId="3" borderId="31" xfId="1" applyFont="1" applyFill="1" applyBorder="1" applyAlignment="1">
      <alignment horizontal="center"/>
    </xf>
    <xf numFmtId="0" fontId="45" fillId="3" borderId="32" xfId="1" applyFont="1" applyFill="1" applyBorder="1" applyAlignment="1">
      <alignment horizontal="center"/>
    </xf>
    <xf numFmtId="0" fontId="36" fillId="2" borderId="6" xfId="1" applyFont="1" applyFill="1" applyBorder="1" applyAlignment="1">
      <alignment horizontal="left"/>
    </xf>
    <xf numFmtId="0" fontId="36" fillId="2" borderId="53" xfId="1" applyFont="1" applyFill="1" applyBorder="1" applyAlignment="1">
      <alignment horizontal="left"/>
    </xf>
    <xf numFmtId="4" fontId="32" fillId="2" borderId="54" xfId="1" applyNumberFormat="1" applyFont="1" applyFill="1" applyBorder="1" applyAlignment="1">
      <alignment horizontal="center" wrapText="1"/>
    </xf>
    <xf numFmtId="4" fontId="2" fillId="2" borderId="25" xfId="1" applyNumberFormat="1" applyFont="1" applyFill="1" applyBorder="1" applyAlignment="1">
      <alignment horizontal="center"/>
    </xf>
    <xf numFmtId="4" fontId="39" fillId="2" borderId="54" xfId="1" applyNumberFormat="1" applyFont="1" applyFill="1" applyBorder="1" applyAlignment="1">
      <alignment horizontal="center" wrapText="1"/>
    </xf>
    <xf numFmtId="4" fontId="38" fillId="2" borderId="54" xfId="1" applyNumberFormat="1" applyFont="1" applyFill="1" applyBorder="1" applyAlignment="1">
      <alignment horizontal="center" wrapText="1"/>
    </xf>
    <xf numFmtId="0" fontId="41" fillId="2" borderId="33" xfId="1" applyFont="1" applyFill="1" applyBorder="1" applyAlignment="1">
      <alignment horizontal="center" wrapText="1"/>
    </xf>
    <xf numFmtId="0" fontId="12" fillId="2" borderId="34" xfId="1" applyFont="1" applyFill="1" applyBorder="1" applyAlignment="1">
      <alignment wrapText="1"/>
    </xf>
    <xf numFmtId="0" fontId="41" fillId="2" borderId="43" xfId="1" applyFont="1" applyFill="1" applyBorder="1" applyAlignment="1">
      <alignment horizontal="center" wrapText="1"/>
    </xf>
    <xf numFmtId="4" fontId="13" fillId="0" borderId="34" xfId="1" applyNumberFormat="1" applyFont="1" applyFill="1" applyBorder="1" applyAlignment="1">
      <alignment horizontal="center" wrapText="1"/>
    </xf>
    <xf numFmtId="4" fontId="12" fillId="0" borderId="34" xfId="1" applyNumberFormat="1" applyFont="1" applyFill="1" applyBorder="1" applyAlignment="1">
      <alignment horizontal="center"/>
    </xf>
    <xf numFmtId="0" fontId="12" fillId="0" borderId="34" xfId="1" applyFont="1" applyFill="1" applyBorder="1" applyAlignment="1">
      <alignment horizontal="left" vertical="justify" wrapText="1"/>
    </xf>
    <xf numFmtId="4" fontId="46" fillId="4" borderId="34" xfId="1" applyNumberFormat="1" applyFont="1" applyFill="1" applyBorder="1" applyAlignment="1">
      <alignment horizontal="center" wrapText="1"/>
    </xf>
    <xf numFmtId="0" fontId="23" fillId="2" borderId="51" xfId="1" applyFont="1" applyFill="1" applyBorder="1" applyAlignment="1">
      <alignment horizontal="center"/>
    </xf>
    <xf numFmtId="4" fontId="12" fillId="0" borderId="37" xfId="1" applyNumberFormat="1" applyFont="1" applyFill="1" applyBorder="1" applyAlignment="1">
      <alignment horizontal="center"/>
    </xf>
    <xf numFmtId="4" fontId="13" fillId="4" borderId="37" xfId="1" applyNumberFormat="1" applyFont="1" applyFill="1" applyBorder="1" applyAlignment="1">
      <alignment horizontal="center" wrapText="1"/>
    </xf>
    <xf numFmtId="4" fontId="32" fillId="2" borderId="37" xfId="1" applyNumberFormat="1" applyFont="1" applyFill="1" applyBorder="1" applyAlignment="1">
      <alignment horizontal="center" wrapText="1"/>
    </xf>
    <xf numFmtId="0" fontId="13" fillId="4" borderId="34" xfId="1" applyFont="1" applyFill="1" applyBorder="1" applyAlignment="1">
      <alignment horizontal="left"/>
    </xf>
    <xf numFmtId="4" fontId="32" fillId="2" borderId="34" xfId="1" applyNumberFormat="1" applyFont="1" applyFill="1" applyBorder="1" applyAlignment="1">
      <alignment horizontal="center" wrapText="1"/>
    </xf>
    <xf numFmtId="0" fontId="13" fillId="4" borderId="34" xfId="1" applyFont="1" applyFill="1" applyBorder="1" applyAlignment="1">
      <alignment horizontal="left" vertical="center" wrapText="1"/>
    </xf>
    <xf numFmtId="2" fontId="2" fillId="0" borderId="40" xfId="1" applyNumberFormat="1" applyFont="1" applyBorder="1" applyAlignment="1">
      <alignment horizontal="center"/>
    </xf>
    <xf numFmtId="0" fontId="23" fillId="0" borderId="55" xfId="1" applyFont="1" applyBorder="1" applyAlignment="1">
      <alignment vertical="center" wrapText="1"/>
    </xf>
    <xf numFmtId="0" fontId="43" fillId="0" borderId="54" xfId="1" applyFont="1" applyBorder="1" applyAlignment="1">
      <alignment vertical="center" wrapText="1"/>
    </xf>
    <xf numFmtId="2" fontId="43" fillId="0" borderId="54" xfId="1" applyNumberFormat="1" applyFont="1" applyBorder="1" applyAlignment="1">
      <alignment vertical="center" wrapText="1"/>
    </xf>
    <xf numFmtId="2" fontId="43" fillId="4" borderId="54" xfId="1" applyNumberFormat="1" applyFont="1" applyFill="1" applyBorder="1" applyAlignment="1">
      <alignment vertical="center" wrapText="1"/>
    </xf>
    <xf numFmtId="2" fontId="43" fillId="0" borderId="56" xfId="1" applyNumberFormat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/>
    </xf>
    <xf numFmtId="0" fontId="18" fillId="0" borderId="49" xfId="1" applyFont="1" applyBorder="1" applyAlignment="1">
      <alignment horizontal="center"/>
    </xf>
    <xf numFmtId="0" fontId="18" fillId="0" borderId="27" xfId="1" applyFont="1" applyBorder="1" applyAlignment="1">
      <alignment horizontal="center"/>
    </xf>
    <xf numFmtId="1" fontId="18" fillId="0" borderId="27" xfId="1" applyNumberFormat="1" applyFont="1" applyBorder="1" applyAlignment="1">
      <alignment horizontal="center"/>
    </xf>
    <xf numFmtId="1" fontId="18" fillId="0" borderId="48" xfId="1" applyNumberFormat="1" applyFont="1" applyBorder="1" applyAlignment="1">
      <alignment horizontal="center"/>
    </xf>
    <xf numFmtId="1" fontId="17" fillId="0" borderId="50" xfId="1" applyNumberFormat="1" applyFont="1" applyBorder="1" applyAlignment="1">
      <alignment horizontal="center"/>
    </xf>
    <xf numFmtId="3" fontId="41" fillId="4" borderId="34" xfId="1" applyNumberFormat="1" applyFont="1" applyFill="1" applyBorder="1" applyAlignment="1">
      <alignment horizontal="center"/>
    </xf>
    <xf numFmtId="0" fontId="12" fillId="0" borderId="42" xfId="1" applyFont="1" applyFill="1" applyBorder="1" applyAlignment="1">
      <alignment horizontal="left" vertical="justify" wrapText="1"/>
    </xf>
    <xf numFmtId="2" fontId="13" fillId="4" borderId="34" xfId="1" applyNumberFormat="1" applyFont="1" applyFill="1" applyBorder="1" applyAlignment="1">
      <alignment horizontal="center"/>
    </xf>
    <xf numFmtId="0" fontId="13" fillId="4" borderId="34" xfId="1" applyFont="1" applyFill="1" applyBorder="1" applyAlignment="1">
      <alignment horizontal="center"/>
    </xf>
    <xf numFmtId="0" fontId="12" fillId="0" borderId="25" xfId="1" applyFont="1" applyFill="1" applyBorder="1" applyAlignment="1">
      <alignment horizontal="left" vertical="justify" wrapText="1"/>
    </xf>
    <xf numFmtId="0" fontId="12" fillId="0" borderId="44" xfId="1" applyFont="1" applyFill="1" applyBorder="1" applyAlignment="1">
      <alignment vertical="justify" wrapText="1"/>
    </xf>
    <xf numFmtId="4" fontId="12" fillId="4" borderId="29" xfId="1" applyNumberFormat="1" applyFont="1" applyFill="1" applyBorder="1" applyAlignment="1">
      <alignment horizontal="center" wrapText="1"/>
    </xf>
    <xf numFmtId="4" fontId="13" fillId="2" borderId="29" xfId="1" applyNumberFormat="1" applyFont="1" applyFill="1" applyBorder="1" applyAlignment="1">
      <alignment horizontal="center" wrapText="1"/>
    </xf>
    <xf numFmtId="0" fontId="35" fillId="3" borderId="12" xfId="1" applyFont="1" applyFill="1" applyBorder="1" applyAlignment="1">
      <alignment horizontal="center" shrinkToFit="1"/>
    </xf>
    <xf numFmtId="0" fontId="35" fillId="3" borderId="13" xfId="1" applyFont="1" applyFill="1" applyBorder="1" applyAlignment="1">
      <alignment horizontal="center" shrinkToFit="1"/>
    </xf>
    <xf numFmtId="0" fontId="35" fillId="3" borderId="14" xfId="1" applyFont="1" applyFill="1" applyBorder="1" applyAlignment="1">
      <alignment horizontal="center" shrinkToFit="1"/>
    </xf>
    <xf numFmtId="3" fontId="41" fillId="2" borderId="41" xfId="1" applyNumberFormat="1" applyFont="1" applyFill="1" applyBorder="1" applyAlignment="1">
      <alignment horizontal="center" shrinkToFit="1"/>
    </xf>
    <xf numFmtId="0" fontId="12" fillId="2" borderId="57" xfId="1" applyFont="1" applyFill="1" applyBorder="1"/>
    <xf numFmtId="0" fontId="23" fillId="2" borderId="2" xfId="1" applyFont="1" applyFill="1" applyBorder="1" applyAlignment="1">
      <alignment horizontal="center"/>
    </xf>
    <xf numFmtId="0" fontId="36" fillId="2" borderId="49" xfId="1" applyFont="1" applyFill="1" applyBorder="1"/>
    <xf numFmtId="4" fontId="32" fillId="2" borderId="27" xfId="1" applyNumberFormat="1" applyFont="1" applyFill="1" applyBorder="1" applyAlignment="1">
      <alignment horizontal="center"/>
    </xf>
    <xf numFmtId="4" fontId="39" fillId="2" borderId="27" xfId="1" applyNumberFormat="1" applyFont="1" applyFill="1" applyBorder="1" applyAlignment="1">
      <alignment horizontal="center"/>
    </xf>
    <xf numFmtId="4" fontId="38" fillId="2" borderId="27" xfId="1" applyNumberFormat="1" applyFont="1" applyFill="1" applyBorder="1" applyAlignment="1">
      <alignment horizontal="center"/>
    </xf>
    <xf numFmtId="3" fontId="28" fillId="3" borderId="30" xfId="1" applyNumberFormat="1" applyFont="1" applyFill="1" applyBorder="1" applyAlignment="1">
      <alignment horizontal="center" shrinkToFit="1"/>
    </xf>
    <xf numFmtId="3" fontId="28" fillId="3" borderId="31" xfId="1" applyNumberFormat="1" applyFont="1" applyFill="1" applyBorder="1" applyAlignment="1">
      <alignment horizontal="center" shrinkToFit="1"/>
    </xf>
    <xf numFmtId="165" fontId="15" fillId="0" borderId="0" xfId="1" applyNumberFormat="1" applyFont="1"/>
    <xf numFmtId="0" fontId="12" fillId="2" borderId="57" xfId="1" applyFont="1" applyFill="1" applyBorder="1" applyAlignment="1">
      <alignment wrapText="1"/>
    </xf>
    <xf numFmtId="0" fontId="12" fillId="2" borderId="34" xfId="1" applyFont="1" applyFill="1" applyBorder="1" applyAlignment="1">
      <alignment vertical="justify"/>
    </xf>
    <xf numFmtId="166" fontId="12" fillId="2" borderId="34" xfId="1" applyNumberFormat="1" applyFont="1" applyFill="1" applyBorder="1" applyAlignment="1">
      <alignment horizontal="center"/>
    </xf>
    <xf numFmtId="3" fontId="41" fillId="2" borderId="33" xfId="1" applyNumberFormat="1" applyFont="1" applyFill="1" applyBorder="1" applyAlignment="1">
      <alignment horizontal="center"/>
    </xf>
    <xf numFmtId="0" fontId="12" fillId="2" borderId="34" xfId="1" applyFont="1" applyFill="1" applyBorder="1"/>
    <xf numFmtId="165" fontId="12" fillId="4" borderId="34" xfId="1" applyNumberFormat="1" applyFont="1" applyFill="1" applyBorder="1" applyAlignment="1">
      <alignment horizontal="center"/>
    </xf>
    <xf numFmtId="166" fontId="12" fillId="4" borderId="34" xfId="1" applyNumberFormat="1" applyFont="1" applyFill="1" applyBorder="1" applyAlignment="1">
      <alignment horizontal="center"/>
    </xf>
    <xf numFmtId="0" fontId="13" fillId="2" borderId="34" xfId="1" applyFont="1" applyFill="1" applyBorder="1" applyAlignment="1">
      <alignment wrapText="1"/>
    </xf>
    <xf numFmtId="165" fontId="13" fillId="4" borderId="34" xfId="1" applyNumberFormat="1" applyFont="1" applyFill="1" applyBorder="1" applyAlignment="1">
      <alignment horizontal="center"/>
    </xf>
    <xf numFmtId="0" fontId="13" fillId="2" borderId="34" xfId="1" applyFont="1" applyFill="1" applyBorder="1" applyAlignment="1">
      <alignment vertical="justify"/>
    </xf>
    <xf numFmtId="165" fontId="13" fillId="4" borderId="34" xfId="1" applyNumberFormat="1" applyFont="1" applyFill="1" applyBorder="1" applyAlignment="1">
      <alignment horizontal="center" vertical="center"/>
    </xf>
    <xf numFmtId="4" fontId="12" fillId="2" borderId="34" xfId="1" applyNumberFormat="1" applyFont="1" applyFill="1" applyBorder="1" applyAlignment="1">
      <alignment horizontal="center" vertical="center"/>
    </xf>
    <xf numFmtId="0" fontId="13" fillId="2" borderId="34" xfId="1" applyFont="1" applyFill="1" applyBorder="1"/>
    <xf numFmtId="0" fontId="13" fillId="2" borderId="37" xfId="1" applyFont="1" applyFill="1" applyBorder="1"/>
    <xf numFmtId="165" fontId="13" fillId="4" borderId="37" xfId="1" applyNumberFormat="1" applyFont="1" applyFill="1" applyBorder="1" applyAlignment="1">
      <alignment horizontal="center"/>
    </xf>
    <xf numFmtId="0" fontId="15" fillId="0" borderId="37" xfId="1" applyFont="1" applyBorder="1"/>
    <xf numFmtId="3" fontId="41" fillId="2" borderId="51" xfId="1" applyNumberFormat="1" applyFont="1" applyFill="1" applyBorder="1" applyAlignment="1">
      <alignment horizontal="center"/>
    </xf>
    <xf numFmtId="0" fontId="13" fillId="4" borderId="37" xfId="1" applyFont="1" applyFill="1" applyBorder="1" applyAlignment="1">
      <alignment horizontal="center"/>
    </xf>
    <xf numFmtId="0" fontId="15" fillId="0" borderId="54" xfId="1" applyFont="1" applyBorder="1"/>
    <xf numFmtId="2" fontId="36" fillId="2" borderId="39" xfId="1" applyNumberFormat="1" applyFont="1" applyFill="1" applyBorder="1" applyAlignment="1">
      <alignment horizontal="center"/>
    </xf>
    <xf numFmtId="2" fontId="32" fillId="2" borderId="39" xfId="1" applyNumberFormat="1" applyFont="1" applyFill="1" applyBorder="1" applyAlignment="1">
      <alignment horizontal="center"/>
    </xf>
    <xf numFmtId="2" fontId="39" fillId="2" borderId="39" xfId="1" applyNumberFormat="1" applyFont="1" applyFill="1" applyBorder="1" applyAlignment="1">
      <alignment horizontal="center"/>
    </xf>
    <xf numFmtId="2" fontId="38" fillId="2" borderId="40" xfId="1" applyNumberFormat="1" applyFont="1" applyFill="1" applyBorder="1" applyAlignment="1">
      <alignment horizontal="center"/>
    </xf>
    <xf numFmtId="2" fontId="32" fillId="0" borderId="0" xfId="1" applyNumberFormat="1" applyFont="1" applyFill="1" applyBorder="1" applyAlignment="1">
      <alignment horizontal="center"/>
    </xf>
    <xf numFmtId="0" fontId="15" fillId="0" borderId="42" xfId="1" applyFont="1" applyBorder="1"/>
    <xf numFmtId="0" fontId="41" fillId="2" borderId="6" xfId="1" applyFont="1" applyFill="1" applyBorder="1" applyAlignment="1">
      <alignment horizontal="center"/>
    </xf>
    <xf numFmtId="0" fontId="36" fillId="2" borderId="13" xfId="1" applyFont="1" applyFill="1" applyBorder="1" applyAlignment="1">
      <alignment horizontal="center"/>
    </xf>
    <xf numFmtId="0" fontId="36" fillId="3" borderId="12" xfId="1" applyFont="1" applyFill="1" applyBorder="1" applyAlignment="1">
      <alignment horizontal="left"/>
    </xf>
    <xf numFmtId="0" fontId="36" fillId="3" borderId="14" xfId="1" applyFont="1" applyFill="1" applyBorder="1" applyAlignment="1">
      <alignment horizontal="left"/>
    </xf>
    <xf numFmtId="4" fontId="36" fillId="3" borderId="12" xfId="1" applyNumberFormat="1" applyFont="1" applyFill="1" applyBorder="1" applyAlignment="1">
      <alignment horizontal="center"/>
    </xf>
    <xf numFmtId="4" fontId="36" fillId="3" borderId="11" xfId="1" applyNumberFormat="1" applyFont="1" applyFill="1" applyBorder="1" applyAlignment="1">
      <alignment horizontal="center"/>
    </xf>
    <xf numFmtId="4" fontId="36" fillId="3" borderId="13" xfId="1" applyNumberFormat="1" applyFont="1" applyFill="1" applyBorder="1" applyAlignment="1">
      <alignment horizontal="center"/>
    </xf>
    <xf numFmtId="4" fontId="38" fillId="3" borderId="11" xfId="1" applyNumberFormat="1" applyFont="1" applyFill="1" applyBorder="1" applyAlignment="1">
      <alignment horizontal="center"/>
    </xf>
    <xf numFmtId="0" fontId="41" fillId="2" borderId="58" xfId="1" applyFont="1" applyFill="1" applyBorder="1" applyAlignment="1">
      <alignment horizontal="left"/>
    </xf>
    <xf numFmtId="0" fontId="41" fillId="2" borderId="59" xfId="1" applyFont="1" applyFill="1" applyBorder="1" applyAlignment="1">
      <alignment horizontal="left"/>
    </xf>
    <xf numFmtId="4" fontId="36" fillId="2" borderId="58" xfId="1" applyNumberFormat="1" applyFont="1" applyFill="1" applyBorder="1" applyAlignment="1">
      <alignment horizontal="center"/>
    </xf>
    <xf numFmtId="4" fontId="36" fillId="2" borderId="1" xfId="1" applyNumberFormat="1" applyFont="1" applyFill="1" applyBorder="1" applyAlignment="1">
      <alignment horizontal="center"/>
    </xf>
    <xf numFmtId="4" fontId="36" fillId="2" borderId="60" xfId="1" applyNumberFormat="1" applyFont="1" applyFill="1" applyBorder="1" applyAlignment="1">
      <alignment horizontal="center"/>
    </xf>
    <xf numFmtId="4" fontId="36" fillId="2" borderId="41" xfId="1" applyNumberFormat="1" applyFont="1" applyFill="1" applyBorder="1" applyAlignment="1">
      <alignment horizontal="center"/>
    </xf>
    <xf numFmtId="4" fontId="36" fillId="2" borderId="15" xfId="1" applyNumberFormat="1" applyFont="1" applyFill="1" applyBorder="1" applyAlignment="1">
      <alignment horizontal="center"/>
    </xf>
    <xf numFmtId="0" fontId="41" fillId="2" borderId="19" xfId="1" applyFont="1" applyFill="1" applyBorder="1" applyAlignment="1">
      <alignment horizontal="left"/>
    </xf>
    <xf numFmtId="0" fontId="41" fillId="2" borderId="21" xfId="1" applyFont="1" applyFill="1" applyBorder="1" applyAlignment="1">
      <alignment horizontal="left"/>
    </xf>
    <xf numFmtId="2" fontId="36" fillId="2" borderId="19" xfId="2" applyNumberFormat="1" applyFont="1" applyFill="1" applyBorder="1" applyAlignment="1">
      <alignment horizontal="center"/>
    </xf>
    <xf numFmtId="4" fontId="36" fillId="2" borderId="61" xfId="1" applyNumberFormat="1" applyFont="1" applyFill="1" applyBorder="1" applyAlignment="1">
      <alignment horizontal="center"/>
    </xf>
    <xf numFmtId="2" fontId="36" fillId="2" borderId="57" xfId="2" applyNumberFormat="1" applyFont="1" applyFill="1" applyBorder="1" applyAlignment="1">
      <alignment horizontal="center"/>
    </xf>
    <xf numFmtId="2" fontId="36" fillId="2" borderId="33" xfId="2" applyNumberFormat="1" applyFont="1" applyFill="1" applyBorder="1" applyAlignment="1">
      <alignment horizontal="center"/>
    </xf>
    <xf numFmtId="2" fontId="36" fillId="4" borderId="33" xfId="2" applyNumberFormat="1" applyFont="1" applyFill="1" applyBorder="1" applyAlignment="1">
      <alignment horizontal="center"/>
    </xf>
    <xf numFmtId="2" fontId="36" fillId="2" borderId="61" xfId="2" applyNumberFormat="1" applyFont="1" applyFill="1" applyBorder="1" applyAlignment="1">
      <alignment horizontal="center"/>
    </xf>
    <xf numFmtId="4" fontId="36" fillId="2" borderId="19" xfId="1" applyNumberFormat="1" applyFont="1" applyFill="1" applyBorder="1" applyAlignment="1">
      <alignment horizontal="center"/>
    </xf>
    <xf numFmtId="4" fontId="36" fillId="2" borderId="5" xfId="1" applyNumberFormat="1" applyFont="1" applyFill="1" applyBorder="1" applyAlignment="1">
      <alignment horizontal="center"/>
    </xf>
    <xf numFmtId="4" fontId="36" fillId="2" borderId="57" xfId="1" applyNumberFormat="1" applyFont="1" applyFill="1" applyBorder="1" applyAlignment="1">
      <alignment horizontal="center"/>
    </xf>
    <xf numFmtId="4" fontId="36" fillId="2" borderId="33" xfId="1" applyNumberFormat="1" applyFont="1" applyFill="1" applyBorder="1" applyAlignment="1">
      <alignment horizontal="center"/>
    </xf>
    <xf numFmtId="4" fontId="36" fillId="4" borderId="33" xfId="1" applyNumberFormat="1" applyFont="1" applyFill="1" applyBorder="1" applyAlignment="1">
      <alignment horizontal="center"/>
    </xf>
    <xf numFmtId="0" fontId="41" fillId="2" borderId="22" xfId="1" applyFont="1" applyFill="1" applyBorder="1" applyAlignment="1">
      <alignment horizontal="left"/>
    </xf>
    <xf numFmtId="0" fontId="41" fillId="2" borderId="24" xfId="1" applyFont="1" applyFill="1" applyBorder="1" applyAlignment="1">
      <alignment horizontal="left"/>
    </xf>
    <xf numFmtId="4" fontId="36" fillId="2" borderId="22" xfId="1" applyNumberFormat="1" applyFont="1" applyFill="1" applyBorder="1" applyAlignment="1">
      <alignment horizontal="center"/>
    </xf>
    <xf numFmtId="4" fontId="36" fillId="2" borderId="62" xfId="1" applyNumberFormat="1" applyFont="1" applyFill="1" applyBorder="1" applyAlignment="1">
      <alignment horizontal="center"/>
    </xf>
    <xf numFmtId="4" fontId="36" fillId="2" borderId="46" xfId="1" applyNumberFormat="1" applyFont="1" applyFill="1" applyBorder="1" applyAlignment="1">
      <alignment horizontal="center"/>
    </xf>
    <xf numFmtId="4" fontId="36" fillId="2" borderId="43" xfId="1" applyNumberFormat="1" applyFont="1" applyFill="1" applyBorder="1" applyAlignment="1">
      <alignment horizontal="center"/>
    </xf>
    <xf numFmtId="4" fontId="36" fillId="4" borderId="43" xfId="1" applyNumberFormat="1" applyFont="1" applyFill="1" applyBorder="1" applyAlignment="1">
      <alignment horizontal="center"/>
    </xf>
    <xf numFmtId="4" fontId="36" fillId="2" borderId="63" xfId="1" applyNumberFormat="1" applyFont="1" applyFill="1" applyBorder="1" applyAlignment="1">
      <alignment horizontal="center"/>
    </xf>
    <xf numFmtId="0" fontId="47" fillId="0" borderId="0" xfId="1" applyFont="1" applyFill="1" applyBorder="1" applyAlignment="1">
      <alignment horizontal="left"/>
    </xf>
    <xf numFmtId="4" fontId="3" fillId="0" borderId="0" xfId="1" applyNumberFormat="1" applyFont="1" applyFill="1" applyBorder="1" applyAlignment="1">
      <alignment horizontal="center"/>
    </xf>
    <xf numFmtId="0" fontId="48" fillId="0" borderId="0" xfId="1" applyFont="1"/>
    <xf numFmtId="0" fontId="1" fillId="0" borderId="0" xfId="1" applyFont="1" applyFill="1"/>
    <xf numFmtId="0" fontId="49" fillId="0" borderId="0" xfId="1" applyFont="1"/>
    <xf numFmtId="0" fontId="50" fillId="0" borderId="0" xfId="1" applyFont="1"/>
    <xf numFmtId="0" fontId="1" fillId="0" borderId="37" xfId="1" applyBorder="1"/>
    <xf numFmtId="0" fontId="1" fillId="0" borderId="54" xfId="1" applyBorder="1"/>
    <xf numFmtId="2" fontId="1" fillId="0" borderId="0" xfId="1" applyNumberFormat="1"/>
    <xf numFmtId="0" fontId="1" fillId="0" borderId="42" xfId="1" applyBorder="1"/>
    <xf numFmtId="0" fontId="38" fillId="0" borderId="0" xfId="1" applyFont="1"/>
    <xf numFmtId="0" fontId="51" fillId="0" borderId="0" xfId="1" applyFont="1" applyAlignment="1">
      <alignment horizontal="center"/>
    </xf>
    <xf numFmtId="0" fontId="52" fillId="0" borderId="0" xfId="1" applyFont="1"/>
    <xf numFmtId="4" fontId="53" fillId="0" borderId="0" xfId="1" applyNumberFormat="1" applyFont="1" applyAlignment="1">
      <alignment horizontal="center"/>
    </xf>
    <xf numFmtId="4" fontId="52" fillId="0" borderId="0" xfId="1" applyNumberFormat="1" applyFont="1"/>
    <xf numFmtId="2" fontId="53" fillId="0" borderId="0" xfId="1" applyNumberFormat="1" applyFont="1" applyAlignment="1">
      <alignment horizontal="center"/>
    </xf>
    <xf numFmtId="2" fontId="51" fillId="0" borderId="0" xfId="1" applyNumberFormat="1" applyFont="1" applyAlignment="1">
      <alignment horizontal="center"/>
    </xf>
    <xf numFmtId="4" fontId="51" fillId="0" borderId="0" xfId="1" applyNumberFormat="1" applyFont="1" applyAlignment="1">
      <alignment horizontal="center"/>
    </xf>
    <xf numFmtId="0" fontId="51" fillId="0" borderId="0" xfId="1" applyFont="1" applyFill="1" applyAlignment="1">
      <alignment horizontal="center"/>
    </xf>
    <xf numFmtId="4" fontId="53" fillId="0" borderId="0" xfId="1" applyNumberFormat="1" applyFont="1" applyFill="1" applyBorder="1" applyAlignment="1">
      <alignment horizontal="center" wrapText="1"/>
    </xf>
    <xf numFmtId="4" fontId="54" fillId="0" borderId="0" xfId="1" applyNumberFormat="1" applyFont="1" applyAlignment="1">
      <alignment horizontal="center"/>
    </xf>
    <xf numFmtId="4" fontId="53" fillId="0" borderId="0" xfId="1" applyNumberFormat="1" applyFont="1" applyFill="1" applyAlignment="1">
      <alignment horizontal="center"/>
    </xf>
    <xf numFmtId="0" fontId="54" fillId="0" borderId="0" xfId="1" applyFont="1"/>
    <xf numFmtId="4" fontId="51" fillId="0" borderId="0" xfId="1" applyNumberFormat="1" applyFont="1" applyFill="1" applyAlignment="1">
      <alignment horizontal="center"/>
    </xf>
    <xf numFmtId="4" fontId="53" fillId="0" borderId="0" xfId="1" applyNumberFormat="1" applyFont="1" applyFill="1" applyBorder="1" applyAlignment="1">
      <alignment horizontal="center"/>
    </xf>
    <xf numFmtId="0" fontId="51" fillId="0" borderId="0" xfId="1" applyFont="1" applyFill="1" applyBorder="1" applyAlignment="1">
      <alignment horizontal="center"/>
    </xf>
    <xf numFmtId="4" fontId="52" fillId="0" borderId="0" xfId="1" applyNumberFormat="1" applyFont="1" applyBorder="1"/>
    <xf numFmtId="4" fontId="53" fillId="2" borderId="0" xfId="1" applyNumberFormat="1" applyFont="1" applyFill="1" applyBorder="1" applyAlignment="1">
      <alignment horizontal="center" wrapText="1"/>
    </xf>
    <xf numFmtId="4" fontId="55" fillId="0" borderId="0" xfId="1" applyNumberFormat="1" applyFont="1"/>
    <xf numFmtId="0" fontId="55" fillId="0" borderId="0" xfId="1" applyFont="1"/>
    <xf numFmtId="0" fontId="55" fillId="0" borderId="0" xfId="1" applyFont="1" applyFill="1"/>
    <xf numFmtId="4" fontId="55" fillId="0" borderId="0" xfId="1" applyNumberFormat="1" applyFont="1" applyFill="1"/>
    <xf numFmtId="4" fontId="53" fillId="2" borderId="0" xfId="1" applyNumberFormat="1" applyFont="1" applyFill="1" applyBorder="1" applyAlignment="1">
      <alignment horizontal="center"/>
    </xf>
    <xf numFmtId="0" fontId="55" fillId="5" borderId="0" xfId="1" applyFont="1" applyFill="1"/>
    <xf numFmtId="0" fontId="55" fillId="0" borderId="0" xfId="1" applyFont="1" applyFill="1" applyBorder="1"/>
    <xf numFmtId="166" fontId="51" fillId="0" borderId="0" xfId="1" applyNumberFormat="1" applyFont="1" applyAlignment="1">
      <alignment horizontal="center"/>
    </xf>
    <xf numFmtId="0" fontId="55" fillId="0" borderId="0" xfId="1" applyFont="1" applyBorder="1"/>
    <xf numFmtId="2" fontId="52" fillId="0" borderId="0" xfId="1" applyNumberFormat="1" applyFont="1" applyBorder="1"/>
    <xf numFmtId="4" fontId="51" fillId="0" borderId="0" xfId="1" applyNumberFormat="1" applyFont="1"/>
    <xf numFmtId="0" fontId="56" fillId="0" borderId="0" xfId="1" applyFont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&#1090;&#1072;&#1088;&#1080;&#1092;.%20&#1089;&#1110;&#1095;&#1077;&#1085;&#1100;%202023&#1088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90;&#1072;&#1090;&#1080;,%20&#1090;&#1072;&#1088;&#1080;&#1092;&#1080;&#1082;&#1072;&#1094;&#1080;&#1103;%20%20&#1076;&#1080;&#1088;&#1077;&#1082;%20&#1085;&#1072;%2001.01.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кларация (2)"/>
      <sheetName val="СТРУКТУРА"/>
      <sheetName val="штати "/>
      <sheetName val="01,01,23тарифікація"/>
      <sheetName val="декларация"/>
      <sheetName val="Лист1"/>
      <sheetName val="зовн.сумісники"/>
      <sheetName val="надбавка"/>
      <sheetName val="Лист2"/>
      <sheetName val="Лист1 (2)"/>
    </sheetNames>
    <sheetDataSet>
      <sheetData sheetId="0"/>
      <sheetData sheetId="1"/>
      <sheetData sheetId="2"/>
      <sheetData sheetId="3">
        <row r="18">
          <cell r="W18">
            <v>22796</v>
          </cell>
        </row>
        <row r="20">
          <cell r="L20">
            <v>22954.959999999999</v>
          </cell>
          <cell r="T20">
            <v>6886.4879999999994</v>
          </cell>
        </row>
        <row r="23">
          <cell r="L23">
            <v>21656</v>
          </cell>
        </row>
        <row r="26">
          <cell r="L26">
            <v>6108.91</v>
          </cell>
          <cell r="T26">
            <v>1832.673</v>
          </cell>
        </row>
        <row r="29">
          <cell r="L29">
            <v>4195</v>
          </cell>
        </row>
        <row r="32">
          <cell r="L32">
            <v>5265</v>
          </cell>
        </row>
        <row r="33">
          <cell r="L33">
            <v>4745</v>
          </cell>
        </row>
        <row r="34">
          <cell r="L34">
            <v>5005</v>
          </cell>
        </row>
        <row r="37">
          <cell r="L37">
            <v>4745</v>
          </cell>
        </row>
        <row r="40">
          <cell r="L40">
            <v>4745</v>
          </cell>
          <cell r="N40">
            <v>0.5</v>
          </cell>
        </row>
        <row r="43">
          <cell r="L43">
            <v>4745</v>
          </cell>
          <cell r="N43">
            <v>0.5</v>
          </cell>
        </row>
        <row r="46">
          <cell r="L46">
            <v>3674</v>
          </cell>
        </row>
        <row r="55">
          <cell r="X55">
            <v>107101.53099999997</v>
          </cell>
        </row>
        <row r="56">
          <cell r="L56">
            <v>21656</v>
          </cell>
        </row>
        <row r="59">
          <cell r="L59">
            <v>20573.45</v>
          </cell>
        </row>
        <row r="60">
          <cell r="L60">
            <v>5265</v>
          </cell>
          <cell r="N60">
            <v>0.5</v>
          </cell>
        </row>
        <row r="61">
          <cell r="L61">
            <v>5265</v>
          </cell>
        </row>
        <row r="62">
          <cell r="L62">
            <v>5265</v>
          </cell>
        </row>
        <row r="63">
          <cell r="L63">
            <v>5265</v>
          </cell>
          <cell r="N63">
            <v>0.5</v>
          </cell>
        </row>
        <row r="69">
          <cell r="V69">
            <v>34561.746420777738</v>
          </cell>
          <cell r="W69">
            <v>92586.196420777735</v>
          </cell>
        </row>
        <row r="72">
          <cell r="L72">
            <v>8401.2000000000007</v>
          </cell>
          <cell r="T72">
            <v>2520.36</v>
          </cell>
        </row>
        <row r="75">
          <cell r="L75">
            <v>7001</v>
          </cell>
          <cell r="N75">
            <v>0.5</v>
          </cell>
          <cell r="T75">
            <v>1050.1499999999999</v>
          </cell>
        </row>
        <row r="78">
          <cell r="L78">
            <v>6350</v>
          </cell>
          <cell r="M78">
            <v>1</v>
          </cell>
          <cell r="T78">
            <v>952.5</v>
          </cell>
        </row>
        <row r="81">
          <cell r="L81">
            <v>6567</v>
          </cell>
          <cell r="M81">
            <v>1</v>
          </cell>
          <cell r="T81">
            <v>1970.1</v>
          </cell>
        </row>
        <row r="82">
          <cell r="L82">
            <v>7001</v>
          </cell>
          <cell r="M82">
            <v>1</v>
          </cell>
          <cell r="T82">
            <v>1400.2</v>
          </cell>
        </row>
        <row r="85">
          <cell r="L85">
            <v>6350</v>
          </cell>
          <cell r="N85">
            <v>0.5</v>
          </cell>
          <cell r="T85">
            <v>476.25</v>
          </cell>
        </row>
        <row r="88">
          <cell r="L88">
            <v>5699</v>
          </cell>
          <cell r="M88">
            <v>1</v>
          </cell>
          <cell r="T88">
            <v>1139.8</v>
          </cell>
        </row>
        <row r="91">
          <cell r="L91">
            <v>5505.5</v>
          </cell>
          <cell r="T91">
            <v>1651.6499999999999</v>
          </cell>
        </row>
        <row r="94">
          <cell r="L94">
            <v>5265</v>
          </cell>
          <cell r="M94">
            <v>1</v>
          </cell>
          <cell r="T94">
            <v>1579.5</v>
          </cell>
        </row>
        <row r="97">
          <cell r="L97">
            <v>5005</v>
          </cell>
          <cell r="N97">
            <v>0.5</v>
          </cell>
          <cell r="T97">
            <v>750.75</v>
          </cell>
        </row>
        <row r="100">
          <cell r="L100">
            <v>5265</v>
          </cell>
          <cell r="M100">
            <v>1</v>
          </cell>
          <cell r="T100">
            <v>1053</v>
          </cell>
        </row>
        <row r="103">
          <cell r="L103">
            <v>5265</v>
          </cell>
          <cell r="M103">
            <v>1</v>
          </cell>
          <cell r="T103">
            <v>1579.5</v>
          </cell>
        </row>
        <row r="106">
          <cell r="L106">
            <v>5265</v>
          </cell>
          <cell r="M106">
            <v>1</v>
          </cell>
          <cell r="T106">
            <v>1579.5</v>
          </cell>
        </row>
        <row r="109">
          <cell r="L109">
            <v>5265</v>
          </cell>
          <cell r="N109">
            <v>0.5</v>
          </cell>
          <cell r="T109">
            <v>789.75</v>
          </cell>
        </row>
        <row r="112">
          <cell r="L112">
            <v>3414</v>
          </cell>
          <cell r="Q112">
            <v>341.40000000000003</v>
          </cell>
        </row>
        <row r="115">
          <cell r="L115">
            <v>3934</v>
          </cell>
          <cell r="N115">
            <v>0.5</v>
          </cell>
        </row>
        <row r="118">
          <cell r="L118">
            <v>3934</v>
          </cell>
          <cell r="M118">
            <v>1</v>
          </cell>
        </row>
        <row r="127">
          <cell r="W127">
            <v>100543.61</v>
          </cell>
        </row>
        <row r="128">
          <cell r="L128">
            <v>8751.25</v>
          </cell>
          <cell r="T128">
            <v>2625.375</v>
          </cell>
        </row>
        <row r="131">
          <cell r="L131">
            <v>7001</v>
          </cell>
          <cell r="N131">
            <v>0.5</v>
          </cell>
          <cell r="T131">
            <v>1050.1499999999999</v>
          </cell>
        </row>
        <row r="134">
          <cell r="L134">
            <v>7001</v>
          </cell>
          <cell r="M134">
            <v>1</v>
          </cell>
          <cell r="T134">
            <v>2100.2999999999997</v>
          </cell>
        </row>
        <row r="137">
          <cell r="L137">
            <v>7001</v>
          </cell>
          <cell r="M137">
            <v>1</v>
          </cell>
          <cell r="T137">
            <v>2100.2999999999997</v>
          </cell>
        </row>
        <row r="140">
          <cell r="L140">
            <v>7001</v>
          </cell>
          <cell r="M140">
            <v>1</v>
          </cell>
          <cell r="T140">
            <v>2100.2999999999997</v>
          </cell>
        </row>
        <row r="143">
          <cell r="L143">
            <v>7001</v>
          </cell>
          <cell r="M143">
            <v>1</v>
          </cell>
          <cell r="T143">
            <v>2100.2999999999997</v>
          </cell>
        </row>
        <row r="146">
          <cell r="L146">
            <v>5699</v>
          </cell>
          <cell r="M146">
            <v>1</v>
          </cell>
          <cell r="T146">
            <v>569.9</v>
          </cell>
        </row>
        <row r="149">
          <cell r="L149">
            <v>7001</v>
          </cell>
          <cell r="M149">
            <v>1</v>
          </cell>
          <cell r="T149">
            <v>2100.2999999999997</v>
          </cell>
        </row>
        <row r="152">
          <cell r="L152">
            <v>5699</v>
          </cell>
          <cell r="M152">
            <v>1</v>
          </cell>
          <cell r="T152">
            <v>569.9</v>
          </cell>
        </row>
        <row r="155">
          <cell r="L155">
            <v>7001</v>
          </cell>
          <cell r="N155">
            <v>0.5</v>
          </cell>
          <cell r="T155">
            <v>1050.1499999999999</v>
          </cell>
        </row>
        <row r="158">
          <cell r="L158">
            <v>5699</v>
          </cell>
          <cell r="M158">
            <v>1</v>
          </cell>
          <cell r="T158">
            <v>569.9</v>
          </cell>
        </row>
        <row r="161">
          <cell r="L161">
            <v>5699</v>
          </cell>
          <cell r="M161">
            <v>1</v>
          </cell>
          <cell r="T161">
            <v>569.9</v>
          </cell>
        </row>
        <row r="162">
          <cell r="L162">
            <v>7001</v>
          </cell>
          <cell r="M162">
            <v>0.25</v>
          </cell>
          <cell r="T162">
            <v>350.05</v>
          </cell>
        </row>
        <row r="165">
          <cell r="L165">
            <v>6567</v>
          </cell>
          <cell r="T165">
            <v>1970.1</v>
          </cell>
        </row>
        <row r="168">
          <cell r="L168">
            <v>5505.5</v>
          </cell>
          <cell r="T168">
            <v>1101.1000000000001</v>
          </cell>
        </row>
        <row r="171">
          <cell r="L171">
            <v>5265</v>
          </cell>
          <cell r="T171">
            <v>1579.5</v>
          </cell>
        </row>
        <row r="174">
          <cell r="L174">
            <v>5265</v>
          </cell>
          <cell r="T174">
            <v>1053</v>
          </cell>
        </row>
        <row r="175">
          <cell r="L175">
            <v>5265</v>
          </cell>
          <cell r="T175">
            <v>1579.5</v>
          </cell>
        </row>
        <row r="176">
          <cell r="L176">
            <v>5265</v>
          </cell>
          <cell r="T176">
            <v>1579.5</v>
          </cell>
        </row>
        <row r="179">
          <cell r="L179">
            <v>5265</v>
          </cell>
          <cell r="T179">
            <v>1579.5</v>
          </cell>
        </row>
        <row r="182">
          <cell r="L182">
            <v>5265</v>
          </cell>
          <cell r="T182">
            <v>1579.5</v>
          </cell>
        </row>
        <row r="185">
          <cell r="L185">
            <v>5265</v>
          </cell>
          <cell r="T185">
            <v>1053</v>
          </cell>
        </row>
        <row r="188">
          <cell r="L188">
            <v>5265</v>
          </cell>
          <cell r="N188">
            <v>0.5</v>
          </cell>
          <cell r="T188">
            <v>789.75</v>
          </cell>
        </row>
        <row r="191">
          <cell r="L191">
            <v>5265</v>
          </cell>
          <cell r="T191">
            <v>1053</v>
          </cell>
        </row>
        <row r="194">
          <cell r="L194">
            <v>4456</v>
          </cell>
          <cell r="N194">
            <v>0.5</v>
          </cell>
          <cell r="T194">
            <v>668.4</v>
          </cell>
        </row>
        <row r="197">
          <cell r="L197">
            <v>5265</v>
          </cell>
          <cell r="T197">
            <v>1053</v>
          </cell>
        </row>
        <row r="200">
          <cell r="L200">
            <v>4600</v>
          </cell>
          <cell r="T200">
            <v>690</v>
          </cell>
        </row>
        <row r="203">
          <cell r="L203">
            <v>5005</v>
          </cell>
          <cell r="T203">
            <v>1501.5</v>
          </cell>
        </row>
        <row r="206">
          <cell r="L206">
            <v>4600</v>
          </cell>
          <cell r="T206">
            <v>690</v>
          </cell>
        </row>
        <row r="209">
          <cell r="L209">
            <v>5005</v>
          </cell>
          <cell r="N209">
            <v>0.5</v>
          </cell>
          <cell r="T209">
            <v>750.75</v>
          </cell>
        </row>
        <row r="212">
          <cell r="L212">
            <v>5005</v>
          </cell>
          <cell r="N212">
            <v>0.5</v>
          </cell>
          <cell r="T212">
            <v>500.5</v>
          </cell>
        </row>
        <row r="215">
          <cell r="L215">
            <v>3414</v>
          </cell>
          <cell r="Q215">
            <v>341.40000000000003</v>
          </cell>
        </row>
        <row r="218">
          <cell r="L218">
            <v>3414</v>
          </cell>
          <cell r="Q218">
            <v>341.40000000000003</v>
          </cell>
        </row>
        <row r="221">
          <cell r="Q221">
            <v>170.70000000000002</v>
          </cell>
        </row>
        <row r="222">
          <cell r="L222">
            <v>3414</v>
          </cell>
          <cell r="Q222">
            <v>170.70000000000002</v>
          </cell>
        </row>
        <row r="225">
          <cell r="L225">
            <v>3414</v>
          </cell>
          <cell r="N225">
            <v>0.5</v>
          </cell>
          <cell r="Q225">
            <v>170.70000000000002</v>
          </cell>
        </row>
        <row r="228">
          <cell r="L228">
            <v>3414</v>
          </cell>
          <cell r="M228">
            <v>0.5</v>
          </cell>
          <cell r="Q228">
            <v>170.70000000000002</v>
          </cell>
        </row>
        <row r="231">
          <cell r="L231">
            <v>3934</v>
          </cell>
        </row>
        <row r="234">
          <cell r="L234">
            <v>3934</v>
          </cell>
          <cell r="N234">
            <v>0.5</v>
          </cell>
        </row>
        <row r="237">
          <cell r="L237">
            <v>3934</v>
          </cell>
        </row>
        <row r="240">
          <cell r="L240">
            <v>3934</v>
          </cell>
        </row>
        <row r="243">
          <cell r="L243">
            <v>3934</v>
          </cell>
          <cell r="M243">
            <v>1</v>
          </cell>
        </row>
        <row r="246">
          <cell r="V246">
            <v>175233.8598167515</v>
          </cell>
          <cell r="W246">
            <v>276931.28481675149</v>
          </cell>
        </row>
        <row r="252">
          <cell r="X252">
            <v>230184.52500000002</v>
          </cell>
        </row>
        <row r="253">
          <cell r="L253">
            <v>4600</v>
          </cell>
          <cell r="M253">
            <v>0.5</v>
          </cell>
          <cell r="T253">
            <v>345</v>
          </cell>
        </row>
        <row r="255">
          <cell r="L255">
            <v>5005</v>
          </cell>
          <cell r="N255">
            <v>0.5</v>
          </cell>
          <cell r="T255">
            <v>750.75</v>
          </cell>
        </row>
        <row r="258">
          <cell r="L258">
            <v>5005</v>
          </cell>
          <cell r="N258">
            <v>0.5</v>
          </cell>
          <cell r="T258">
            <v>500.5</v>
          </cell>
        </row>
        <row r="267">
          <cell r="W267">
            <v>8901.25</v>
          </cell>
        </row>
        <row r="268">
          <cell r="L268">
            <v>5005</v>
          </cell>
          <cell r="T268">
            <v>1501.5</v>
          </cell>
        </row>
        <row r="271">
          <cell r="L271">
            <v>5005</v>
          </cell>
          <cell r="N271">
            <v>0.5</v>
          </cell>
          <cell r="T271">
            <v>750.75</v>
          </cell>
        </row>
        <row r="280">
          <cell r="X280">
            <v>9759.7500000000018</v>
          </cell>
        </row>
        <row r="281">
          <cell r="L281">
            <v>5005</v>
          </cell>
          <cell r="T281">
            <v>1501.5</v>
          </cell>
        </row>
        <row r="284">
          <cell r="L284">
            <v>4600</v>
          </cell>
          <cell r="M284">
            <v>1.5</v>
          </cell>
          <cell r="T284">
            <v>1035</v>
          </cell>
        </row>
        <row r="286">
          <cell r="L286">
            <v>5005</v>
          </cell>
          <cell r="N286">
            <v>0.5</v>
          </cell>
          <cell r="T286">
            <v>750.75</v>
          </cell>
        </row>
        <row r="295">
          <cell r="X295">
            <v>17694.75</v>
          </cell>
        </row>
        <row r="296">
          <cell r="L296">
            <v>7052.95</v>
          </cell>
          <cell r="T296">
            <v>2115.8849999999998</v>
          </cell>
        </row>
        <row r="299">
          <cell r="L299">
            <v>6054.75</v>
          </cell>
          <cell r="T299">
            <v>1816.425</v>
          </cell>
        </row>
        <row r="302">
          <cell r="L302">
            <v>6054.75</v>
          </cell>
          <cell r="N302">
            <v>0.25</v>
          </cell>
          <cell r="T302">
            <v>454.10624999999999</v>
          </cell>
        </row>
        <row r="305">
          <cell r="L305">
            <v>6054.75</v>
          </cell>
          <cell r="T305">
            <v>1816.425</v>
          </cell>
        </row>
        <row r="308">
          <cell r="L308">
            <v>6054.75</v>
          </cell>
          <cell r="T308">
            <v>1816.425</v>
          </cell>
        </row>
        <row r="311">
          <cell r="L311">
            <v>6054.75</v>
          </cell>
          <cell r="N311">
            <v>0.25</v>
          </cell>
          <cell r="T311">
            <v>454.10624999999999</v>
          </cell>
        </row>
        <row r="314">
          <cell r="L314">
            <v>3414</v>
          </cell>
          <cell r="N314">
            <v>0.5</v>
          </cell>
          <cell r="Q314">
            <v>170.70000000000002</v>
          </cell>
        </row>
        <row r="323">
          <cell r="X323">
            <v>38595.652499999997</v>
          </cell>
        </row>
        <row r="324">
          <cell r="L324">
            <v>21656.2</v>
          </cell>
          <cell r="T324">
            <v>4331.2400000000007</v>
          </cell>
        </row>
        <row r="328">
          <cell r="X328">
            <v>25987.440000000002</v>
          </cell>
        </row>
        <row r="329">
          <cell r="L329">
            <v>7880.4</v>
          </cell>
          <cell r="T329">
            <v>2364.12</v>
          </cell>
        </row>
        <row r="331">
          <cell r="L331">
            <v>6567</v>
          </cell>
          <cell r="N331">
            <v>0.5</v>
          </cell>
          <cell r="T331">
            <v>985.05</v>
          </cell>
        </row>
        <row r="334">
          <cell r="L334">
            <v>6133</v>
          </cell>
          <cell r="M334">
            <v>1</v>
          </cell>
          <cell r="T334">
            <v>613.30000000000007</v>
          </cell>
        </row>
        <row r="337">
          <cell r="L337">
            <v>5699</v>
          </cell>
          <cell r="M337">
            <v>1</v>
          </cell>
          <cell r="T337">
            <v>1709.7</v>
          </cell>
        </row>
        <row r="340">
          <cell r="L340">
            <v>7001</v>
          </cell>
          <cell r="M340">
            <v>1</v>
          </cell>
          <cell r="T340">
            <v>2100.2999999999997</v>
          </cell>
        </row>
        <row r="343">
          <cell r="L343">
            <v>6567</v>
          </cell>
          <cell r="M343">
            <v>1</v>
          </cell>
          <cell r="T343">
            <v>1313.4</v>
          </cell>
        </row>
        <row r="346">
          <cell r="L346">
            <v>5699</v>
          </cell>
          <cell r="M346">
            <v>1</v>
          </cell>
          <cell r="T346">
            <v>1139.8</v>
          </cell>
        </row>
        <row r="347">
          <cell r="L347">
            <v>6350</v>
          </cell>
          <cell r="M347">
            <v>1</v>
          </cell>
          <cell r="T347">
            <v>952.5</v>
          </cell>
        </row>
        <row r="350">
          <cell r="L350">
            <v>6350</v>
          </cell>
          <cell r="M350">
            <v>1</v>
          </cell>
          <cell r="T350">
            <v>952.5</v>
          </cell>
        </row>
        <row r="353">
          <cell r="L353">
            <v>5505.5</v>
          </cell>
          <cell r="T353">
            <v>1651.6499999999999</v>
          </cell>
        </row>
        <row r="356">
          <cell r="L356">
            <v>5005</v>
          </cell>
          <cell r="N356">
            <v>0.5</v>
          </cell>
          <cell r="T356">
            <v>750.75</v>
          </cell>
        </row>
        <row r="359">
          <cell r="L359">
            <v>5265</v>
          </cell>
          <cell r="M359">
            <v>1</v>
          </cell>
          <cell r="T359">
            <v>1579.5</v>
          </cell>
        </row>
        <row r="362">
          <cell r="L362">
            <v>5265</v>
          </cell>
          <cell r="M362">
            <v>1</v>
          </cell>
          <cell r="T362">
            <v>1053</v>
          </cell>
        </row>
        <row r="363">
          <cell r="L363">
            <v>4600</v>
          </cell>
          <cell r="N363">
            <v>0.5</v>
          </cell>
          <cell r="T363">
            <v>345</v>
          </cell>
        </row>
        <row r="364">
          <cell r="L364">
            <v>5265</v>
          </cell>
          <cell r="M364">
            <v>1</v>
          </cell>
          <cell r="T364">
            <v>1579.5</v>
          </cell>
        </row>
        <row r="365">
          <cell r="L365">
            <v>4600</v>
          </cell>
          <cell r="N365">
            <v>0.5</v>
          </cell>
          <cell r="T365">
            <v>345</v>
          </cell>
        </row>
        <row r="366">
          <cell r="L366">
            <v>4600</v>
          </cell>
          <cell r="M366">
            <v>1</v>
          </cell>
          <cell r="T366">
            <v>690</v>
          </cell>
        </row>
        <row r="369">
          <cell r="L369">
            <v>5265</v>
          </cell>
          <cell r="M369">
            <v>1</v>
          </cell>
          <cell r="T369">
            <v>1053</v>
          </cell>
        </row>
        <row r="372">
          <cell r="L372">
            <v>5265</v>
          </cell>
          <cell r="M372">
            <v>1</v>
          </cell>
          <cell r="T372">
            <v>1053</v>
          </cell>
        </row>
        <row r="373">
          <cell r="L373">
            <v>3414</v>
          </cell>
          <cell r="Q373">
            <v>341.40000000000003</v>
          </cell>
        </row>
        <row r="376">
          <cell r="L376">
            <v>3934</v>
          </cell>
        </row>
        <row r="379">
          <cell r="L379">
            <v>3934</v>
          </cell>
        </row>
        <row r="382">
          <cell r="L382">
            <v>3934</v>
          </cell>
        </row>
        <row r="391">
          <cell r="W391">
            <v>136284.37000000002</v>
          </cell>
        </row>
        <row r="392">
          <cell r="L392">
            <v>8208.75</v>
          </cell>
          <cell r="T392">
            <v>2462.625</v>
          </cell>
        </row>
        <row r="393">
          <cell r="L393">
            <v>6567</v>
          </cell>
          <cell r="N393">
            <v>0.5</v>
          </cell>
          <cell r="T393">
            <v>985.05</v>
          </cell>
        </row>
        <row r="394">
          <cell r="L394">
            <v>6567</v>
          </cell>
          <cell r="M394">
            <v>1</v>
          </cell>
          <cell r="T394">
            <v>1970.1</v>
          </cell>
        </row>
        <row r="395">
          <cell r="L395">
            <v>6567</v>
          </cell>
          <cell r="M395">
            <v>1</v>
          </cell>
          <cell r="T395">
            <v>1970.1</v>
          </cell>
        </row>
        <row r="396">
          <cell r="L396">
            <v>6133</v>
          </cell>
          <cell r="M396">
            <v>1</v>
          </cell>
          <cell r="T396">
            <v>1226.6000000000001</v>
          </cell>
        </row>
        <row r="397">
          <cell r="L397">
            <v>6133</v>
          </cell>
          <cell r="M397">
            <v>1</v>
          </cell>
          <cell r="T397">
            <v>1226.6000000000001</v>
          </cell>
        </row>
        <row r="398">
          <cell r="L398">
            <v>6133</v>
          </cell>
          <cell r="M398">
            <v>1</v>
          </cell>
          <cell r="T398">
            <v>1839.8999999999999</v>
          </cell>
        </row>
        <row r="399">
          <cell r="L399">
            <v>6567</v>
          </cell>
          <cell r="N399">
            <v>0.5</v>
          </cell>
          <cell r="T399">
            <v>656.7</v>
          </cell>
        </row>
        <row r="400">
          <cell r="L400">
            <v>5699</v>
          </cell>
          <cell r="M400">
            <v>1</v>
          </cell>
          <cell r="T400">
            <v>569.9</v>
          </cell>
        </row>
        <row r="401">
          <cell r="L401">
            <v>6133</v>
          </cell>
          <cell r="M401">
            <v>1</v>
          </cell>
          <cell r="T401">
            <v>1226.6000000000001</v>
          </cell>
        </row>
        <row r="404">
          <cell r="L404">
            <v>5699</v>
          </cell>
          <cell r="M404">
            <v>1</v>
          </cell>
          <cell r="T404">
            <v>1139.8</v>
          </cell>
        </row>
        <row r="407">
          <cell r="L407">
            <v>5505.5</v>
          </cell>
          <cell r="T407">
            <v>1651.6499999999999</v>
          </cell>
        </row>
        <row r="410">
          <cell r="L410">
            <v>5005</v>
          </cell>
          <cell r="T410">
            <v>1001</v>
          </cell>
        </row>
        <row r="413">
          <cell r="L413">
            <v>5005</v>
          </cell>
          <cell r="T413">
            <v>1501.5</v>
          </cell>
        </row>
        <row r="416">
          <cell r="L416">
            <v>5005</v>
          </cell>
          <cell r="T416">
            <v>1501.5</v>
          </cell>
        </row>
        <row r="419">
          <cell r="L419">
            <v>5005</v>
          </cell>
          <cell r="T419">
            <v>1501.5</v>
          </cell>
        </row>
        <row r="422">
          <cell r="L422">
            <v>5005</v>
          </cell>
          <cell r="T422">
            <v>1501.5</v>
          </cell>
        </row>
        <row r="425">
          <cell r="L425">
            <v>5005</v>
          </cell>
          <cell r="T425">
            <v>1001</v>
          </cell>
        </row>
        <row r="428">
          <cell r="L428">
            <v>5005</v>
          </cell>
          <cell r="T428">
            <v>1501.5</v>
          </cell>
        </row>
        <row r="431">
          <cell r="L431">
            <v>5005</v>
          </cell>
          <cell r="T431">
            <v>1501.5</v>
          </cell>
        </row>
        <row r="434">
          <cell r="L434">
            <v>5005</v>
          </cell>
          <cell r="T434">
            <v>1001</v>
          </cell>
        </row>
        <row r="437">
          <cell r="L437">
            <v>5005</v>
          </cell>
          <cell r="N437">
            <v>0.5</v>
          </cell>
          <cell r="T437">
            <v>750.75</v>
          </cell>
        </row>
        <row r="440">
          <cell r="L440">
            <v>5005</v>
          </cell>
          <cell r="T440">
            <v>1501.5</v>
          </cell>
        </row>
        <row r="443">
          <cell r="L443">
            <v>4600</v>
          </cell>
          <cell r="T443">
            <v>690</v>
          </cell>
        </row>
        <row r="446">
          <cell r="L446">
            <v>3414</v>
          </cell>
          <cell r="N446">
            <v>0.5</v>
          </cell>
          <cell r="Q446">
            <v>170.70000000000002</v>
          </cell>
        </row>
        <row r="449">
          <cell r="L449">
            <v>3414</v>
          </cell>
          <cell r="Q449">
            <v>341.40000000000003</v>
          </cell>
        </row>
        <row r="452">
          <cell r="L452">
            <v>3934</v>
          </cell>
        </row>
        <row r="455">
          <cell r="L455">
            <v>3934</v>
          </cell>
        </row>
        <row r="464">
          <cell r="W464">
            <v>171878.72499999995</v>
          </cell>
        </row>
        <row r="465">
          <cell r="L465">
            <v>8208.75</v>
          </cell>
          <cell r="T465">
            <v>2462.625</v>
          </cell>
        </row>
        <row r="468">
          <cell r="L468">
            <v>6567</v>
          </cell>
          <cell r="N468">
            <v>0.5</v>
          </cell>
          <cell r="T468">
            <v>985.05</v>
          </cell>
        </row>
        <row r="471">
          <cell r="L471">
            <v>6567</v>
          </cell>
          <cell r="M471">
            <v>1</v>
          </cell>
          <cell r="T471">
            <v>1970.1</v>
          </cell>
        </row>
        <row r="474">
          <cell r="L474">
            <v>6567</v>
          </cell>
          <cell r="M474">
            <v>1</v>
          </cell>
          <cell r="T474">
            <v>1970.1</v>
          </cell>
        </row>
        <row r="477">
          <cell r="L477">
            <v>6567</v>
          </cell>
          <cell r="M477">
            <v>1</v>
          </cell>
          <cell r="T477">
            <v>1970.1</v>
          </cell>
        </row>
        <row r="480">
          <cell r="L480">
            <v>5916</v>
          </cell>
          <cell r="M480">
            <v>1</v>
          </cell>
          <cell r="T480">
            <v>887.4</v>
          </cell>
        </row>
        <row r="483">
          <cell r="L483">
            <v>5699</v>
          </cell>
          <cell r="M483">
            <v>1</v>
          </cell>
          <cell r="T483">
            <v>1139.8</v>
          </cell>
        </row>
        <row r="486">
          <cell r="L486">
            <v>5699</v>
          </cell>
          <cell r="M486">
            <v>1</v>
          </cell>
          <cell r="T486">
            <v>1139.8</v>
          </cell>
        </row>
        <row r="489">
          <cell r="L489">
            <v>5699</v>
          </cell>
          <cell r="M489">
            <v>1</v>
          </cell>
          <cell r="T489">
            <v>1139.8</v>
          </cell>
        </row>
        <row r="492">
          <cell r="L492">
            <v>6133</v>
          </cell>
          <cell r="M492">
            <v>1</v>
          </cell>
          <cell r="T492">
            <v>1839.8999999999999</v>
          </cell>
        </row>
        <row r="495">
          <cell r="L495">
            <v>5505.5</v>
          </cell>
          <cell r="T495">
            <v>1651.6499999999999</v>
          </cell>
        </row>
        <row r="498">
          <cell r="L498">
            <v>4195</v>
          </cell>
          <cell r="M498">
            <v>1</v>
          </cell>
          <cell r="T498">
            <v>839</v>
          </cell>
        </row>
        <row r="501">
          <cell r="L501">
            <v>5005</v>
          </cell>
          <cell r="M501">
            <v>1</v>
          </cell>
          <cell r="T501">
            <v>1501.5</v>
          </cell>
        </row>
        <row r="504">
          <cell r="L504">
            <v>4745</v>
          </cell>
          <cell r="M504">
            <v>1</v>
          </cell>
          <cell r="T504">
            <v>1423.5</v>
          </cell>
        </row>
        <row r="507">
          <cell r="L507">
            <v>4600</v>
          </cell>
          <cell r="M507">
            <v>1</v>
          </cell>
          <cell r="T507">
            <v>690</v>
          </cell>
        </row>
        <row r="510">
          <cell r="L510">
            <v>5005</v>
          </cell>
          <cell r="M510">
            <v>1</v>
          </cell>
          <cell r="T510">
            <v>1501.5</v>
          </cell>
        </row>
        <row r="513">
          <cell r="L513">
            <v>5005</v>
          </cell>
          <cell r="N513">
            <v>0.5</v>
          </cell>
          <cell r="T513">
            <v>750.75</v>
          </cell>
        </row>
        <row r="516">
          <cell r="L516">
            <v>5005</v>
          </cell>
          <cell r="M516">
            <v>1</v>
          </cell>
          <cell r="T516">
            <v>1501.5</v>
          </cell>
        </row>
        <row r="519">
          <cell r="L519">
            <v>5005</v>
          </cell>
          <cell r="M519">
            <v>1</v>
          </cell>
          <cell r="T519">
            <v>1001</v>
          </cell>
        </row>
        <row r="522">
          <cell r="L522">
            <v>5005</v>
          </cell>
          <cell r="N522">
            <v>0.5</v>
          </cell>
          <cell r="T522">
            <v>750.75</v>
          </cell>
        </row>
        <row r="525">
          <cell r="L525">
            <v>5005</v>
          </cell>
          <cell r="M525">
            <v>1</v>
          </cell>
          <cell r="T525">
            <v>1501.5</v>
          </cell>
        </row>
        <row r="528">
          <cell r="L528">
            <v>3414</v>
          </cell>
          <cell r="Q528">
            <v>341.40000000000003</v>
          </cell>
        </row>
        <row r="531">
          <cell r="L531">
            <v>3934</v>
          </cell>
        </row>
        <row r="534">
          <cell r="L534">
            <v>3934</v>
          </cell>
        </row>
        <row r="543">
          <cell r="W543">
            <v>149655.47500000003</v>
          </cell>
        </row>
        <row r="544">
          <cell r="L544">
            <v>4745</v>
          </cell>
          <cell r="T544">
            <v>474.5</v>
          </cell>
        </row>
        <row r="547">
          <cell r="L547">
            <v>4195</v>
          </cell>
          <cell r="T547">
            <v>1258.5</v>
          </cell>
        </row>
        <row r="548">
          <cell r="L548">
            <v>4600</v>
          </cell>
          <cell r="N548">
            <v>0.5</v>
          </cell>
          <cell r="T548">
            <v>345</v>
          </cell>
        </row>
        <row r="551">
          <cell r="L551">
            <v>4600</v>
          </cell>
          <cell r="T551">
            <v>690</v>
          </cell>
        </row>
        <row r="560">
          <cell r="W560">
            <v>18608.000000000004</v>
          </cell>
        </row>
        <row r="561">
          <cell r="L561">
            <v>7001</v>
          </cell>
          <cell r="N561">
            <v>0.5</v>
          </cell>
          <cell r="T561">
            <v>1050.1499999999999</v>
          </cell>
        </row>
        <row r="564">
          <cell r="L564">
            <v>7001</v>
          </cell>
          <cell r="M564">
            <v>0.5</v>
          </cell>
          <cell r="T564">
            <v>1050.1499999999999</v>
          </cell>
        </row>
        <row r="565">
          <cell r="L565">
            <v>7001</v>
          </cell>
          <cell r="N565">
            <v>0.5</v>
          </cell>
          <cell r="T565">
            <v>1050.1499999999999</v>
          </cell>
        </row>
        <row r="568">
          <cell r="L568">
            <v>6567</v>
          </cell>
          <cell r="M568">
            <v>1</v>
          </cell>
          <cell r="T568">
            <v>1970.1</v>
          </cell>
        </row>
        <row r="571">
          <cell r="L571">
            <v>5265</v>
          </cell>
          <cell r="M571">
            <v>1</v>
          </cell>
          <cell r="T571">
            <v>1053</v>
          </cell>
        </row>
        <row r="574">
          <cell r="L574">
            <v>5265</v>
          </cell>
          <cell r="N574">
            <v>0.5</v>
          </cell>
          <cell r="T574">
            <v>789.75</v>
          </cell>
        </row>
        <row r="577">
          <cell r="L577">
            <v>5005</v>
          </cell>
          <cell r="T577">
            <v>1001</v>
          </cell>
        </row>
        <row r="580">
          <cell r="L580">
            <v>5265</v>
          </cell>
          <cell r="N580">
            <v>0.5</v>
          </cell>
          <cell r="T580">
            <v>526.5</v>
          </cell>
        </row>
        <row r="581">
          <cell r="L581">
            <v>5005</v>
          </cell>
          <cell r="T581">
            <v>1001</v>
          </cell>
        </row>
        <row r="584">
          <cell r="L584">
            <v>5005</v>
          </cell>
          <cell r="N584">
            <v>0.5</v>
          </cell>
          <cell r="T584">
            <v>750.75</v>
          </cell>
        </row>
        <row r="587">
          <cell r="L587">
            <v>5005</v>
          </cell>
          <cell r="M587">
            <v>0.5</v>
          </cell>
          <cell r="T587">
            <v>750.75</v>
          </cell>
        </row>
        <row r="596">
          <cell r="X596">
            <v>53606.799999999996</v>
          </cell>
        </row>
        <row r="597">
          <cell r="L597">
            <v>7223.7</v>
          </cell>
          <cell r="T597">
            <v>2167.1099999999997</v>
          </cell>
        </row>
        <row r="600">
          <cell r="L600">
            <v>6350</v>
          </cell>
          <cell r="T600">
            <v>952.5</v>
          </cell>
        </row>
        <row r="603">
          <cell r="L603">
            <v>5505.5</v>
          </cell>
          <cell r="T603">
            <v>1651.6499999999999</v>
          </cell>
        </row>
        <row r="606">
          <cell r="L606">
            <v>5005</v>
          </cell>
          <cell r="N606">
            <v>0.5</v>
          </cell>
          <cell r="T606">
            <v>750.75</v>
          </cell>
        </row>
        <row r="609">
          <cell r="L609">
            <v>5005</v>
          </cell>
          <cell r="M609">
            <v>1</v>
          </cell>
          <cell r="T609">
            <v>1501.5</v>
          </cell>
        </row>
        <row r="612">
          <cell r="L612">
            <v>4600</v>
          </cell>
          <cell r="M612">
            <v>1</v>
          </cell>
          <cell r="T612">
            <v>690</v>
          </cell>
        </row>
        <row r="615">
          <cell r="L615">
            <v>5005</v>
          </cell>
          <cell r="N615">
            <v>0.5</v>
          </cell>
          <cell r="T615">
            <v>750.75</v>
          </cell>
        </row>
        <row r="618">
          <cell r="L618">
            <v>5005</v>
          </cell>
          <cell r="M618">
            <v>1</v>
          </cell>
          <cell r="T618">
            <v>1501.5</v>
          </cell>
        </row>
        <row r="627">
          <cell r="W627">
            <v>48659.96</v>
          </cell>
        </row>
        <row r="628">
          <cell r="L628">
            <v>5791.5</v>
          </cell>
          <cell r="T628">
            <v>1158.3</v>
          </cell>
        </row>
        <row r="631">
          <cell r="L631">
            <v>5265</v>
          </cell>
          <cell r="N631">
            <v>0.5</v>
          </cell>
          <cell r="T631">
            <v>526.5</v>
          </cell>
        </row>
        <row r="634">
          <cell r="L634">
            <v>4195</v>
          </cell>
        </row>
        <row r="641">
          <cell r="W641">
            <v>14303.8</v>
          </cell>
        </row>
        <row r="642">
          <cell r="L642">
            <v>4456</v>
          </cell>
        </row>
        <row r="643">
          <cell r="L643">
            <v>4745</v>
          </cell>
        </row>
        <row r="646">
          <cell r="L646">
            <v>4745</v>
          </cell>
          <cell r="N646">
            <v>0.5</v>
          </cell>
        </row>
        <row r="649">
          <cell r="L649">
            <v>4456</v>
          </cell>
          <cell r="N649">
            <v>0.5</v>
          </cell>
        </row>
        <row r="652">
          <cell r="L652">
            <v>4456</v>
          </cell>
        </row>
        <row r="655">
          <cell r="L655">
            <v>5265</v>
          </cell>
        </row>
        <row r="664">
          <cell r="W664">
            <v>20890</v>
          </cell>
        </row>
        <row r="665">
          <cell r="L665">
            <v>4456</v>
          </cell>
        </row>
        <row r="668">
          <cell r="L668">
            <v>3674</v>
          </cell>
        </row>
        <row r="671">
          <cell r="L671">
            <v>3674</v>
          </cell>
          <cell r="N671">
            <v>0.5</v>
          </cell>
        </row>
        <row r="674">
          <cell r="L674">
            <v>3674</v>
          </cell>
          <cell r="M674">
            <v>1</v>
          </cell>
        </row>
        <row r="675">
          <cell r="L675">
            <v>3674</v>
          </cell>
          <cell r="N675">
            <v>0.5</v>
          </cell>
        </row>
        <row r="676">
          <cell r="L676">
            <v>3674</v>
          </cell>
          <cell r="M676">
            <v>1</v>
          </cell>
        </row>
        <row r="677">
          <cell r="L677">
            <v>3674</v>
          </cell>
          <cell r="M677">
            <v>1</v>
          </cell>
        </row>
        <row r="678">
          <cell r="L678">
            <v>2893</v>
          </cell>
          <cell r="N678">
            <v>0.5</v>
          </cell>
        </row>
        <row r="679">
          <cell r="L679">
            <v>2893</v>
          </cell>
        </row>
        <row r="680">
          <cell r="L680">
            <v>2893</v>
          </cell>
          <cell r="M680">
            <v>0.5</v>
          </cell>
        </row>
        <row r="681">
          <cell r="L681">
            <v>2893</v>
          </cell>
          <cell r="M681">
            <v>0.5</v>
          </cell>
        </row>
        <row r="682">
          <cell r="L682">
            <v>3414</v>
          </cell>
          <cell r="N682">
            <v>0.5</v>
          </cell>
        </row>
        <row r="685">
          <cell r="L685">
            <v>3414</v>
          </cell>
        </row>
        <row r="686">
          <cell r="L686">
            <v>3674</v>
          </cell>
        </row>
        <row r="689">
          <cell r="L689">
            <v>3153</v>
          </cell>
          <cell r="T689">
            <v>788.25</v>
          </cell>
        </row>
        <row r="690">
          <cell r="L690">
            <v>3153</v>
          </cell>
          <cell r="T690">
            <v>788.25</v>
          </cell>
        </row>
        <row r="691">
          <cell r="L691">
            <v>2893</v>
          </cell>
          <cell r="M691">
            <v>1</v>
          </cell>
          <cell r="Q691">
            <v>289.3</v>
          </cell>
        </row>
        <row r="692">
          <cell r="L692">
            <v>2893</v>
          </cell>
          <cell r="M692">
            <v>0.25</v>
          </cell>
        </row>
        <row r="695">
          <cell r="L695">
            <v>2893</v>
          </cell>
          <cell r="M695">
            <v>0.25</v>
          </cell>
        </row>
        <row r="698">
          <cell r="L698">
            <v>2893</v>
          </cell>
        </row>
        <row r="706">
          <cell r="V706">
            <v>97102.049467899342</v>
          </cell>
          <cell r="W706">
            <v>151359.83539294702</v>
          </cell>
        </row>
        <row r="708">
          <cell r="V708">
            <v>666153.76818926632</v>
          </cell>
          <cell r="W708">
            <v>1183208.3561892663</v>
          </cell>
        </row>
        <row r="709">
          <cell r="V709">
            <v>416877.96520597511</v>
          </cell>
          <cell r="W709">
            <v>895930.91570597515</v>
          </cell>
        </row>
        <row r="710">
          <cell r="V710">
            <v>29624.354074952345</v>
          </cell>
          <cell r="W710">
            <v>63422.954074952358</v>
          </cell>
        </row>
        <row r="711">
          <cell r="V711">
            <v>130840.89716437286</v>
          </cell>
          <cell r="W711">
            <v>252603.84716437286</v>
          </cell>
        </row>
        <row r="712">
          <cell r="V712">
            <v>206547.57980036217</v>
          </cell>
          <cell r="W712">
            <v>319816.36572540988</v>
          </cell>
        </row>
        <row r="714">
          <cell r="Y714">
            <v>1264937.8744250473</v>
          </cell>
        </row>
        <row r="715">
          <cell r="Y715">
            <v>1242141.8744250473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и"/>
      <sheetName val="тарифікація"/>
      <sheetName val="декларация"/>
      <sheetName val="Лист1"/>
      <sheetName val="Лист2"/>
    </sheetNames>
    <sheetDataSet>
      <sheetData sheetId="0" refreshError="1"/>
      <sheetData sheetId="1"/>
      <sheetData sheetId="2">
        <row r="25">
          <cell r="S25">
            <v>11810.7249078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"/>
  <sheetViews>
    <sheetView view="pageBreakPreview" zoomScale="75" zoomScaleNormal="100" zoomScaleSheetLayoutView="75" workbookViewId="0">
      <selection activeCell="I12" sqref="I12"/>
    </sheetView>
  </sheetViews>
  <sheetFormatPr defaultColWidth="9.109375" defaultRowHeight="14.4" x14ac:dyDescent="0.3"/>
  <cols>
    <col min="1" max="1" width="10.44140625" style="4" customWidth="1"/>
    <col min="2" max="2" width="30.109375" style="4" customWidth="1"/>
    <col min="3" max="3" width="8.88671875" style="4" customWidth="1"/>
    <col min="4" max="4" width="33.44140625" style="4" customWidth="1"/>
    <col min="5" max="5" width="9.33203125" style="4" customWidth="1"/>
    <col min="6" max="6" width="11.88671875" style="4" customWidth="1"/>
    <col min="7" max="7" width="12.109375" style="4" customWidth="1"/>
    <col min="8" max="8" width="11.6640625" style="4" bestFit="1" customWidth="1"/>
    <col min="9" max="11" width="9.109375" style="4"/>
    <col min="12" max="12" width="10.44140625" style="4" customWidth="1"/>
    <col min="13" max="16384" width="9.109375" style="4"/>
  </cols>
  <sheetData>
    <row r="1" spans="1:10" s="7" customFormat="1" ht="15.6" x14ac:dyDescent="0.3">
      <c r="A1" s="1" t="s">
        <v>0</v>
      </c>
      <c r="B1" s="2"/>
      <c r="C1" s="2"/>
      <c r="D1" s="1" t="s">
        <v>1</v>
      </c>
      <c r="E1" s="3"/>
      <c r="F1" s="4"/>
      <c r="G1" s="5"/>
      <c r="H1" s="3"/>
      <c r="I1" s="6"/>
    </row>
    <row r="2" spans="1:10" s="7" customFormat="1" ht="15.75" customHeight="1" x14ac:dyDescent="0.3">
      <c r="A2" s="8" t="s">
        <v>2</v>
      </c>
      <c r="B2" s="8"/>
      <c r="C2" s="9"/>
      <c r="D2" s="10" t="s">
        <v>3</v>
      </c>
      <c r="E2" s="11"/>
      <c r="F2" s="4"/>
      <c r="G2" s="12"/>
      <c r="H2" s="12"/>
      <c r="I2" s="6"/>
      <c r="J2" s="13"/>
    </row>
    <row r="3" spans="1:10" s="7" customFormat="1" ht="15.6" x14ac:dyDescent="0.3">
      <c r="A3" s="8"/>
      <c r="B3" s="8"/>
      <c r="C3" s="9"/>
      <c r="D3" s="10"/>
      <c r="E3" s="11"/>
      <c r="F3" s="4"/>
      <c r="G3" s="5"/>
      <c r="H3" s="3"/>
      <c r="I3" s="6"/>
    </row>
    <row r="4" spans="1:10" s="7" customFormat="1" x14ac:dyDescent="0.3">
      <c r="A4" s="14" t="s">
        <v>4</v>
      </c>
      <c r="B4" s="15"/>
      <c r="C4" s="15"/>
      <c r="D4" s="16" t="s">
        <v>5</v>
      </c>
      <c r="E4" s="6"/>
      <c r="F4" s="4"/>
      <c r="G4" s="17"/>
      <c r="H4" s="17"/>
      <c r="I4" s="17"/>
    </row>
    <row r="5" spans="1:10" s="7" customFormat="1" x14ac:dyDescent="0.3">
      <c r="A5" s="18" t="s">
        <v>6</v>
      </c>
      <c r="B5" s="18"/>
      <c r="C5" s="19"/>
      <c r="D5" s="19" t="s">
        <v>6</v>
      </c>
      <c r="E5" s="19"/>
      <c r="F5" s="4"/>
      <c r="G5" s="5"/>
      <c r="H5" s="3"/>
      <c r="I5" s="6"/>
    </row>
    <row r="6" spans="1:10" s="7" customFormat="1" x14ac:dyDescent="0.3">
      <c r="A6" s="20" t="s">
        <v>7</v>
      </c>
      <c r="B6" s="21"/>
      <c r="C6" s="21"/>
      <c r="D6" s="17" t="s">
        <v>8</v>
      </c>
      <c r="E6" s="17"/>
      <c r="F6" s="4"/>
      <c r="G6" s="4"/>
      <c r="H6" s="17"/>
      <c r="I6" s="17"/>
    </row>
    <row r="7" spans="1:10" s="7" customFormat="1" ht="15.6" x14ac:dyDescent="0.3">
      <c r="A7" s="4"/>
      <c r="B7" s="4"/>
      <c r="C7" s="4"/>
      <c r="D7" s="22"/>
      <c r="E7" s="23"/>
      <c r="F7" s="4"/>
      <c r="G7" s="4"/>
      <c r="H7" s="17"/>
      <c r="I7" s="17"/>
    </row>
    <row r="8" spans="1:10" s="28" customFormat="1" ht="15.6" x14ac:dyDescent="0.3">
      <c r="A8" s="24"/>
      <c r="B8" s="25"/>
      <c r="C8" s="25"/>
      <c r="D8" s="26"/>
      <c r="E8" s="27"/>
      <c r="H8" s="29"/>
    </row>
    <row r="9" spans="1:10" s="28" customFormat="1" ht="15.6" x14ac:dyDescent="0.3">
      <c r="A9" s="30"/>
      <c r="B9" s="30"/>
      <c r="C9" s="31"/>
      <c r="H9" s="32"/>
    </row>
    <row r="10" spans="1:10" s="35" customFormat="1" ht="15.6" x14ac:dyDescent="0.25">
      <c r="A10" s="33" t="s">
        <v>9</v>
      </c>
      <c r="B10" s="33"/>
      <c r="C10" s="33"/>
      <c r="D10" s="33"/>
      <c r="E10" s="34"/>
    </row>
    <row r="11" spans="1:10" s="35" customFormat="1" ht="53.25" customHeight="1" x14ac:dyDescent="0.25">
      <c r="A11" s="33" t="s">
        <v>10</v>
      </c>
      <c r="B11" s="33"/>
      <c r="C11" s="33"/>
      <c r="D11" s="33"/>
      <c r="E11" s="34"/>
    </row>
    <row r="12" spans="1:10" s="35" customFormat="1" ht="16.2" thickBot="1" x14ac:dyDescent="0.3">
      <c r="A12" s="36" t="s">
        <v>11</v>
      </c>
      <c r="B12" s="36"/>
      <c r="C12" s="36"/>
      <c r="D12" s="36"/>
    </row>
    <row r="13" spans="1:10" s="35" customFormat="1" ht="15.75" customHeight="1" x14ac:dyDescent="0.25">
      <c r="A13" s="37" t="s">
        <v>12</v>
      </c>
      <c r="B13" s="38" t="s">
        <v>13</v>
      </c>
      <c r="C13" s="39"/>
      <c r="D13" s="40"/>
    </row>
    <row r="14" spans="1:10" s="35" customFormat="1" ht="15" customHeight="1" x14ac:dyDescent="0.25">
      <c r="A14" s="41"/>
      <c r="B14" s="42"/>
      <c r="C14" s="43"/>
      <c r="D14" s="44"/>
    </row>
    <row r="15" spans="1:10" s="35" customFormat="1" ht="15" customHeight="1" x14ac:dyDescent="0.25">
      <c r="A15" s="41"/>
      <c r="B15" s="42"/>
      <c r="C15" s="43"/>
      <c r="D15" s="44"/>
    </row>
    <row r="16" spans="1:10" s="35" customFormat="1" ht="15" customHeight="1" x14ac:dyDescent="0.25">
      <c r="A16" s="41"/>
      <c r="B16" s="42"/>
      <c r="C16" s="43"/>
      <c r="D16" s="44"/>
    </row>
    <row r="17" spans="1:4" s="35" customFormat="1" ht="15.6" thickBot="1" x14ac:dyDescent="0.3">
      <c r="A17" s="41"/>
      <c r="B17" s="45"/>
      <c r="C17" s="46"/>
      <c r="D17" s="47"/>
    </row>
    <row r="18" spans="1:4" s="35" customFormat="1" ht="16.2" thickBot="1" x14ac:dyDescent="0.35">
      <c r="A18" s="48">
        <v>1</v>
      </c>
      <c r="B18" s="49" t="s">
        <v>14</v>
      </c>
      <c r="C18" s="50"/>
      <c r="D18" s="51"/>
    </row>
    <row r="19" spans="1:4" s="35" customFormat="1" ht="15.6" x14ac:dyDescent="0.3">
      <c r="A19" s="52">
        <v>1</v>
      </c>
      <c r="B19" s="53" t="s">
        <v>15</v>
      </c>
      <c r="C19" s="54"/>
      <c r="D19" s="55"/>
    </row>
    <row r="20" spans="1:4" s="35" customFormat="1" ht="15.6" x14ac:dyDescent="0.3">
      <c r="A20" s="52">
        <v>2</v>
      </c>
      <c r="B20" s="56" t="s">
        <v>16</v>
      </c>
      <c r="C20" s="57"/>
      <c r="D20" s="58"/>
    </row>
    <row r="21" spans="1:4" s="35" customFormat="1" ht="15.6" x14ac:dyDescent="0.3">
      <c r="A21" s="52">
        <v>3</v>
      </c>
      <c r="B21" s="56" t="s">
        <v>17</v>
      </c>
      <c r="C21" s="57"/>
      <c r="D21" s="58"/>
    </row>
    <row r="22" spans="1:4" s="35" customFormat="1" ht="15.6" x14ac:dyDescent="0.3">
      <c r="A22" s="52">
        <v>4</v>
      </c>
      <c r="B22" s="56" t="s">
        <v>18</v>
      </c>
      <c r="C22" s="57"/>
      <c r="D22" s="58"/>
    </row>
    <row r="23" spans="1:4" s="35" customFormat="1" ht="15.6" x14ac:dyDescent="0.3">
      <c r="A23" s="52">
        <v>5</v>
      </c>
      <c r="B23" s="59" t="s">
        <v>19</v>
      </c>
      <c r="C23" s="60"/>
      <c r="D23" s="61"/>
    </row>
    <row r="24" spans="1:4" s="35" customFormat="1" ht="15.6" x14ac:dyDescent="0.3">
      <c r="A24" s="52">
        <v>6</v>
      </c>
      <c r="B24" s="59" t="s">
        <v>20</v>
      </c>
      <c r="C24" s="60"/>
      <c r="D24" s="61"/>
    </row>
    <row r="25" spans="1:4" s="35" customFormat="1" ht="15.6" x14ac:dyDescent="0.3">
      <c r="A25" s="52">
        <v>7</v>
      </c>
      <c r="B25" s="59" t="s">
        <v>21</v>
      </c>
      <c r="C25" s="60"/>
      <c r="D25" s="61"/>
    </row>
    <row r="26" spans="1:4" s="35" customFormat="1" ht="15.6" x14ac:dyDescent="0.3">
      <c r="A26" s="52">
        <v>8</v>
      </c>
      <c r="B26" s="59" t="s">
        <v>22</v>
      </c>
      <c r="C26" s="60"/>
      <c r="D26" s="61"/>
    </row>
    <row r="27" spans="1:4" s="35" customFormat="1" ht="15.6" x14ac:dyDescent="0.3">
      <c r="A27" s="52">
        <v>9</v>
      </c>
      <c r="B27" s="62" t="s">
        <v>23</v>
      </c>
      <c r="C27" s="63"/>
      <c r="D27" s="64"/>
    </row>
    <row r="28" spans="1:4" s="35" customFormat="1" ht="15.6" x14ac:dyDescent="0.3">
      <c r="A28" s="52">
        <v>10</v>
      </c>
      <c r="B28" s="59" t="s">
        <v>24</v>
      </c>
      <c r="C28" s="60"/>
      <c r="D28" s="61"/>
    </row>
    <row r="29" spans="1:4" s="35" customFormat="1" ht="15.6" x14ac:dyDescent="0.3">
      <c r="A29" s="52">
        <v>11</v>
      </c>
      <c r="B29" s="59" t="s">
        <v>25</v>
      </c>
      <c r="C29" s="60"/>
      <c r="D29" s="61"/>
    </row>
    <row r="30" spans="1:4" s="35" customFormat="1" ht="15.6" x14ac:dyDescent="0.3">
      <c r="A30" s="52">
        <v>12</v>
      </c>
      <c r="B30" s="59" t="s">
        <v>26</v>
      </c>
      <c r="C30" s="60"/>
      <c r="D30" s="61"/>
    </row>
    <row r="31" spans="1:4" s="35" customFormat="1" ht="15.6" x14ac:dyDescent="0.3">
      <c r="A31" s="52">
        <v>13</v>
      </c>
      <c r="B31" s="59" t="s">
        <v>27</v>
      </c>
      <c r="C31" s="60"/>
      <c r="D31" s="61"/>
    </row>
    <row r="32" spans="1:4" s="35" customFormat="1" ht="15.6" x14ac:dyDescent="0.3">
      <c r="A32" s="52">
        <v>14</v>
      </c>
      <c r="B32" s="62" t="s">
        <v>28</v>
      </c>
      <c r="C32" s="63"/>
      <c r="D32" s="64"/>
    </row>
    <row r="33" spans="1:9" s="35" customFormat="1" ht="15.6" x14ac:dyDescent="0.3">
      <c r="A33" s="52">
        <v>15</v>
      </c>
      <c r="B33" s="59" t="s">
        <v>29</v>
      </c>
      <c r="C33" s="60"/>
      <c r="D33" s="61"/>
    </row>
    <row r="34" spans="1:9" s="35" customFormat="1" ht="15.6" x14ac:dyDescent="0.3">
      <c r="A34" s="52">
        <v>16</v>
      </c>
      <c r="B34" s="65" t="s">
        <v>30</v>
      </c>
      <c r="C34" s="66"/>
      <c r="D34" s="67"/>
    </row>
    <row r="35" spans="1:9" s="35" customFormat="1" ht="15.6" x14ac:dyDescent="0.3">
      <c r="A35" s="52">
        <v>17</v>
      </c>
      <c r="B35" s="59" t="s">
        <v>31</v>
      </c>
      <c r="C35" s="60"/>
      <c r="D35" s="61"/>
    </row>
    <row r="36" spans="1:9" s="35" customFormat="1" ht="16.2" thickBot="1" x14ac:dyDescent="0.35">
      <c r="A36" s="52">
        <v>18</v>
      </c>
      <c r="B36" s="68" t="s">
        <v>32</v>
      </c>
      <c r="C36" s="69"/>
      <c r="D36" s="70"/>
      <c r="H36" s="71"/>
    </row>
    <row r="37" spans="1:9" ht="15.6" x14ac:dyDescent="0.3">
      <c r="A37" s="72"/>
      <c r="B37" s="72"/>
      <c r="C37" s="72"/>
      <c r="D37" s="73"/>
      <c r="F37" s="74"/>
    </row>
    <row r="38" spans="1:9" s="7" customFormat="1" ht="53.25" customHeight="1" x14ac:dyDescent="0.3">
      <c r="A38" s="75" t="s">
        <v>33</v>
      </c>
      <c r="B38" s="75"/>
      <c r="C38" s="4"/>
      <c r="D38" s="76" t="s">
        <v>34</v>
      </c>
      <c r="E38" s="77"/>
      <c r="F38" s="77"/>
      <c r="G38" s="77"/>
      <c r="H38" s="77"/>
      <c r="I38" s="28"/>
    </row>
    <row r="39" spans="1:9" ht="15.6" x14ac:dyDescent="0.3">
      <c r="B39" s="77"/>
      <c r="C39" s="77"/>
      <c r="D39" s="77"/>
    </row>
  </sheetData>
  <mergeCells count="29">
    <mergeCell ref="B33:D33"/>
    <mergeCell ref="B34:D34"/>
    <mergeCell ref="B35:D35"/>
    <mergeCell ref="B36:D36"/>
    <mergeCell ref="A38:B38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A12:D12"/>
    <mergeCell ref="A13:A17"/>
    <mergeCell ref="B13:D17"/>
    <mergeCell ref="B18:D18"/>
    <mergeCell ref="B19:D19"/>
    <mergeCell ref="B20:D20"/>
    <mergeCell ref="A2:B3"/>
    <mergeCell ref="D2:D3"/>
    <mergeCell ref="A5:B5"/>
    <mergeCell ref="A9:B9"/>
    <mergeCell ref="A10:D10"/>
    <mergeCell ref="A11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29"/>
  <sheetViews>
    <sheetView tabSelected="1" view="pageBreakPreview" topLeftCell="A116" zoomScale="75" zoomScaleNormal="75" zoomScaleSheetLayoutView="75" workbookViewId="0">
      <selection activeCell="J28" sqref="J28"/>
    </sheetView>
  </sheetViews>
  <sheetFormatPr defaultRowHeight="14.4" x14ac:dyDescent="0.3"/>
  <cols>
    <col min="1" max="1" width="5.33203125" style="368" customWidth="1"/>
    <col min="2" max="2" width="52" style="7" customWidth="1"/>
    <col min="3" max="3" width="12.109375" style="7" customWidth="1"/>
    <col min="4" max="4" width="14.5546875" style="7" customWidth="1"/>
    <col min="5" max="5" width="15.6640625" style="7" customWidth="1"/>
    <col min="6" max="6" width="14" style="7" customWidth="1"/>
    <col min="7" max="7" width="16.5546875" style="7" customWidth="1"/>
    <col min="8" max="8" width="21" style="86" customWidth="1"/>
    <col min="9" max="9" width="19.5546875" style="83" customWidth="1"/>
    <col min="10" max="10" width="17.88671875" style="7" customWidth="1"/>
    <col min="11" max="11" width="14" style="7" customWidth="1"/>
    <col min="12" max="12" width="11.6640625" style="7" bestFit="1" customWidth="1"/>
    <col min="13" max="13" width="15.109375" style="7" customWidth="1"/>
    <col min="14" max="15" width="8.88671875" style="7"/>
    <col min="16" max="16" width="10.44140625" style="7" customWidth="1"/>
    <col min="17" max="16384" width="8.88671875" style="7"/>
  </cols>
  <sheetData>
    <row r="1" spans="1:9" x14ac:dyDescent="0.3">
      <c r="A1" s="78"/>
      <c r="B1" s="13"/>
      <c r="C1" s="13"/>
      <c r="D1" s="79"/>
      <c r="E1" s="80" t="s">
        <v>35</v>
      </c>
      <c r="F1" s="81"/>
      <c r="G1" s="82"/>
      <c r="H1" s="13"/>
    </row>
    <row r="2" spans="1:9" x14ac:dyDescent="0.3">
      <c r="A2" s="78"/>
      <c r="B2" s="13"/>
      <c r="C2" s="13"/>
      <c r="D2" s="79"/>
      <c r="E2" s="80" t="s">
        <v>36</v>
      </c>
      <c r="F2" s="81"/>
      <c r="G2" s="81"/>
      <c r="H2" s="13"/>
    </row>
    <row r="3" spans="1:9" x14ac:dyDescent="0.3">
      <c r="A3" s="78"/>
      <c r="B3" s="13"/>
      <c r="C3" s="13"/>
      <c r="D3" s="79"/>
      <c r="E3" s="80" t="s">
        <v>37</v>
      </c>
      <c r="F3" s="81"/>
      <c r="G3" s="81"/>
      <c r="H3" s="13"/>
    </row>
    <row r="4" spans="1:9" x14ac:dyDescent="0.3">
      <c r="A4" s="78"/>
      <c r="B4" s="13"/>
      <c r="C4" s="13"/>
      <c r="D4" s="79"/>
      <c r="E4" s="80" t="s">
        <v>38</v>
      </c>
      <c r="F4" s="81"/>
      <c r="G4" s="81"/>
      <c r="H4" s="13"/>
    </row>
    <row r="5" spans="1:9" x14ac:dyDescent="0.3">
      <c r="A5" s="78"/>
      <c r="B5" s="13"/>
      <c r="C5" s="13"/>
      <c r="D5" s="79"/>
      <c r="E5" s="79"/>
      <c r="F5" s="81"/>
      <c r="G5" s="81"/>
      <c r="H5" s="13"/>
    </row>
    <row r="6" spans="1:9" ht="15.6" x14ac:dyDescent="0.3">
      <c r="A6" s="84"/>
      <c r="B6" s="85"/>
      <c r="C6" s="86"/>
      <c r="D6" s="3"/>
      <c r="E6" s="87" t="s">
        <v>39</v>
      </c>
      <c r="F6" s="5"/>
      <c r="G6" s="3"/>
    </row>
    <row r="7" spans="1:9" ht="15" customHeight="1" x14ac:dyDescent="0.3">
      <c r="A7" s="88"/>
      <c r="B7" s="21"/>
      <c r="C7" s="86"/>
      <c r="D7" s="89"/>
      <c r="E7" s="90" t="s">
        <v>40</v>
      </c>
      <c r="F7" s="90"/>
      <c r="G7" s="91">
        <f>C150</f>
        <v>186.75</v>
      </c>
      <c r="I7" s="92"/>
    </row>
    <row r="8" spans="1:9" ht="17.25" customHeight="1" x14ac:dyDescent="0.3">
      <c r="A8" s="84" t="s">
        <v>0</v>
      </c>
      <c r="B8" s="21"/>
      <c r="C8" s="86"/>
      <c r="D8" s="89"/>
      <c r="E8" s="93" t="s">
        <v>41</v>
      </c>
      <c r="F8" s="5"/>
      <c r="G8" s="3"/>
      <c r="I8" s="13"/>
    </row>
    <row r="9" spans="1:9" ht="14.25" customHeight="1" x14ac:dyDescent="0.3">
      <c r="A9" s="94"/>
      <c r="B9" s="94"/>
      <c r="C9" s="12"/>
      <c r="D9" s="12"/>
      <c r="E9" s="95">
        <f>G150</f>
        <v>1242141.8800000001</v>
      </c>
      <c r="F9" s="96" t="s">
        <v>42</v>
      </c>
      <c r="G9" s="96"/>
      <c r="H9" s="96"/>
      <c r="I9" s="97"/>
    </row>
    <row r="10" spans="1:9" x14ac:dyDescent="0.3">
      <c r="A10" s="98" t="s">
        <v>43</v>
      </c>
      <c r="B10" s="98"/>
      <c r="C10" s="86"/>
      <c r="D10" s="89"/>
      <c r="E10" s="99" t="s">
        <v>44</v>
      </c>
      <c r="F10" s="99"/>
      <c r="G10" s="99"/>
    </row>
    <row r="11" spans="1:9" ht="18.75" customHeight="1" x14ac:dyDescent="0.3">
      <c r="A11" s="100" t="s">
        <v>45</v>
      </c>
      <c r="B11" s="100"/>
      <c r="C11" s="3"/>
      <c r="D11" s="6"/>
      <c r="E11" s="101" t="s">
        <v>46</v>
      </c>
      <c r="F11" s="102"/>
      <c r="G11" s="102"/>
      <c r="H11" s="17"/>
    </row>
    <row r="12" spans="1:9" x14ac:dyDescent="0.3">
      <c r="A12" s="103" t="s">
        <v>47</v>
      </c>
      <c r="B12" s="103"/>
      <c r="C12" s="3"/>
      <c r="D12" s="6"/>
      <c r="E12" s="104" t="s">
        <v>48</v>
      </c>
      <c r="F12" s="104"/>
      <c r="G12" s="104"/>
    </row>
    <row r="13" spans="1:9" ht="14.25" customHeight="1" x14ac:dyDescent="0.3">
      <c r="A13" s="18" t="s">
        <v>6</v>
      </c>
      <c r="B13" s="18"/>
      <c r="C13" s="105"/>
      <c r="D13" s="89"/>
      <c r="E13" s="18" t="s">
        <v>6</v>
      </c>
      <c r="F13" s="18"/>
      <c r="G13" s="17"/>
      <c r="H13" s="17"/>
    </row>
    <row r="14" spans="1:9" x14ac:dyDescent="0.3">
      <c r="A14" s="84" t="s">
        <v>7</v>
      </c>
      <c r="B14" s="21"/>
      <c r="C14" s="105"/>
      <c r="D14" s="89"/>
      <c r="E14" s="106" t="s">
        <v>49</v>
      </c>
      <c r="F14" s="106"/>
      <c r="G14" s="106"/>
      <c r="H14" s="106"/>
    </row>
    <row r="15" spans="1:9" s="28" customFormat="1" ht="6.75" customHeight="1" x14ac:dyDescent="0.3">
      <c r="A15" s="107"/>
      <c r="B15" s="25"/>
      <c r="C15" s="108"/>
      <c r="D15" s="109"/>
      <c r="E15" s="22"/>
      <c r="F15" s="23"/>
      <c r="G15" s="29"/>
      <c r="H15" s="110"/>
      <c r="I15" s="13"/>
    </row>
    <row r="16" spans="1:9" s="28" customFormat="1" ht="18.75" customHeight="1" x14ac:dyDescent="0.3">
      <c r="A16" s="111" t="s">
        <v>50</v>
      </c>
      <c r="B16" s="111"/>
      <c r="C16" s="25"/>
      <c r="D16" s="112"/>
      <c r="E16" s="26" t="s">
        <v>50</v>
      </c>
      <c r="F16" s="27"/>
      <c r="G16" s="32"/>
      <c r="H16" s="110"/>
      <c r="I16" s="13"/>
    </row>
    <row r="17" spans="1:11" s="28" customFormat="1" ht="16.5" customHeight="1" x14ac:dyDescent="0.25">
      <c r="A17" s="113" t="s">
        <v>51</v>
      </c>
      <c r="B17" s="113"/>
      <c r="C17" s="113"/>
      <c r="D17" s="113"/>
      <c r="E17" s="113"/>
      <c r="F17" s="113"/>
      <c r="G17" s="113"/>
      <c r="H17" s="113"/>
      <c r="I17" s="13"/>
    </row>
    <row r="18" spans="1:11" s="28" customFormat="1" ht="18" customHeight="1" x14ac:dyDescent="0.25">
      <c r="A18" s="113" t="s">
        <v>52</v>
      </c>
      <c r="B18" s="113"/>
      <c r="C18" s="113"/>
      <c r="D18" s="113"/>
      <c r="E18" s="113"/>
      <c r="F18" s="113"/>
      <c r="G18" s="113"/>
      <c r="H18" s="113"/>
      <c r="I18" s="13"/>
    </row>
    <row r="19" spans="1:11" s="28" customFormat="1" ht="15.75" customHeight="1" x14ac:dyDescent="0.25">
      <c r="A19" s="114" t="s">
        <v>53</v>
      </c>
      <c r="B19" s="114"/>
      <c r="C19" s="114"/>
      <c r="D19" s="114"/>
      <c r="E19" s="114"/>
      <c r="F19" s="114"/>
      <c r="G19" s="114"/>
      <c r="H19" s="114"/>
      <c r="I19" s="13"/>
    </row>
    <row r="20" spans="1:11" s="28" customFormat="1" ht="19.5" customHeight="1" x14ac:dyDescent="0.25">
      <c r="A20" s="114" t="s">
        <v>54</v>
      </c>
      <c r="B20" s="114"/>
      <c r="C20" s="114"/>
      <c r="D20" s="114"/>
      <c r="E20" s="114"/>
      <c r="F20" s="114"/>
      <c r="G20" s="114"/>
      <c r="H20" s="114"/>
      <c r="I20" s="13"/>
    </row>
    <row r="21" spans="1:11" s="28" customFormat="1" ht="15.75" customHeight="1" thickBot="1" x14ac:dyDescent="0.3">
      <c r="A21" s="115" t="s">
        <v>11</v>
      </c>
      <c r="B21" s="115"/>
      <c r="C21" s="115"/>
      <c r="D21" s="115"/>
      <c r="E21" s="115"/>
      <c r="F21" s="115"/>
      <c r="G21" s="115"/>
      <c r="H21" s="115"/>
      <c r="I21" s="13"/>
    </row>
    <row r="22" spans="1:11" s="28" customFormat="1" ht="15.75" customHeight="1" thickBot="1" x14ac:dyDescent="0.3">
      <c r="A22" s="116"/>
      <c r="B22" s="117"/>
      <c r="C22" s="117"/>
      <c r="D22" s="117"/>
      <c r="E22" s="117"/>
      <c r="F22" s="117"/>
      <c r="G22" s="117"/>
      <c r="H22" s="118"/>
      <c r="I22" s="13"/>
    </row>
    <row r="23" spans="1:11" s="28" customFormat="1" ht="15" customHeight="1" x14ac:dyDescent="0.25">
      <c r="A23" s="119" t="s">
        <v>12</v>
      </c>
      <c r="B23" s="120" t="s">
        <v>55</v>
      </c>
      <c r="C23" s="120" t="s">
        <v>56</v>
      </c>
      <c r="D23" s="121" t="s">
        <v>57</v>
      </c>
      <c r="E23" s="121" t="s">
        <v>58</v>
      </c>
      <c r="F23" s="121" t="s">
        <v>59</v>
      </c>
      <c r="G23" s="122" t="s">
        <v>60</v>
      </c>
      <c r="H23" s="122" t="s">
        <v>61</v>
      </c>
      <c r="I23" s="13"/>
    </row>
    <row r="24" spans="1:11" s="28" customFormat="1" ht="47.25" customHeight="1" thickBot="1" x14ac:dyDescent="0.3">
      <c r="A24" s="123"/>
      <c r="B24" s="124"/>
      <c r="C24" s="124"/>
      <c r="D24" s="125"/>
      <c r="E24" s="125"/>
      <c r="F24" s="125"/>
      <c r="G24" s="126"/>
      <c r="H24" s="126"/>
      <c r="I24" s="13"/>
    </row>
    <row r="25" spans="1:11" s="28" customFormat="1" ht="15.6" thickBot="1" x14ac:dyDescent="0.3">
      <c r="A25" s="127">
        <v>1</v>
      </c>
      <c r="B25" s="128">
        <f>A25+1</f>
        <v>2</v>
      </c>
      <c r="C25" s="128">
        <f t="shared" ref="C25:H25" si="0">B25+1</f>
        <v>3</v>
      </c>
      <c r="D25" s="128">
        <f t="shared" si="0"/>
        <v>4</v>
      </c>
      <c r="E25" s="128">
        <f t="shared" si="0"/>
        <v>5</v>
      </c>
      <c r="F25" s="128">
        <f t="shared" si="0"/>
        <v>6</v>
      </c>
      <c r="G25" s="128">
        <f t="shared" si="0"/>
        <v>7</v>
      </c>
      <c r="H25" s="128">
        <f t="shared" si="0"/>
        <v>8</v>
      </c>
      <c r="I25" s="13"/>
    </row>
    <row r="26" spans="1:11" s="28" customFormat="1" ht="17.25" customHeight="1" x14ac:dyDescent="0.3">
      <c r="A26" s="129" t="s">
        <v>15</v>
      </c>
      <c r="B26" s="130"/>
      <c r="C26" s="130"/>
      <c r="D26" s="130"/>
      <c r="E26" s="130"/>
      <c r="F26" s="130"/>
      <c r="G26" s="130"/>
      <c r="H26" s="131"/>
      <c r="I26" s="13"/>
    </row>
    <row r="27" spans="1:11" s="28" customFormat="1" ht="30" customHeight="1" x14ac:dyDescent="0.3">
      <c r="A27" s="132">
        <v>1</v>
      </c>
      <c r="B27" s="133" t="s">
        <v>44</v>
      </c>
      <c r="C27" s="134">
        <v>1</v>
      </c>
      <c r="D27" s="135" t="s">
        <v>62</v>
      </c>
      <c r="E27" s="136"/>
      <c r="F27" s="136"/>
      <c r="G27" s="136"/>
      <c r="H27" s="137"/>
      <c r="I27" s="138"/>
    </row>
    <row r="28" spans="1:11" s="28" customFormat="1" ht="21.75" customHeight="1" x14ac:dyDescent="0.3">
      <c r="A28" s="132">
        <f>A27+1</f>
        <v>2</v>
      </c>
      <c r="B28" s="139" t="s">
        <v>63</v>
      </c>
      <c r="C28" s="134">
        <v>1</v>
      </c>
      <c r="D28" s="134">
        <f>'[1]01,01,23тарифікація'!L20</f>
        <v>22954.959999999999</v>
      </c>
      <c r="E28" s="134"/>
      <c r="F28" s="134">
        <f>'[1]01,01,23тарифікація'!T20</f>
        <v>6886.4879999999994</v>
      </c>
      <c r="G28" s="140">
        <f>(C28*D28)+E28+F28</f>
        <v>29841.447999999997</v>
      </c>
      <c r="H28" s="141">
        <f>G28*12</f>
        <v>358097.37599999993</v>
      </c>
      <c r="I28" s="138"/>
      <c r="J28" s="142"/>
      <c r="K28" s="143"/>
    </row>
    <row r="29" spans="1:11" s="28" customFormat="1" ht="21.75" customHeight="1" x14ac:dyDescent="0.3">
      <c r="A29" s="132">
        <f>A28+1</f>
        <v>3</v>
      </c>
      <c r="B29" s="139" t="s">
        <v>64</v>
      </c>
      <c r="C29" s="134">
        <v>1</v>
      </c>
      <c r="D29" s="134">
        <f>'[1]01,01,23тарифікація'!L23</f>
        <v>21656</v>
      </c>
      <c r="E29" s="134"/>
      <c r="F29" s="134"/>
      <c r="G29" s="140">
        <f t="shared" ref="G29:G34" si="1">(C29*D29)+E29+F29</f>
        <v>21656</v>
      </c>
      <c r="H29" s="141">
        <f t="shared" ref="H29:H34" si="2">G29*12</f>
        <v>259872</v>
      </c>
      <c r="I29" s="144"/>
      <c r="J29" s="145"/>
    </row>
    <row r="30" spans="1:11" s="28" customFormat="1" ht="16.5" customHeight="1" x14ac:dyDescent="0.3">
      <c r="A30" s="132">
        <v>4</v>
      </c>
      <c r="B30" s="146" t="s">
        <v>65</v>
      </c>
      <c r="C30" s="147">
        <v>1</v>
      </c>
      <c r="D30" s="140">
        <f>'[1]01,01,23тарифікація'!L26</f>
        <v>6108.91</v>
      </c>
      <c r="E30" s="140"/>
      <c r="F30" s="134">
        <f>'[1]01,01,23тарифікація'!T26</f>
        <v>1832.673</v>
      </c>
      <c r="G30" s="140">
        <f t="shared" si="1"/>
        <v>7941.5829999999996</v>
      </c>
      <c r="H30" s="141">
        <f t="shared" si="2"/>
        <v>95298.995999999999</v>
      </c>
      <c r="I30" s="144"/>
      <c r="J30" s="145"/>
    </row>
    <row r="31" spans="1:11" ht="19.5" customHeight="1" x14ac:dyDescent="0.3">
      <c r="A31" s="132">
        <v>5</v>
      </c>
      <c r="B31" s="148" t="s">
        <v>66</v>
      </c>
      <c r="C31" s="149">
        <v>0.5</v>
      </c>
      <c r="D31" s="140">
        <f>('[1]01,01,23тарифікація'!L32+'[1]01,01,23тарифікація'!L33)*C31</f>
        <v>5005</v>
      </c>
      <c r="E31" s="150"/>
      <c r="F31" s="134"/>
      <c r="G31" s="140">
        <f>(C31*D31)+E31+F31</f>
        <v>2502.5</v>
      </c>
      <c r="H31" s="141">
        <f t="shared" si="2"/>
        <v>30030</v>
      </c>
      <c r="I31" s="151"/>
    </row>
    <row r="32" spans="1:11" s="28" customFormat="1" ht="20.25" customHeight="1" x14ac:dyDescent="0.3">
      <c r="A32" s="132">
        <f>A31+1</f>
        <v>6</v>
      </c>
      <c r="B32" s="152" t="s">
        <v>67</v>
      </c>
      <c r="C32" s="140">
        <v>1</v>
      </c>
      <c r="D32" s="140">
        <f>'[1]01,01,23тарифікація'!L29</f>
        <v>4195</v>
      </c>
      <c r="E32" s="140"/>
      <c r="F32" s="134"/>
      <c r="G32" s="140">
        <f t="shared" si="1"/>
        <v>4195</v>
      </c>
      <c r="H32" s="141">
        <f t="shared" si="2"/>
        <v>50340</v>
      </c>
      <c r="I32" s="138"/>
    </row>
    <row r="33" spans="1:11" s="28" customFormat="1" ht="20.25" customHeight="1" x14ac:dyDescent="0.3">
      <c r="A33" s="132">
        <f t="shared" ref="A33:A34" si="3">A32+1</f>
        <v>7</v>
      </c>
      <c r="B33" s="153" t="s">
        <v>68</v>
      </c>
      <c r="C33" s="154">
        <v>3</v>
      </c>
      <c r="D33" s="154">
        <f>('[1]01,01,23тарифікація'!L34+'[1]01,01,23тарифікація'!L37+'[1]01,01,23тарифікація'!L40*'[1]01,01,23тарифікація'!N40+'[1]01,01,23тарифікація'!L43*'[1]01,01,23тарифікація'!N43)/3</f>
        <v>4831.666666666667</v>
      </c>
      <c r="E33" s="154"/>
      <c r="F33" s="155"/>
      <c r="G33" s="140">
        <f t="shared" si="1"/>
        <v>14495</v>
      </c>
      <c r="H33" s="141">
        <f t="shared" si="2"/>
        <v>173940</v>
      </c>
      <c r="I33" s="138"/>
    </row>
    <row r="34" spans="1:11" s="28" customFormat="1" ht="21.75" customHeight="1" thickBot="1" x14ac:dyDescent="0.35">
      <c r="A34" s="132">
        <f t="shared" si="3"/>
        <v>8</v>
      </c>
      <c r="B34" s="156" t="s">
        <v>69</v>
      </c>
      <c r="C34" s="157">
        <v>1</v>
      </c>
      <c r="D34" s="157">
        <f>'[1]01,01,23тарифікація'!L46</f>
        <v>3674</v>
      </c>
      <c r="E34" s="157"/>
      <c r="F34" s="155"/>
      <c r="G34" s="157">
        <f t="shared" si="1"/>
        <v>3674</v>
      </c>
      <c r="H34" s="141">
        <f t="shared" si="2"/>
        <v>44088</v>
      </c>
      <c r="I34" s="377"/>
      <c r="J34" s="378"/>
      <c r="K34" s="378"/>
    </row>
    <row r="35" spans="1:11" s="28" customFormat="1" ht="21.75" customHeight="1" thickBot="1" x14ac:dyDescent="0.4">
      <c r="A35" s="158" t="s">
        <v>70</v>
      </c>
      <c r="B35" s="159"/>
      <c r="C35" s="160">
        <f>SUM(C27:C34)</f>
        <v>9.5</v>
      </c>
      <c r="D35" s="160">
        <f>G35-F35-E35</f>
        <v>75586.37</v>
      </c>
      <c r="E35" s="160">
        <f>SUM(E27:E34)</f>
        <v>0</v>
      </c>
      <c r="F35" s="160">
        <f>SUM(F27:F34)</f>
        <v>8719.1610000000001</v>
      </c>
      <c r="G35" s="161">
        <f>SUM(G28:G34)</f>
        <v>84305.530999999988</v>
      </c>
      <c r="H35" s="162">
        <f>SUM(H28:H34)</f>
        <v>1011666.372</v>
      </c>
      <c r="I35" s="379">
        <f>'[1]01,01,23тарифікація'!X55</f>
        <v>107101.53099999997</v>
      </c>
      <c r="J35" s="380">
        <f>I35-G35</f>
        <v>22795.999999999985</v>
      </c>
      <c r="K35" s="380">
        <f>I35-J35</f>
        <v>84305.530999999988</v>
      </c>
    </row>
    <row r="36" spans="1:11" s="28" customFormat="1" ht="18" customHeight="1" x14ac:dyDescent="0.3">
      <c r="A36" s="129" t="s">
        <v>16</v>
      </c>
      <c r="B36" s="130"/>
      <c r="C36" s="130"/>
      <c r="D36" s="130"/>
      <c r="E36" s="130"/>
      <c r="F36" s="130"/>
      <c r="G36" s="130"/>
      <c r="H36" s="131"/>
      <c r="I36" s="377"/>
      <c r="J36" s="378"/>
      <c r="K36" s="378"/>
    </row>
    <row r="37" spans="1:11" s="28" customFormat="1" ht="21" customHeight="1" x14ac:dyDescent="0.3">
      <c r="A37" s="132">
        <f>A34+1</f>
        <v>9</v>
      </c>
      <c r="B37" s="163" t="s">
        <v>71</v>
      </c>
      <c r="C37" s="140">
        <v>1</v>
      </c>
      <c r="D37" s="140">
        <f>'[1]01,01,23тарифікація'!L56</f>
        <v>21656</v>
      </c>
      <c r="E37" s="140"/>
      <c r="F37" s="140"/>
      <c r="G37" s="140">
        <f>(C37*D37)+E37+F37</f>
        <v>21656</v>
      </c>
      <c r="H37" s="141">
        <f>G37*12</f>
        <v>259872</v>
      </c>
      <c r="I37" s="377"/>
      <c r="J37" s="378"/>
      <c r="K37" s="378"/>
    </row>
    <row r="38" spans="1:11" s="28" customFormat="1" ht="21" customHeight="1" x14ac:dyDescent="0.3">
      <c r="A38" s="164">
        <f>A37+1</f>
        <v>10</v>
      </c>
      <c r="B38" s="165" t="s">
        <v>72</v>
      </c>
      <c r="C38" s="140">
        <v>1</v>
      </c>
      <c r="D38" s="166">
        <f>'[1]01,01,23тарифікація'!L59</f>
        <v>20573.45</v>
      </c>
      <c r="E38" s="167"/>
      <c r="F38" s="167"/>
      <c r="G38" s="140">
        <f>(C38*D38)+E38+F38</f>
        <v>20573.45</v>
      </c>
      <c r="H38" s="141">
        <f t="shared" ref="H38:H39" si="4">G38*12</f>
        <v>246881.40000000002</v>
      </c>
      <c r="I38" s="377"/>
      <c r="J38" s="378"/>
      <c r="K38" s="378"/>
    </row>
    <row r="39" spans="1:11" s="28" customFormat="1" ht="21" customHeight="1" x14ac:dyDescent="0.3">
      <c r="A39" s="168">
        <f>A38+1</f>
        <v>11</v>
      </c>
      <c r="B39" s="163" t="s">
        <v>73</v>
      </c>
      <c r="C39" s="140">
        <f>0.5+0.5+1+1</f>
        <v>3</v>
      </c>
      <c r="D39" s="140">
        <f>('[1]01,01,23тарифікація'!L60*'[1]01,01,23тарифікація'!N60+'[1]01,01,23тарифікація'!L61+'[1]01,01,23тарифікація'!L62+'[1]01,01,23тарифікація'!L63*'[1]01,01,23тарифікація'!N63)/C39</f>
        <v>5265</v>
      </c>
      <c r="E39" s="140"/>
      <c r="F39" s="140"/>
      <c r="G39" s="140">
        <f>(C39*D39)+E39+F39</f>
        <v>15795</v>
      </c>
      <c r="H39" s="141">
        <f t="shared" si="4"/>
        <v>189540</v>
      </c>
      <c r="I39" s="377"/>
      <c r="J39" s="378"/>
      <c r="K39" s="378"/>
    </row>
    <row r="40" spans="1:11" s="28" customFormat="1" ht="21" customHeight="1" thickBot="1" x14ac:dyDescent="0.4">
      <c r="A40" s="169"/>
      <c r="B40" s="170" t="s">
        <v>70</v>
      </c>
      <c r="C40" s="171">
        <f t="shared" ref="C40:H40" si="5">SUM(C37:C39)</f>
        <v>5</v>
      </c>
      <c r="D40" s="172">
        <f>G40-F40-E40</f>
        <v>58024.45</v>
      </c>
      <c r="E40" s="171">
        <f t="shared" si="5"/>
        <v>0</v>
      </c>
      <c r="F40" s="171">
        <f t="shared" si="5"/>
        <v>0</v>
      </c>
      <c r="G40" s="173">
        <f>SUM(G37:G39)</f>
        <v>58024.45</v>
      </c>
      <c r="H40" s="171">
        <f t="shared" si="5"/>
        <v>696293.4</v>
      </c>
      <c r="I40" s="381">
        <f>'[1]01,01,23тарифікація'!W69-'[1]01,01,23тарифікація'!V69</f>
        <v>58024.45</v>
      </c>
      <c r="J40" s="380"/>
      <c r="K40" s="378"/>
    </row>
    <row r="41" spans="1:11" s="28" customFormat="1" ht="18" customHeight="1" thickBot="1" x14ac:dyDescent="0.4">
      <c r="A41" s="174" t="s">
        <v>74</v>
      </c>
      <c r="B41" s="175"/>
      <c r="C41" s="175"/>
      <c r="D41" s="175"/>
      <c r="E41" s="175"/>
      <c r="F41" s="175"/>
      <c r="G41" s="175"/>
      <c r="H41" s="176"/>
      <c r="I41" s="382"/>
      <c r="J41" s="378"/>
      <c r="K41" s="378"/>
    </row>
    <row r="42" spans="1:11" s="28" customFormat="1" ht="16.5" customHeight="1" x14ac:dyDescent="0.3">
      <c r="A42" s="177" t="s">
        <v>17</v>
      </c>
      <c r="B42" s="178"/>
      <c r="C42" s="178"/>
      <c r="D42" s="178"/>
      <c r="E42" s="178"/>
      <c r="F42" s="178"/>
      <c r="G42" s="178"/>
      <c r="H42" s="179"/>
      <c r="I42" s="377"/>
      <c r="J42" s="378"/>
      <c r="K42" s="378"/>
    </row>
    <row r="43" spans="1:11" s="28" customFormat="1" ht="31.5" customHeight="1" x14ac:dyDescent="0.3">
      <c r="A43" s="180">
        <f>A39+1</f>
        <v>12</v>
      </c>
      <c r="B43" s="181" t="s">
        <v>75</v>
      </c>
      <c r="C43" s="182">
        <v>1</v>
      </c>
      <c r="D43" s="182">
        <f>'[1]01,01,23тарифікація'!L72</f>
        <v>8401.2000000000007</v>
      </c>
      <c r="E43" s="182"/>
      <c r="F43" s="182">
        <f>'[1]01,01,23тарифікація'!T72</f>
        <v>2520.36</v>
      </c>
      <c r="G43" s="140">
        <f>(C43*D43)+E43+F43</f>
        <v>10921.560000000001</v>
      </c>
      <c r="H43" s="141">
        <f>G43*12</f>
        <v>131058.72000000002</v>
      </c>
      <c r="I43" s="383"/>
      <c r="J43" s="380"/>
      <c r="K43" s="380"/>
    </row>
    <row r="44" spans="1:11" s="28" customFormat="1" ht="21.75" customHeight="1" x14ac:dyDescent="0.3">
      <c r="A44" s="180">
        <f t="shared" ref="A44:A49" si="6">A43+1</f>
        <v>13</v>
      </c>
      <c r="B44" s="183" t="s">
        <v>76</v>
      </c>
      <c r="C44" s="184">
        <f>0.5+0.5+1+0.5+1+0.5+1</f>
        <v>5</v>
      </c>
      <c r="D44" s="184">
        <f>('[1]01,01,23тарифікація'!L75*'[1]01,01,23тарифікація'!N75+'[1]01,01,23тарифікація'!L78*'[1]01,01,23тарифікація'!M78+'[1]01,01,23тарифікація'!L81*'[1]01,01,23тарифікація'!M81+'[1]01,01,23тарифікація'!L82*'[1]01,01,23тарифікація'!M82+'[1]01,01,23тарифікація'!L85*'[1]01,01,23тарифікація'!N85+'[1]01,01,23тарифікація'!L88*'[1]01,01,23тарифікація'!M88)/C44</f>
        <v>6458.5</v>
      </c>
      <c r="E44" s="184"/>
      <c r="F44" s="184">
        <f>'[1]01,01,23тарифікація'!T75+'[1]01,01,23тарифікація'!T78+'[1]01,01,23тарифікація'!T81+'[1]01,01,23тарифікація'!T82+'[1]01,01,23тарифікація'!T85+'[1]01,01,23тарифікація'!T88</f>
        <v>6989</v>
      </c>
      <c r="G44" s="140">
        <f t="shared" ref="G44:G49" si="7">(C44*D44)+E44+F44</f>
        <v>39281.5</v>
      </c>
      <c r="H44" s="141">
        <f t="shared" ref="H44:H49" si="8">G44*12</f>
        <v>471378</v>
      </c>
      <c r="I44" s="383">
        <f>SUM(G43:G44)</f>
        <v>50203.06</v>
      </c>
      <c r="J44" s="378"/>
      <c r="K44" s="378"/>
    </row>
    <row r="45" spans="1:11" s="28" customFormat="1" ht="21.75" customHeight="1" x14ac:dyDescent="0.3">
      <c r="A45" s="185">
        <f t="shared" si="6"/>
        <v>14</v>
      </c>
      <c r="B45" s="186" t="s">
        <v>77</v>
      </c>
      <c r="C45" s="187">
        <v>1</v>
      </c>
      <c r="D45" s="182">
        <f>'[1]01,01,23тарифікація'!L91</f>
        <v>5505.5</v>
      </c>
      <c r="E45" s="182"/>
      <c r="F45" s="182">
        <f>'[1]01,01,23тарифікація'!T91</f>
        <v>1651.6499999999999</v>
      </c>
      <c r="G45" s="140">
        <f>(C45*D45)+E45+F45</f>
        <v>7157.15</v>
      </c>
      <c r="H45" s="141">
        <f t="shared" si="8"/>
        <v>85885.799999999988</v>
      </c>
      <c r="I45" s="383">
        <f>SUM(G45:G47)</f>
        <v>40684.15</v>
      </c>
      <c r="J45" s="380"/>
      <c r="K45" s="380"/>
    </row>
    <row r="46" spans="1:11" s="28" customFormat="1" ht="21.75" customHeight="1" x14ac:dyDescent="0.3">
      <c r="A46" s="185">
        <f t="shared" si="6"/>
        <v>15</v>
      </c>
      <c r="B46" s="186" t="s">
        <v>78</v>
      </c>
      <c r="C46" s="187">
        <f>'[1]01,01,23тарифікація'!M94+'[1]01,01,23тарифікація'!M100+'[1]01,01,23тарифікація'!M103+'[1]01,01,23тарифікація'!M106+'[1]01,01,23тарифікація'!N109</f>
        <v>4.5</v>
      </c>
      <c r="D46" s="182">
        <f>('[1]01,01,23тарифікація'!L94+'[1]01,01,23тарифікація'!L100+'[1]01,01,23тарифікація'!L103+'[1]01,01,23тарифікація'!L106+'[1]01,01,23тарифікація'!L109*'[1]01,01,23тарифікація'!N109)/C46</f>
        <v>5265</v>
      </c>
      <c r="E46" s="182"/>
      <c r="F46" s="182">
        <f>'[1]01,01,23тарифікація'!T94+'[1]01,01,23тарифікація'!T100+'[1]01,01,23тарифікація'!T103+'[1]01,01,23тарифікація'!T106+'[1]01,01,23тарифікація'!T109</f>
        <v>6581.25</v>
      </c>
      <c r="G46" s="140">
        <f t="shared" si="7"/>
        <v>30273.75</v>
      </c>
      <c r="H46" s="141">
        <f t="shared" si="8"/>
        <v>363285</v>
      </c>
      <c r="I46" s="383"/>
      <c r="J46" s="378"/>
      <c r="K46" s="378"/>
    </row>
    <row r="47" spans="1:11" s="28" customFormat="1" ht="21.75" customHeight="1" x14ac:dyDescent="0.3">
      <c r="A47" s="180">
        <f t="shared" si="6"/>
        <v>16</v>
      </c>
      <c r="B47" s="186" t="s">
        <v>79</v>
      </c>
      <c r="C47" s="187">
        <v>0.5</v>
      </c>
      <c r="D47" s="182">
        <f>('[1]01,01,23тарифікація'!L97*'[1]01,01,23тарифікація'!N97)/C47</f>
        <v>5005</v>
      </c>
      <c r="E47" s="182"/>
      <c r="F47" s="182">
        <f>'[1]01,01,23тарифікація'!T97</f>
        <v>750.75</v>
      </c>
      <c r="G47" s="140">
        <f t="shared" si="7"/>
        <v>3253.25</v>
      </c>
      <c r="H47" s="141">
        <f t="shared" si="8"/>
        <v>39039</v>
      </c>
      <c r="I47" s="383"/>
      <c r="J47" s="378"/>
      <c r="K47" s="378"/>
    </row>
    <row r="48" spans="1:11" s="28" customFormat="1" ht="32.25" customHeight="1" x14ac:dyDescent="0.3">
      <c r="A48" s="180">
        <f t="shared" si="6"/>
        <v>17</v>
      </c>
      <c r="B48" s="188" t="s">
        <v>80</v>
      </c>
      <c r="C48" s="182">
        <v>1</v>
      </c>
      <c r="D48" s="182">
        <f>'[1]01,01,23тарифікація'!L112</f>
        <v>3414</v>
      </c>
      <c r="E48" s="182">
        <f>'[1]01,01,23тарифікація'!Q112</f>
        <v>341.40000000000003</v>
      </c>
      <c r="F48" s="182"/>
      <c r="G48" s="140">
        <f>(C48*D48)+E48+F48</f>
        <v>3755.4</v>
      </c>
      <c r="H48" s="141">
        <f t="shared" si="8"/>
        <v>45064.800000000003</v>
      </c>
      <c r="I48" s="383">
        <f>7900.45-4145.05</f>
        <v>3755.3999999999996</v>
      </c>
      <c r="J48" s="378"/>
      <c r="K48" s="378"/>
    </row>
    <row r="49" spans="1:11" s="28" customFormat="1" ht="21.75" customHeight="1" thickBot="1" x14ac:dyDescent="0.35">
      <c r="A49" s="189">
        <f t="shared" si="6"/>
        <v>18</v>
      </c>
      <c r="B49" s="190" t="s">
        <v>81</v>
      </c>
      <c r="C49" s="191">
        <v>1.5</v>
      </c>
      <c r="D49" s="191">
        <f>('[1]01,01,23тарифікація'!L115*'[1]01,01,23тарифікація'!N115+'[1]01,01,23тарифікація'!L118*'[1]01,01,23тарифікація'!M118)/C49</f>
        <v>3934</v>
      </c>
      <c r="E49" s="191"/>
      <c r="F49" s="191"/>
      <c r="G49" s="140">
        <f t="shared" si="7"/>
        <v>5901</v>
      </c>
      <c r="H49" s="141">
        <f t="shared" si="8"/>
        <v>70812</v>
      </c>
      <c r="I49" s="384">
        <f>14191-8290.09</f>
        <v>5900.91</v>
      </c>
      <c r="J49" s="378"/>
      <c r="K49" s="378"/>
    </row>
    <row r="50" spans="1:11" s="28" customFormat="1" ht="21.75" customHeight="1" thickBot="1" x14ac:dyDescent="0.4">
      <c r="A50" s="192"/>
      <c r="B50" s="193" t="s">
        <v>70</v>
      </c>
      <c r="C50" s="194">
        <f t="shared" ref="C50:H50" si="9">SUM(C43:C49)</f>
        <v>14.5</v>
      </c>
      <c r="D50" s="160">
        <f>G50-F50-E50</f>
        <v>81709.199999999983</v>
      </c>
      <c r="E50" s="194">
        <f t="shared" si="9"/>
        <v>341.40000000000003</v>
      </c>
      <c r="F50" s="194">
        <f t="shared" si="9"/>
        <v>18493.010000000002</v>
      </c>
      <c r="G50" s="195">
        <f>SUM(G43:G49)</f>
        <v>100543.60999999999</v>
      </c>
      <c r="H50" s="196">
        <f t="shared" si="9"/>
        <v>1206523.32</v>
      </c>
      <c r="I50" s="385">
        <f>'[1]01,01,23тарифікація'!W127</f>
        <v>100543.61</v>
      </c>
      <c r="J50" s="380"/>
      <c r="K50" s="378"/>
    </row>
    <row r="51" spans="1:11" s="28" customFormat="1" ht="15" customHeight="1" x14ac:dyDescent="0.3">
      <c r="A51" s="197" t="s">
        <v>18</v>
      </c>
      <c r="B51" s="198"/>
      <c r="C51" s="198"/>
      <c r="D51" s="198"/>
      <c r="E51" s="198"/>
      <c r="F51" s="198"/>
      <c r="G51" s="198"/>
      <c r="H51" s="199"/>
      <c r="I51" s="384"/>
      <c r="J51" s="378"/>
      <c r="K51" s="378"/>
    </row>
    <row r="52" spans="1:11" s="28" customFormat="1" ht="36" customHeight="1" x14ac:dyDescent="0.3">
      <c r="A52" s="168">
        <f>A49+1</f>
        <v>19</v>
      </c>
      <c r="B52" s="181" t="s">
        <v>82</v>
      </c>
      <c r="C52" s="200">
        <v>1</v>
      </c>
      <c r="D52" s="200">
        <f>'[1]01,01,23тарифікація'!L128</f>
        <v>8751.25</v>
      </c>
      <c r="E52" s="200"/>
      <c r="F52" s="200">
        <f>'[1]01,01,23тарифікація'!T128</f>
        <v>2625.375</v>
      </c>
      <c r="G52" s="140">
        <f t="shared" ref="G52:G58" si="10">(C52*D52)+E52+F52</f>
        <v>11376.625</v>
      </c>
      <c r="H52" s="141">
        <f>G52*12</f>
        <v>136519.5</v>
      </c>
      <c r="I52" s="383"/>
      <c r="J52" s="380"/>
      <c r="K52" s="378"/>
    </row>
    <row r="53" spans="1:11" s="28" customFormat="1" ht="20.25" customHeight="1" x14ac:dyDescent="0.3">
      <c r="A53" s="132">
        <f t="shared" ref="A53:A59" si="11">A52+1</f>
        <v>20</v>
      </c>
      <c r="B53" s="181" t="s">
        <v>76</v>
      </c>
      <c r="C53" s="201">
        <f>'[1]01,01,23тарифікація'!N131+'[1]01,01,23тарифікація'!M134+'[1]01,01,23тарифікація'!M137+'[1]01,01,23тарифікація'!M140+'[1]01,01,23тарифікація'!M143+'[1]01,01,23тарифікація'!M146+'[1]01,01,23тарифікація'!M149+'[1]01,01,23тарифікація'!M152+'[1]01,01,23тарифікація'!N155+'[1]01,01,23тарифікація'!M158+'[1]01,01,23тарифікація'!M161+'[1]01,01,23тарифікація'!M162</f>
        <v>10.25</v>
      </c>
      <c r="D53" s="200">
        <f>('[1]01,01,23тарифікація'!L131*'[1]01,01,23тарифікація'!N131+'[1]01,01,23тарифікація'!L134+'[1]01,01,23тарифікація'!L137+'[1]01,01,23тарифікація'!L140+'[1]01,01,23тарифікація'!L143+'[1]01,01,23тарифікація'!L146+'[1]01,01,23тарифікація'!L149+'[1]01,01,23тарифікація'!L152+'[1]01,01,23тарифікація'!L155*'[1]01,01,23тарифікація'!N155+'[1]01,01,23тарифікація'!L158+'[1]01,01,23тарифікація'!L161+'[1]01,01,23тарифікація'!L162*'[1]01,01,23тарифікація'!M162)/C53</f>
        <v>6492.9024390243903</v>
      </c>
      <c r="E53" s="200"/>
      <c r="F53" s="200">
        <f>'[1]01,01,23тарифікація'!T131+'[1]01,01,23тарифікація'!T134+'[1]01,01,23тарифікація'!T137+'[1]01,01,23тарифікація'!T140+'[1]01,01,23тарифікація'!T143+'[1]01,01,23тарифікація'!T146+'[1]01,01,23тарифікація'!T149+'[1]01,01,23тарифікація'!T152+'[1]01,01,23тарифікація'!T155+'[1]01,01,23тарифікація'!T158+'[1]01,01,23тарифікація'!T161+'[1]01,01,23тарифікація'!T162</f>
        <v>15231.449999999995</v>
      </c>
      <c r="G53" s="140">
        <f t="shared" si="10"/>
        <v>81783.7</v>
      </c>
      <c r="H53" s="141">
        <f t="shared" ref="H53:H58" si="12">G53*12</f>
        <v>981404.39999999991</v>
      </c>
      <c r="I53" s="386">
        <f>SUM(G52:G54)</f>
        <v>101697.425</v>
      </c>
      <c r="J53" s="380">
        <f>'[1]01,01,23тарифікація'!W246-'[1]01,01,23тарифікація'!V246</f>
        <v>101697.42499999999</v>
      </c>
      <c r="K53" s="378"/>
    </row>
    <row r="54" spans="1:11" s="28" customFormat="1" ht="20.25" customHeight="1" x14ac:dyDescent="0.3">
      <c r="A54" s="132">
        <f>A53+1</f>
        <v>21</v>
      </c>
      <c r="B54" s="181" t="s">
        <v>83</v>
      </c>
      <c r="C54" s="201">
        <v>1</v>
      </c>
      <c r="D54" s="200">
        <f>'[1]01,01,23тарифікація'!L165</f>
        <v>6567</v>
      </c>
      <c r="E54" s="200"/>
      <c r="F54" s="200">
        <f>'[1]01,01,23тарифікація'!T165</f>
        <v>1970.1</v>
      </c>
      <c r="G54" s="140">
        <f>(C54*D54)+E54+F54</f>
        <v>8537.1</v>
      </c>
      <c r="H54" s="141">
        <f t="shared" si="12"/>
        <v>102445.20000000001</v>
      </c>
      <c r="I54" s="386"/>
      <c r="J54" s="380"/>
      <c r="K54" s="378"/>
    </row>
    <row r="55" spans="1:11" s="28" customFormat="1" ht="31.2" x14ac:dyDescent="0.3">
      <c r="A55" s="132">
        <f>A54+1</f>
        <v>22</v>
      </c>
      <c r="B55" s="202" t="s">
        <v>84</v>
      </c>
      <c r="C55" s="201">
        <v>1</v>
      </c>
      <c r="D55" s="200">
        <f>'[1]01,01,23тарифікація'!L168</f>
        <v>5505.5</v>
      </c>
      <c r="E55" s="200"/>
      <c r="F55" s="200">
        <f>'[1]01,01,23тарифікація'!T168</f>
        <v>1101.1000000000001</v>
      </c>
      <c r="G55" s="140">
        <f t="shared" si="10"/>
        <v>6606.6</v>
      </c>
      <c r="H55" s="141">
        <f t="shared" si="12"/>
        <v>79279.200000000012</v>
      </c>
      <c r="I55" s="383"/>
      <c r="J55" s="380"/>
      <c r="K55" s="378"/>
    </row>
    <row r="56" spans="1:11" s="28" customFormat="1" ht="33" customHeight="1" x14ac:dyDescent="0.3">
      <c r="A56" s="132">
        <f t="shared" si="11"/>
        <v>23</v>
      </c>
      <c r="B56" s="203" t="s">
        <v>85</v>
      </c>
      <c r="C56" s="201">
        <f>1+1+0.25+1+1+1+0.75+1+0.5+1+0.5+1+1</f>
        <v>11</v>
      </c>
      <c r="D56" s="200">
        <f>('[1]01,01,23тарифікація'!L171+'[1]01,01,23тарифікація'!L174+'[1]01,01,23тарифікація'!L175+'[1]01,01,23тарифікація'!L176+'[1]01,01,23тарифікація'!L179+'[1]01,01,23тарифікація'!L182+'[1]01,01,23тарифікація'!L185+'[1]01,01,23тарифікація'!L188*'[1]01,01,23тарифікація'!N188+'[1]01,01,23тарифікація'!L191+'[1]01,01,23тарифікація'!L194*'[1]01,01,23тарифікація'!N194+'[1]01,01,23тарифікація'!L197+'[1]01,01,23тарифікація'!L200)/C56</f>
        <v>5167.772727272727</v>
      </c>
      <c r="E56" s="204"/>
      <c r="F56" s="200">
        <f>'[1]01,01,23тарифікація'!T171+'[1]01,01,23тарифікація'!T174+'[1]01,01,23тарифікація'!T175+'[1]01,01,23тарифікація'!T176+'[1]01,01,23тарифікація'!T179+'[1]01,01,23тарифікація'!T182+'[1]01,01,23тарифікація'!T185+'[1]01,01,23тарифікація'!T188+'[1]01,01,23тарифікація'!T191+'[1]01,01,23тарифікація'!T194+'[1]01,01,23тарифікація'!T197+'[1]01,01,23тарифікація'!T200</f>
        <v>14257.65</v>
      </c>
      <c r="G56" s="140">
        <f t="shared" si="10"/>
        <v>71103.149999999994</v>
      </c>
      <c r="H56" s="141">
        <f t="shared" si="12"/>
        <v>853237.79999999993</v>
      </c>
      <c r="I56" s="383"/>
      <c r="J56" s="380"/>
      <c r="K56" s="380"/>
    </row>
    <row r="57" spans="1:11" s="28" customFormat="1" ht="23.25" customHeight="1" x14ac:dyDescent="0.3">
      <c r="A57" s="180">
        <f t="shared" si="11"/>
        <v>24</v>
      </c>
      <c r="B57" s="203" t="s">
        <v>79</v>
      </c>
      <c r="C57" s="187">
        <v>3</v>
      </c>
      <c r="D57" s="182">
        <f>('[1]01,01,23тарифікація'!L203+'[1]01,01,23тарифікація'!L206+'[1]01,01,23тарифікація'!L209*'[1]01,01,23тарифікація'!N209+'[1]01,01,23тарифікація'!L212*'[1]01,01,23тарифікація'!N212)/C57</f>
        <v>4870</v>
      </c>
      <c r="E57" s="182"/>
      <c r="F57" s="182">
        <f>'[1]01,01,23тарифікація'!T203+'[1]01,01,23тарифікація'!T206+'[1]01,01,23тарифікація'!T209+'[1]01,01,23тарифікація'!T212</f>
        <v>3442.75</v>
      </c>
      <c r="G57" s="140">
        <f t="shared" si="10"/>
        <v>18052.75</v>
      </c>
      <c r="H57" s="141">
        <f t="shared" si="12"/>
        <v>216633</v>
      </c>
      <c r="I57" s="383"/>
      <c r="J57" s="378"/>
      <c r="K57" s="380"/>
    </row>
    <row r="58" spans="1:11" s="28" customFormat="1" ht="30.75" customHeight="1" x14ac:dyDescent="0.3">
      <c r="A58" s="180">
        <f t="shared" si="11"/>
        <v>25</v>
      </c>
      <c r="B58" s="205" t="s">
        <v>86</v>
      </c>
      <c r="C58" s="206">
        <f>1+1+1+0.5+0.5</f>
        <v>4</v>
      </c>
      <c r="D58" s="206">
        <f>('[1]01,01,23тарифікація'!L215+'[1]01,01,23тарифікація'!L218+'[1]01,01,23тарифікація'!L222+'[1]01,01,23тарифікація'!L225*'[1]01,01,23тарифікація'!N225+'[1]01,01,23тарифікація'!L228*'[1]01,01,23тарифікація'!M228)/C58</f>
        <v>3414</v>
      </c>
      <c r="E58" s="206">
        <f>'[1]01,01,23тарифікація'!Q215+'[1]01,01,23тарифікація'!Q218+'[1]01,01,23тарифікація'!Q221+'[1]01,01,23тарифікація'!Q222+'[1]01,01,23тарифікація'!Q225+'[1]01,01,23тарифікація'!Q228</f>
        <v>1365.6000000000001</v>
      </c>
      <c r="F58" s="206"/>
      <c r="G58" s="140">
        <f t="shared" si="10"/>
        <v>15021.6</v>
      </c>
      <c r="H58" s="141">
        <f t="shared" si="12"/>
        <v>180259.20000000001</v>
      </c>
      <c r="I58" s="383"/>
      <c r="J58" s="380"/>
      <c r="K58" s="378"/>
    </row>
    <row r="59" spans="1:11" s="28" customFormat="1" ht="21" customHeight="1" thickBot="1" x14ac:dyDescent="0.35">
      <c r="A59" s="180">
        <f t="shared" si="11"/>
        <v>26</v>
      </c>
      <c r="B59" s="207" t="s">
        <v>87</v>
      </c>
      <c r="C59" s="208">
        <f>1+0.5+1+0.5+0.5+0.5+0.5</f>
        <v>4.5</v>
      </c>
      <c r="D59" s="209">
        <f>('[1]01,01,23тарифікація'!L231+'[1]01,01,23тарифікація'!L234*'[1]01,01,23тарифікація'!N234+'[1]01,01,23тарифікація'!L237+'[1]01,01,23тарифікація'!L240+'[1]01,01,23тарифікація'!L243*'[1]01,01,23тарифікація'!M243)/C59</f>
        <v>3934</v>
      </c>
      <c r="E59" s="209"/>
      <c r="F59" s="209"/>
      <c r="G59" s="140">
        <f>(C59*D59)+E59+F59</f>
        <v>17703</v>
      </c>
      <c r="H59" s="141">
        <f>G59*12</f>
        <v>212436</v>
      </c>
      <c r="I59" s="383"/>
      <c r="J59" s="380"/>
      <c r="K59" s="378"/>
    </row>
    <row r="60" spans="1:11" s="28" customFormat="1" ht="24" customHeight="1" thickBot="1" x14ac:dyDescent="0.4">
      <c r="A60" s="210"/>
      <c r="B60" s="211" t="s">
        <v>70</v>
      </c>
      <c r="C60" s="194">
        <f>SUM(C52:C59)</f>
        <v>35.75</v>
      </c>
      <c r="D60" s="160">
        <f>G60-F60-E60</f>
        <v>190190.5</v>
      </c>
      <c r="E60" s="194">
        <f>SUM(E52:E59)</f>
        <v>1365.6000000000001</v>
      </c>
      <c r="F60" s="212">
        <f>SUM(F52:F59)</f>
        <v>38628.424999999996</v>
      </c>
      <c r="G60" s="195">
        <f>SUM(G52:G59)</f>
        <v>230184.52499999999</v>
      </c>
      <c r="H60" s="213">
        <f>SUM(H52:H59)</f>
        <v>2762214.3</v>
      </c>
      <c r="I60" s="387">
        <f>'[1]01,01,23тарифікація'!X252</f>
        <v>230184.52500000002</v>
      </c>
      <c r="J60" s="380">
        <f>G60-I60</f>
        <v>0</v>
      </c>
      <c r="K60" s="378"/>
    </row>
    <row r="61" spans="1:11" ht="69" customHeight="1" thickBot="1" x14ac:dyDescent="0.4">
      <c r="A61" s="214" t="s">
        <v>12</v>
      </c>
      <c r="B61" s="215" t="s">
        <v>55</v>
      </c>
      <c r="C61" s="215" t="s">
        <v>56</v>
      </c>
      <c r="D61" s="216" t="s">
        <v>57</v>
      </c>
      <c r="E61" s="216" t="s">
        <v>58</v>
      </c>
      <c r="F61" s="217" t="s">
        <v>59</v>
      </c>
      <c r="G61" s="218" t="s">
        <v>60</v>
      </c>
      <c r="H61" s="219" t="s">
        <v>61</v>
      </c>
      <c r="I61" s="384"/>
      <c r="J61" s="388"/>
      <c r="K61" s="388"/>
    </row>
    <row r="62" spans="1:11" ht="21.75" customHeight="1" thickBot="1" x14ac:dyDescent="0.35">
      <c r="A62" s="220">
        <v>1</v>
      </c>
      <c r="B62" s="221">
        <f>A62+1</f>
        <v>2</v>
      </c>
      <c r="C62" s="221">
        <f t="shared" ref="C62:H62" si="13">B62+1</f>
        <v>3</v>
      </c>
      <c r="D62" s="221">
        <f t="shared" si="13"/>
        <v>4</v>
      </c>
      <c r="E62" s="221">
        <f t="shared" si="13"/>
        <v>5</v>
      </c>
      <c r="F62" s="221">
        <f t="shared" si="13"/>
        <v>6</v>
      </c>
      <c r="G62" s="221">
        <f t="shared" si="13"/>
        <v>7</v>
      </c>
      <c r="H62" s="221">
        <f t="shared" si="13"/>
        <v>8</v>
      </c>
      <c r="I62" s="384"/>
      <c r="J62" s="388"/>
      <c r="K62" s="388"/>
    </row>
    <row r="63" spans="1:11" s="28" customFormat="1" ht="18" customHeight="1" x14ac:dyDescent="0.3">
      <c r="A63" s="222" t="s">
        <v>19</v>
      </c>
      <c r="B63" s="223"/>
      <c r="C63" s="223"/>
      <c r="D63" s="223"/>
      <c r="E63" s="223"/>
      <c r="F63" s="223"/>
      <c r="G63" s="223"/>
      <c r="H63" s="224"/>
      <c r="I63" s="389"/>
      <c r="J63" s="378"/>
      <c r="K63" s="380"/>
    </row>
    <row r="64" spans="1:11" s="28" customFormat="1" ht="20.100000000000001" customHeight="1" thickBot="1" x14ac:dyDescent="0.35">
      <c r="A64" s="225">
        <f>A59+1</f>
        <v>27</v>
      </c>
      <c r="B64" s="203" t="s">
        <v>79</v>
      </c>
      <c r="C64" s="187">
        <v>1.5</v>
      </c>
      <c r="D64" s="182">
        <f>('[1]01,01,23тарифікація'!L253*'[1]01,01,23тарифікація'!M253+'[1]01,01,23тарифікація'!L255*'[1]01,01,23тарифікація'!N255+'[1]01,01,23тарифікація'!L258*'[1]01,01,23тарифікація'!N258)/C64</f>
        <v>4870</v>
      </c>
      <c r="E64" s="182"/>
      <c r="F64" s="182">
        <f>'[1]01,01,23тарифікація'!T253+'[1]01,01,23тарифікація'!T255+'[1]01,01,23тарифікація'!T258</f>
        <v>1596.25</v>
      </c>
      <c r="G64" s="226">
        <f>(C64*D64)+E64+F64</f>
        <v>8901.25</v>
      </c>
      <c r="H64" s="141">
        <f>G64*12</f>
        <v>106815</v>
      </c>
      <c r="I64" s="390"/>
      <c r="J64" s="380"/>
      <c r="K64" s="378"/>
    </row>
    <row r="65" spans="1:11" ht="15.75" customHeight="1" thickBot="1" x14ac:dyDescent="0.35">
      <c r="A65" s="220"/>
      <c r="B65" s="221"/>
      <c r="C65" s="128"/>
      <c r="D65" s="227"/>
      <c r="E65" s="227"/>
      <c r="F65" s="227"/>
      <c r="G65" s="228"/>
      <c r="H65" s="229"/>
      <c r="I65" s="379">
        <f>'[1]01,01,23тарифікація'!W267</f>
        <v>8901.25</v>
      </c>
      <c r="J65" s="388"/>
      <c r="K65" s="388"/>
    </row>
    <row r="66" spans="1:11" s="28" customFormat="1" ht="17.25" customHeight="1" x14ac:dyDescent="0.3">
      <c r="A66" s="222" t="s">
        <v>20</v>
      </c>
      <c r="B66" s="223"/>
      <c r="C66" s="223"/>
      <c r="D66" s="223"/>
      <c r="E66" s="223"/>
      <c r="F66" s="223"/>
      <c r="G66" s="223"/>
      <c r="H66" s="224"/>
      <c r="I66" s="383"/>
      <c r="J66" s="380"/>
      <c r="K66" s="378"/>
    </row>
    <row r="67" spans="1:11" s="28" customFormat="1" ht="21" customHeight="1" thickBot="1" x14ac:dyDescent="0.35">
      <c r="A67" s="230">
        <f>A64+1</f>
        <v>28</v>
      </c>
      <c r="B67" s="231" t="s">
        <v>79</v>
      </c>
      <c r="C67" s="208">
        <v>1.5</v>
      </c>
      <c r="D67" s="209">
        <f>('[1]01,01,23тарифікація'!L268+'[1]01,01,23тарифікація'!L271*'[1]01,01,23тарифікація'!N271)/C67</f>
        <v>5005</v>
      </c>
      <c r="E67" s="209"/>
      <c r="F67" s="209">
        <f>'[1]01,01,23тарифікація'!T268+'[1]01,01,23тарифікація'!T271</f>
        <v>2252.25</v>
      </c>
      <c r="G67" s="157">
        <f>(C67*D67)+E67+F67</f>
        <v>9759.75</v>
      </c>
      <c r="H67" s="141">
        <f>G67*12</f>
        <v>117117</v>
      </c>
      <c r="I67" s="383"/>
      <c r="J67" s="380"/>
      <c r="K67" s="378"/>
    </row>
    <row r="68" spans="1:11" s="28" customFormat="1" ht="21" customHeight="1" thickBot="1" x14ac:dyDescent="0.4">
      <c r="A68" s="232"/>
      <c r="B68" s="233" t="s">
        <v>70</v>
      </c>
      <c r="C68" s="194">
        <f t="shared" ref="C68:H68" si="14">SUM(C67)</f>
        <v>1.5</v>
      </c>
      <c r="D68" s="194">
        <f>G68-F68</f>
        <v>7507.5</v>
      </c>
      <c r="E68" s="194">
        <f t="shared" si="14"/>
        <v>0</v>
      </c>
      <c r="F68" s="194">
        <f t="shared" si="14"/>
        <v>2252.25</v>
      </c>
      <c r="G68" s="195">
        <f t="shared" si="14"/>
        <v>9759.75</v>
      </c>
      <c r="H68" s="213">
        <f t="shared" si="14"/>
        <v>117117</v>
      </c>
      <c r="I68" s="379">
        <f>'[1]01,01,23тарифікація'!X280</f>
        <v>9759.7500000000018</v>
      </c>
      <c r="J68" s="380"/>
      <c r="K68" s="378"/>
    </row>
    <row r="69" spans="1:11" s="28" customFormat="1" ht="17.25" customHeight="1" x14ac:dyDescent="0.3">
      <c r="A69" s="234" t="s">
        <v>88</v>
      </c>
      <c r="B69" s="235"/>
      <c r="C69" s="235"/>
      <c r="D69" s="235"/>
      <c r="E69" s="235"/>
      <c r="F69" s="235"/>
      <c r="G69" s="235"/>
      <c r="H69" s="236"/>
      <c r="I69" s="383"/>
      <c r="J69" s="380"/>
      <c r="K69" s="378"/>
    </row>
    <row r="70" spans="1:11" s="28" customFormat="1" ht="21.75" customHeight="1" thickBot="1" x14ac:dyDescent="0.35">
      <c r="A70" s="230">
        <f>A67+1</f>
        <v>29</v>
      </c>
      <c r="B70" s="231" t="s">
        <v>79</v>
      </c>
      <c r="C70" s="208">
        <f>1.5+1.5</f>
        <v>3</v>
      </c>
      <c r="D70" s="209">
        <f>('[1]01,01,23тарифікація'!L281+'[1]01,01,23тарифікація'!L284*'[1]01,01,23тарифікація'!M284+'[1]01,01,23тарифікація'!L286*'[1]01,01,23тарифікація'!N286)/C70</f>
        <v>4802.5</v>
      </c>
      <c r="E70" s="209"/>
      <c r="F70" s="209">
        <f>'[1]01,01,23тарифікація'!T281+'[1]01,01,23тарифікація'!T284+'[1]01,01,23тарифікація'!T286</f>
        <v>3287.25</v>
      </c>
      <c r="G70" s="157">
        <f>(C70*D70)+E70+F70</f>
        <v>17694.75</v>
      </c>
      <c r="H70" s="141">
        <f>G70*12</f>
        <v>212337</v>
      </c>
      <c r="I70" s="383"/>
      <c r="J70" s="380"/>
      <c r="K70" s="378"/>
    </row>
    <row r="71" spans="1:11" s="28" customFormat="1" ht="21.75" customHeight="1" thickBot="1" x14ac:dyDescent="0.4">
      <c r="A71" s="232"/>
      <c r="B71" s="233" t="s">
        <v>70</v>
      </c>
      <c r="C71" s="194">
        <f t="shared" ref="C71:H71" si="15">SUM(C70)</f>
        <v>3</v>
      </c>
      <c r="D71" s="160">
        <f>G71-F71-E71</f>
        <v>14407.5</v>
      </c>
      <c r="E71" s="194">
        <f t="shared" si="15"/>
        <v>0</v>
      </c>
      <c r="F71" s="194">
        <f t="shared" si="15"/>
        <v>3287.25</v>
      </c>
      <c r="G71" s="195">
        <f t="shared" si="15"/>
        <v>17694.75</v>
      </c>
      <c r="H71" s="213">
        <f t="shared" si="15"/>
        <v>212337</v>
      </c>
      <c r="I71" s="387">
        <f>'[1]01,01,23тарифікація'!X295</f>
        <v>17694.75</v>
      </c>
      <c r="J71" s="380"/>
      <c r="K71" s="378"/>
    </row>
    <row r="72" spans="1:11" s="28" customFormat="1" ht="15.75" customHeight="1" x14ac:dyDescent="0.3">
      <c r="A72" s="234" t="s">
        <v>89</v>
      </c>
      <c r="B72" s="235"/>
      <c r="C72" s="235"/>
      <c r="D72" s="235"/>
      <c r="E72" s="235"/>
      <c r="F72" s="235"/>
      <c r="G72" s="235"/>
      <c r="H72" s="236"/>
      <c r="I72" s="390"/>
      <c r="J72" s="378"/>
      <c r="K72" s="378"/>
    </row>
    <row r="73" spans="1:11" s="28" customFormat="1" ht="22.5" customHeight="1" x14ac:dyDescent="0.3">
      <c r="A73" s="225">
        <f>A70+1</f>
        <v>30</v>
      </c>
      <c r="B73" s="237" t="s">
        <v>90</v>
      </c>
      <c r="C73" s="238">
        <v>1</v>
      </c>
      <c r="D73" s="239">
        <f>'[1]01,01,23тарифікація'!L296</f>
        <v>7052.95</v>
      </c>
      <c r="E73" s="239"/>
      <c r="F73" s="239">
        <f>'[1]01,01,23тарифікація'!T296</f>
        <v>2115.8849999999998</v>
      </c>
      <c r="G73" s="240">
        <f>(C73*D73)+E73+F73</f>
        <v>9168.8349999999991</v>
      </c>
      <c r="H73" s="141">
        <f>G73*12</f>
        <v>110026.01999999999</v>
      </c>
      <c r="I73" s="390"/>
      <c r="J73" s="380"/>
      <c r="K73" s="378"/>
    </row>
    <row r="74" spans="1:11" s="28" customFormat="1" ht="22.5" customHeight="1" x14ac:dyDescent="0.3">
      <c r="A74" s="225">
        <f>A73+1</f>
        <v>31</v>
      </c>
      <c r="B74" s="241" t="s">
        <v>91</v>
      </c>
      <c r="C74" s="242">
        <v>2.25</v>
      </c>
      <c r="D74" s="239">
        <f>('[1]01,01,23тарифікація'!L299+'[1]01,01,23тарифікація'!L302*'[1]01,01,23тарифікація'!N302+'[1]01,01,23тарифікація'!L305)/C74</f>
        <v>6054.75</v>
      </c>
      <c r="E74" s="239"/>
      <c r="F74" s="239">
        <f>'[1]01,01,23тарифікація'!T299+'[1]01,01,23тарифікація'!T302+'[1]01,01,23тарифікація'!T305</f>
        <v>4086.9562500000002</v>
      </c>
      <c r="G74" s="240">
        <f>(C74*D74)+E74+F74</f>
        <v>17710.143749999999</v>
      </c>
      <c r="H74" s="141">
        <f t="shared" ref="H74:H76" si="16">G74*12</f>
        <v>212521.72499999998</v>
      </c>
      <c r="I74" s="390"/>
      <c r="J74" s="378"/>
      <c r="K74" s="378"/>
    </row>
    <row r="75" spans="1:11" s="28" customFormat="1" ht="22.5" customHeight="1" x14ac:dyDescent="0.3">
      <c r="A75" s="225">
        <f>A74+1</f>
        <v>32</v>
      </c>
      <c r="B75" s="241" t="s">
        <v>92</v>
      </c>
      <c r="C75" s="242">
        <v>1.25</v>
      </c>
      <c r="D75" s="239">
        <f>('[1]01,01,23тарифікація'!L308+'[1]01,01,23тарифікація'!L311*'[1]01,01,23тарифікація'!N311)/C75</f>
        <v>6054.75</v>
      </c>
      <c r="E75" s="239"/>
      <c r="F75" s="239">
        <f>'[1]01,01,23тарифікація'!T308+'[1]01,01,23тарифікація'!T311</f>
        <v>2270.53125</v>
      </c>
      <c r="G75" s="240">
        <f>(C75*D75)+E75+F75-0.01</f>
        <v>9838.9587499999998</v>
      </c>
      <c r="H75" s="141">
        <f t="shared" si="16"/>
        <v>118067.505</v>
      </c>
      <c r="I75" s="390"/>
      <c r="J75" s="378"/>
      <c r="K75" s="378"/>
    </row>
    <row r="76" spans="1:11" s="28" customFormat="1" ht="22.5" customHeight="1" thickBot="1" x14ac:dyDescent="0.35">
      <c r="A76" s="225">
        <f>A75+1</f>
        <v>33</v>
      </c>
      <c r="B76" s="243" t="s">
        <v>93</v>
      </c>
      <c r="C76" s="244">
        <v>0.5</v>
      </c>
      <c r="D76" s="244">
        <f>('[1]01,01,23тарифікація'!L314*'[1]01,01,23тарифікація'!N314)/C76</f>
        <v>3414</v>
      </c>
      <c r="E76" s="244">
        <f>'[1]01,01,23тарифікація'!Q314</f>
        <v>170.70000000000002</v>
      </c>
      <c r="F76" s="244"/>
      <c r="G76" s="240">
        <f>(C76*D76)+E76+F76</f>
        <v>1877.7</v>
      </c>
      <c r="H76" s="141">
        <f t="shared" si="16"/>
        <v>22532.400000000001</v>
      </c>
      <c r="I76" s="390"/>
      <c r="J76" s="378"/>
      <c r="K76" s="378"/>
    </row>
    <row r="77" spans="1:11" s="28" customFormat="1" ht="22.5" customHeight="1" thickBot="1" x14ac:dyDescent="0.4">
      <c r="A77" s="245"/>
      <c r="B77" s="193" t="s">
        <v>70</v>
      </c>
      <c r="C77" s="246">
        <f t="shared" ref="C77:H77" si="17">SUM(C73:C76)</f>
        <v>5</v>
      </c>
      <c r="D77" s="160">
        <f>G77-F77-E77</f>
        <v>29951.575000000001</v>
      </c>
      <c r="E77" s="246">
        <f t="shared" si="17"/>
        <v>170.70000000000002</v>
      </c>
      <c r="F77" s="246">
        <f t="shared" si="17"/>
        <v>8473.3724999999995</v>
      </c>
      <c r="G77" s="247">
        <f>SUM(G73:G76)+0.01</f>
        <v>38595.647499999999</v>
      </c>
      <c r="H77" s="248">
        <f t="shared" si="17"/>
        <v>463147.65</v>
      </c>
      <c r="I77" s="390">
        <f>'[1]01,01,23тарифікація'!X323</f>
        <v>38595.652499999997</v>
      </c>
      <c r="J77" s="380"/>
      <c r="K77" s="378"/>
    </row>
    <row r="78" spans="1:11" s="28" customFormat="1" ht="21" customHeight="1" x14ac:dyDescent="0.35">
      <c r="A78" s="249" t="s">
        <v>94</v>
      </c>
      <c r="B78" s="250"/>
      <c r="C78" s="250"/>
      <c r="D78" s="250"/>
      <c r="E78" s="250"/>
      <c r="F78" s="250"/>
      <c r="G78" s="250"/>
      <c r="H78" s="251"/>
      <c r="I78" s="389"/>
      <c r="J78" s="380"/>
      <c r="K78" s="378"/>
    </row>
    <row r="79" spans="1:11" s="28" customFormat="1" ht="21" customHeight="1" x14ac:dyDescent="0.3">
      <c r="A79" s="225">
        <f>A76+1</f>
        <v>34</v>
      </c>
      <c r="B79" s="139" t="s">
        <v>95</v>
      </c>
      <c r="C79" s="134">
        <v>1</v>
      </c>
      <c r="D79" s="134">
        <f>'[1]01,01,23тарифікація'!L324</f>
        <v>21656.2</v>
      </c>
      <c r="E79" s="134"/>
      <c r="F79" s="134">
        <f>'[1]01,01,23тарифікація'!T324</f>
        <v>4331.2400000000007</v>
      </c>
      <c r="G79" s="147">
        <f>(C79*D79)+E79+F79</f>
        <v>25987.440000000002</v>
      </c>
      <c r="H79" s="141">
        <f>G79*12</f>
        <v>311849.28000000003</v>
      </c>
      <c r="I79" s="391"/>
      <c r="J79" s="392"/>
      <c r="K79" s="378"/>
    </row>
    <row r="80" spans="1:11" s="28" customFormat="1" ht="21" customHeight="1" thickBot="1" x14ac:dyDescent="0.4">
      <c r="A80" s="252" t="s">
        <v>70</v>
      </c>
      <c r="B80" s="253"/>
      <c r="C80" s="254">
        <f t="shared" ref="C80:H80" si="18">SUM(C79)</f>
        <v>1</v>
      </c>
      <c r="D80" s="172">
        <f>G80-F80-E80</f>
        <v>21656.2</v>
      </c>
      <c r="E80" s="254">
        <f t="shared" si="18"/>
        <v>0</v>
      </c>
      <c r="F80" s="255">
        <f t="shared" si="18"/>
        <v>4331.2400000000007</v>
      </c>
      <c r="G80" s="256">
        <f t="shared" si="18"/>
        <v>25987.440000000002</v>
      </c>
      <c r="H80" s="257">
        <f t="shared" si="18"/>
        <v>311849.28000000003</v>
      </c>
      <c r="I80" s="379">
        <f>'[1]01,01,23тарифікація'!X328</f>
        <v>25987.440000000002</v>
      </c>
      <c r="J80" s="380"/>
      <c r="K80" s="378"/>
    </row>
    <row r="81" spans="1:12" s="28" customFormat="1" ht="18.75" customHeight="1" x14ac:dyDescent="0.3">
      <c r="A81" s="197" t="s">
        <v>24</v>
      </c>
      <c r="B81" s="198"/>
      <c r="C81" s="198"/>
      <c r="D81" s="198"/>
      <c r="E81" s="198"/>
      <c r="F81" s="198"/>
      <c r="G81" s="198"/>
      <c r="H81" s="199"/>
      <c r="I81" s="377"/>
      <c r="J81" s="378"/>
      <c r="K81" s="378"/>
    </row>
    <row r="82" spans="1:12" s="28" customFormat="1" ht="34.5" customHeight="1" x14ac:dyDescent="0.3">
      <c r="A82" s="180">
        <f>A79+1</f>
        <v>35</v>
      </c>
      <c r="B82" s="181" t="s">
        <v>75</v>
      </c>
      <c r="C82" s="182">
        <v>1</v>
      </c>
      <c r="D82" s="182">
        <f>'[1]01,01,23тарифікація'!L329</f>
        <v>7880.4</v>
      </c>
      <c r="E82" s="182"/>
      <c r="F82" s="182">
        <f>'[1]01,01,23тарифікація'!T329</f>
        <v>2364.12</v>
      </c>
      <c r="G82" s="140">
        <f t="shared" ref="G82:G88" si="19">(C82*D82)+E82+F82</f>
        <v>10244.52</v>
      </c>
      <c r="H82" s="141">
        <f>G82*12</f>
        <v>122934.24</v>
      </c>
      <c r="I82" s="383"/>
      <c r="J82" s="380">
        <f>SUM(G82:G83)</f>
        <v>67093.570000000007</v>
      </c>
      <c r="K82" s="378"/>
    </row>
    <row r="83" spans="1:12" s="28" customFormat="1" ht="21.75" customHeight="1" x14ac:dyDescent="0.3">
      <c r="A83" s="258">
        <f t="shared" ref="A83:A88" si="20">A82+1</f>
        <v>36</v>
      </c>
      <c r="B83" s="181" t="s">
        <v>76</v>
      </c>
      <c r="C83" s="187">
        <f>'[1]01,01,23тарифікація'!N331+'[1]01,01,23тарифікація'!M334+'[1]01,01,23тарифікація'!M337+'[1]01,01,23тарифікація'!M340+'[1]01,01,23тарифікація'!M343+'[1]01,01,23тарифікація'!M346+'[1]01,01,23тарифікація'!M347+'[1]01,01,23тарифікація'!M350</f>
        <v>7.5</v>
      </c>
      <c r="D83" s="187">
        <f>('[1]01,01,23тарифікація'!L331*'[1]01,01,23тарифікація'!N331+'[1]01,01,23тарифікація'!L334*'[1]01,01,23тарифікація'!M334+'[1]01,01,23тарифікація'!L337*'[1]01,01,23тарифікація'!M337+'[1]01,01,23тарифікація'!L340*'[1]01,01,23тарифікація'!M340+'[1]01,01,23тарифікація'!L343*'[1]01,01,23тарифікація'!M343+'[1]01,01,23тарифікація'!L346*'[1]01,01,23тарифікація'!M346+'[1]01,01,23тарифікація'!L347*'[1]01,01,23тарифікація'!M347+'[1]01,01,23тарифікація'!L350*'[1]01,01,23тарифікація'!M350)/C83</f>
        <v>6277.666666666667</v>
      </c>
      <c r="E83" s="182"/>
      <c r="F83" s="182">
        <f>'[1]01,01,23тарифікація'!T331+'[1]01,01,23тарифікація'!T334+'[1]01,01,23тарифікація'!T337+'[1]01,01,23тарифікація'!T340+'[1]01,01,23тарифікація'!T343+'[1]01,01,23тарифікація'!T346+'[1]01,01,23тарифікація'!T347+'[1]01,01,23тарифікація'!T350</f>
        <v>9766.5499999999993</v>
      </c>
      <c r="G83" s="140">
        <f t="shared" si="19"/>
        <v>56849.05</v>
      </c>
      <c r="H83" s="141">
        <f t="shared" ref="H83:H88" si="21">G83*12</f>
        <v>682188.60000000009</v>
      </c>
      <c r="I83" s="383"/>
      <c r="J83" s="378"/>
      <c r="K83" s="378"/>
    </row>
    <row r="84" spans="1:12" s="28" customFormat="1" ht="22.5" customHeight="1" x14ac:dyDescent="0.3">
      <c r="A84" s="258">
        <f t="shared" si="20"/>
        <v>37</v>
      </c>
      <c r="B84" s="203" t="s">
        <v>77</v>
      </c>
      <c r="C84" s="187">
        <v>1</v>
      </c>
      <c r="D84" s="182">
        <f>'[1]01,01,23тарифікація'!L353</f>
        <v>5505.5</v>
      </c>
      <c r="E84" s="182"/>
      <c r="F84" s="182">
        <f>'[1]01,01,23тарифікація'!T353</f>
        <v>1651.6499999999999</v>
      </c>
      <c r="G84" s="140">
        <f t="shared" si="19"/>
        <v>7157.15</v>
      </c>
      <c r="H84" s="141">
        <f t="shared" si="21"/>
        <v>85885.799999999988</v>
      </c>
      <c r="I84" s="383"/>
      <c r="J84" s="380">
        <f>SUM(G84:G86)</f>
        <v>53633.4</v>
      </c>
      <c r="K84" s="378"/>
    </row>
    <row r="85" spans="1:12" s="28" customFormat="1" ht="33.75" customHeight="1" x14ac:dyDescent="0.3">
      <c r="A85" s="258">
        <f t="shared" si="20"/>
        <v>38</v>
      </c>
      <c r="B85" s="203" t="s">
        <v>78</v>
      </c>
      <c r="C85" s="187">
        <f>'[1]01,01,23тарифікація'!M359+'[1]01,01,23тарифікація'!M362+'[1]01,01,23тарифікація'!M364+'[1]01,01,23тарифікація'!M366+'[1]01,01,23тарифікація'!M372+'[1]01,01,23тарифікація'!M369</f>
        <v>6</v>
      </c>
      <c r="D85" s="182">
        <f>('[1]01,01,23тарифікація'!L359+'[1]01,01,23тарифікація'!L362+'[1]01,01,23тарифікація'!L364+'[1]01,01,23тарифікація'!L366+'[1]01,01,23тарифікація'!L372+'[1]01,01,23тарифікація'!L369)/C85</f>
        <v>5154.166666666667</v>
      </c>
      <c r="E85" s="182"/>
      <c r="F85" s="182">
        <f>'[1]01,01,23тарифікація'!T359+'[1]01,01,23тарифікація'!T362+'[1]01,01,23тарифікація'!T364+'[1]01,01,23тарифікація'!T366+'[1]01,01,23тарифікація'!T372+'[1]01,01,23тарифікація'!T369</f>
        <v>7008</v>
      </c>
      <c r="G85" s="140">
        <f t="shared" si="19"/>
        <v>37933</v>
      </c>
      <c r="H85" s="141">
        <f t="shared" si="21"/>
        <v>455196</v>
      </c>
      <c r="I85" s="383"/>
      <c r="J85" s="378"/>
      <c r="K85" s="378"/>
    </row>
    <row r="86" spans="1:12" s="28" customFormat="1" ht="21.75" customHeight="1" x14ac:dyDescent="0.3">
      <c r="A86" s="258">
        <f t="shared" si="20"/>
        <v>39</v>
      </c>
      <c r="B86" s="203" t="s">
        <v>79</v>
      </c>
      <c r="C86" s="187">
        <f>0.5+0.5+0.5</f>
        <v>1.5</v>
      </c>
      <c r="D86" s="182">
        <f>('[1]01,01,23тарифікація'!L356*'[1]01,01,23тарифікація'!N356+'[1]01,01,23тарифікація'!L363*'[1]01,01,23тарифікація'!N363+'[1]01,01,23тарифікація'!L365*'[1]01,01,23тарифікація'!N365)/C86</f>
        <v>4735</v>
      </c>
      <c r="E86" s="182"/>
      <c r="F86" s="182">
        <f>'[1]01,01,23тарифікація'!T356+'[1]01,01,23тарифікація'!T363+'[1]01,01,23тарифікація'!T365</f>
        <v>1440.75</v>
      </c>
      <c r="G86" s="140">
        <f t="shared" si="19"/>
        <v>8543.25</v>
      </c>
      <c r="H86" s="141">
        <f t="shared" si="21"/>
        <v>102519</v>
      </c>
      <c r="I86" s="383"/>
      <c r="J86" s="378"/>
      <c r="K86" s="378"/>
    </row>
    <row r="87" spans="1:12" s="28" customFormat="1" ht="31.5" customHeight="1" x14ac:dyDescent="0.3">
      <c r="A87" s="258">
        <f t="shared" si="20"/>
        <v>40</v>
      </c>
      <c r="B87" s="259" t="s">
        <v>80</v>
      </c>
      <c r="C87" s="182">
        <v>1</v>
      </c>
      <c r="D87" s="182">
        <f>'[1]01,01,23тарифікація'!L373</f>
        <v>3414</v>
      </c>
      <c r="E87" s="182">
        <f>'[1]01,01,23тарифікація'!Q373</f>
        <v>341.40000000000003</v>
      </c>
      <c r="F87" s="182"/>
      <c r="G87" s="140">
        <f t="shared" si="19"/>
        <v>3755.4</v>
      </c>
      <c r="H87" s="141">
        <f t="shared" si="21"/>
        <v>45064.800000000003</v>
      </c>
      <c r="I87" s="383"/>
      <c r="J87" s="378"/>
      <c r="K87" s="378"/>
    </row>
    <row r="88" spans="1:12" s="28" customFormat="1" ht="21.75" customHeight="1" thickBot="1" x14ac:dyDescent="0.35">
      <c r="A88" s="260">
        <f t="shared" si="20"/>
        <v>41</v>
      </c>
      <c r="B88" s="207" t="s">
        <v>96</v>
      </c>
      <c r="C88" s="208">
        <v>3</v>
      </c>
      <c r="D88" s="209">
        <f>('[1]01,01,23тарифікація'!L379+'[1]01,01,23тарифікація'!L382+'[1]01,01,23тарифікація'!L376)/'штати '!C88</f>
        <v>3934</v>
      </c>
      <c r="E88" s="209"/>
      <c r="F88" s="209"/>
      <c r="G88" s="157">
        <f t="shared" si="19"/>
        <v>11802</v>
      </c>
      <c r="H88" s="141">
        <f t="shared" si="21"/>
        <v>141624</v>
      </c>
      <c r="I88" s="377"/>
      <c r="J88" s="378"/>
      <c r="K88" s="378"/>
    </row>
    <row r="89" spans="1:12" s="28" customFormat="1" ht="24" customHeight="1" thickBot="1" x14ac:dyDescent="0.4">
      <c r="A89" s="210"/>
      <c r="B89" s="211" t="s">
        <v>70</v>
      </c>
      <c r="C89" s="195">
        <f>SUM(C82:C88)</f>
        <v>21</v>
      </c>
      <c r="D89" s="160">
        <f>G89-F89-E89</f>
        <v>113711.9</v>
      </c>
      <c r="E89" s="194">
        <f>SUM(E82:E88)</f>
        <v>341.40000000000003</v>
      </c>
      <c r="F89" s="194">
        <f>SUM(F82:F88)</f>
        <v>22231.07</v>
      </c>
      <c r="G89" s="195">
        <f>SUM(G82:G88)</f>
        <v>136284.37</v>
      </c>
      <c r="H89" s="213">
        <f>SUM(H82:H88)</f>
        <v>1635412.4400000002</v>
      </c>
      <c r="I89" s="393">
        <f>'[1]01,01,23тарифікація'!W391</f>
        <v>136284.37000000002</v>
      </c>
      <c r="J89" s="380"/>
      <c r="K89" s="380"/>
    </row>
    <row r="90" spans="1:12" s="28" customFormat="1" ht="17.25" customHeight="1" x14ac:dyDescent="0.3">
      <c r="A90" s="197" t="s">
        <v>25</v>
      </c>
      <c r="B90" s="198"/>
      <c r="C90" s="198"/>
      <c r="D90" s="198"/>
      <c r="E90" s="198"/>
      <c r="F90" s="198"/>
      <c r="G90" s="198"/>
      <c r="H90" s="199"/>
      <c r="I90" s="377"/>
      <c r="J90" s="378"/>
      <c r="K90" s="378"/>
    </row>
    <row r="91" spans="1:12" s="28" customFormat="1" ht="21" customHeight="1" x14ac:dyDescent="0.3">
      <c r="A91" s="258">
        <f>A88+1</f>
        <v>42</v>
      </c>
      <c r="B91" s="181" t="s">
        <v>97</v>
      </c>
      <c r="C91" s="187">
        <v>1</v>
      </c>
      <c r="D91" s="261">
        <f>'[1]01,01,23тарифікація'!L392</f>
        <v>8208.75</v>
      </c>
      <c r="E91" s="261"/>
      <c r="F91" s="261">
        <f>'[1]01,01,23тарифікація'!T392</f>
        <v>2462.625</v>
      </c>
      <c r="G91" s="262">
        <f t="shared" ref="G91:G96" si="22">(C91*D91)+E91+F91</f>
        <v>10671.375</v>
      </c>
      <c r="H91" s="141">
        <f>G91*12</f>
        <v>128056.5</v>
      </c>
      <c r="I91" s="383"/>
      <c r="J91" s="380"/>
      <c r="K91" s="378"/>
    </row>
    <row r="92" spans="1:12" s="28" customFormat="1" ht="21" customHeight="1" x14ac:dyDescent="0.3">
      <c r="A92" s="132">
        <f>A91+1</f>
        <v>43</v>
      </c>
      <c r="B92" s="263" t="s">
        <v>98</v>
      </c>
      <c r="C92" s="187">
        <f>'[1]01,01,23тарифікація'!N393+'[1]01,01,23тарифікація'!M394+'[1]01,01,23тарифікація'!M395+'[1]01,01,23тарифікація'!M396+'[1]01,01,23тарифікація'!M397+'[1]01,01,23тарифікація'!M398+'[1]01,01,23тарифікація'!N399+'[1]01,01,23тарифікація'!M400+'[1]01,01,23тарифікація'!M401+'[1]01,01,23тарифікація'!M404</f>
        <v>9</v>
      </c>
      <c r="D92" s="261">
        <f>('[1]01,01,23тарифікація'!L393*'[1]01,01,23тарифікація'!N393+'[1]01,01,23тарифікація'!L394+'[1]01,01,23тарифікація'!L395+'[1]01,01,23тарифікація'!L396+'[1]01,01,23тарифікація'!L397+'[1]01,01,23тарифікація'!L398+'[1]01,01,23тарифікація'!L399*'[1]01,01,23тарифікація'!N399+'[1]01,01,23тарифікація'!L400+'[1]01,01,23тарифікація'!L401+'[1]01,01,23тарифікація'!L404)/C92</f>
        <v>6181.2222222222226</v>
      </c>
      <c r="E92" s="261"/>
      <c r="F92" s="261">
        <f>'[1]01,01,23тарифікація'!T393+'[1]01,01,23тарифікація'!T394+'[1]01,01,23тарифікація'!T395+'[1]01,01,23тарифікація'!T396+'[1]01,01,23тарифікація'!T397+'[1]01,01,23тарифікація'!T398+'[1]01,01,23тарифікація'!T399+'[1]01,01,23тарифікація'!T400+'[1]01,01,23тарифікація'!T401+'[1]01,01,23тарифікація'!T404</f>
        <v>12811.35</v>
      </c>
      <c r="G92" s="262">
        <f t="shared" si="22"/>
        <v>68442.350000000006</v>
      </c>
      <c r="H92" s="141">
        <f t="shared" ref="H92:H96" si="23">G92*12</f>
        <v>821308.20000000007</v>
      </c>
      <c r="I92" s="383"/>
      <c r="J92" s="380"/>
      <c r="K92" s="378"/>
      <c r="L92" s="143"/>
    </row>
    <row r="93" spans="1:12" s="28" customFormat="1" ht="21" customHeight="1" x14ac:dyDescent="0.3">
      <c r="A93" s="132">
        <f>A92+1</f>
        <v>44</v>
      </c>
      <c r="B93" s="203" t="s">
        <v>77</v>
      </c>
      <c r="C93" s="187">
        <v>1</v>
      </c>
      <c r="D93" s="261">
        <f>'[1]01,01,23тарифікація'!L407</f>
        <v>5505.5</v>
      </c>
      <c r="E93" s="261"/>
      <c r="F93" s="261">
        <f>'[1]01,01,23тарифікація'!T407</f>
        <v>1651.6499999999999</v>
      </c>
      <c r="G93" s="262">
        <f t="shared" si="22"/>
        <v>7157.15</v>
      </c>
      <c r="H93" s="141">
        <f t="shared" si="23"/>
        <v>85885.799999999988</v>
      </c>
      <c r="I93" s="383"/>
      <c r="J93" s="380"/>
      <c r="K93" s="378"/>
    </row>
    <row r="94" spans="1:12" s="28" customFormat="1" ht="21" customHeight="1" x14ac:dyDescent="0.3">
      <c r="A94" s="132">
        <f>A93+1</f>
        <v>45</v>
      </c>
      <c r="B94" s="203" t="s">
        <v>79</v>
      </c>
      <c r="C94" s="264">
        <v>11.5</v>
      </c>
      <c r="D94" s="187">
        <f>('[1]01,01,23тарифікація'!L410+'[1]01,01,23тарифікація'!L413+'[1]01,01,23тарифікація'!L416+'[1]01,01,23тарифікація'!L419+'[1]01,01,23тарифікація'!L422+'[1]01,01,23тарифікація'!L425+'[1]01,01,23тарифікація'!L428+'[1]01,01,23тарифікація'!L431+'[1]01,01,23тарифікація'!L434+'[1]01,01,23тарифікація'!L437*'[1]01,01,23тарифікація'!N437+'[1]01,01,23тарифікація'!L440+'[1]01,01,23тарифікація'!L443)/C94</f>
        <v>4969.782608695652</v>
      </c>
      <c r="E94" s="187"/>
      <c r="F94" s="187">
        <f>'[1]01,01,23тарифікація'!T410+'[1]01,01,23тарифікація'!T413+'[1]01,01,23тарифікація'!T416+'[1]01,01,23тарифікація'!T419+'[1]01,01,23тарифікація'!T422+'[1]01,01,23тарифікація'!T425+'[1]01,01,23тарифікація'!T428+'[1]01,01,23тарифікація'!T431+'[1]01,01,23тарифікація'!T434+'[1]01,01,23тарифікація'!T437+'[1]01,01,23тарифікація'!T440+'[1]01,01,23тарифікація'!T443</f>
        <v>14954.25</v>
      </c>
      <c r="G94" s="262">
        <f t="shared" si="22"/>
        <v>72106.75</v>
      </c>
      <c r="H94" s="141">
        <f t="shared" si="23"/>
        <v>865281</v>
      </c>
      <c r="I94" s="383"/>
      <c r="J94" s="378"/>
      <c r="K94" s="378"/>
    </row>
    <row r="95" spans="1:12" s="28" customFormat="1" ht="28.5" customHeight="1" x14ac:dyDescent="0.3">
      <c r="A95" s="132">
        <f>A94+1</f>
        <v>46</v>
      </c>
      <c r="B95" s="259" t="s">
        <v>80</v>
      </c>
      <c r="C95" s="187">
        <v>1.5</v>
      </c>
      <c r="D95" s="187">
        <f>('[1]01,01,23тарифікація'!L446*'[1]01,01,23тарифікація'!N446+'[1]01,01,23тарифікація'!L449)/C95</f>
        <v>3414</v>
      </c>
      <c r="E95" s="187">
        <f>'[1]01,01,23тарифікація'!Q446+'[1]01,01,23тарифікація'!Q449</f>
        <v>512.1</v>
      </c>
      <c r="F95" s="187"/>
      <c r="G95" s="262">
        <f t="shared" si="22"/>
        <v>5633.1</v>
      </c>
      <c r="H95" s="141">
        <f t="shared" si="23"/>
        <v>67597.200000000012</v>
      </c>
      <c r="I95" s="383"/>
      <c r="J95" s="378"/>
      <c r="K95" s="378"/>
    </row>
    <row r="96" spans="1:12" s="28" customFormat="1" ht="21" customHeight="1" thickBot="1" x14ac:dyDescent="0.35">
      <c r="A96" s="265">
        <f>A95+1</f>
        <v>47</v>
      </c>
      <c r="B96" s="207" t="s">
        <v>81</v>
      </c>
      <c r="C96" s="209">
        <v>2</v>
      </c>
      <c r="D96" s="209">
        <f>('[1]01,01,23тарифікація'!L452+'[1]01,01,23тарифікація'!L455)/C96</f>
        <v>3934</v>
      </c>
      <c r="E96" s="209"/>
      <c r="F96" s="209"/>
      <c r="G96" s="266">
        <f t="shared" si="22"/>
        <v>7868</v>
      </c>
      <c r="H96" s="141">
        <f t="shared" si="23"/>
        <v>94416</v>
      </c>
      <c r="I96" s="389"/>
      <c r="J96" s="378"/>
      <c r="K96" s="378"/>
    </row>
    <row r="97" spans="1:11" s="28" customFormat="1" ht="21" customHeight="1" thickBot="1" x14ac:dyDescent="0.4">
      <c r="A97" s="192"/>
      <c r="B97" s="193" t="s">
        <v>70</v>
      </c>
      <c r="C97" s="194">
        <f>SUM(C91:C96)</f>
        <v>26</v>
      </c>
      <c r="D97" s="160">
        <f>G97-F97-E97</f>
        <v>139486.75</v>
      </c>
      <c r="E97" s="194">
        <f>SUM(E91:E96)</f>
        <v>512.1</v>
      </c>
      <c r="F97" s="194">
        <f>SUM(F91:F96)</f>
        <v>31879.875</v>
      </c>
      <c r="G97" s="195">
        <f>SUM(G91:G96)</f>
        <v>171878.72500000001</v>
      </c>
      <c r="H97" s="213">
        <f>SUM(H91:H96)</f>
        <v>2062544.7</v>
      </c>
      <c r="I97" s="385">
        <f>'[1]01,01,23тарифікація'!W464</f>
        <v>171878.72499999995</v>
      </c>
      <c r="J97" s="380"/>
      <c r="K97" s="378"/>
    </row>
    <row r="98" spans="1:11" s="28" customFormat="1" ht="17.25" customHeight="1" x14ac:dyDescent="0.3">
      <c r="A98" s="197" t="s">
        <v>26</v>
      </c>
      <c r="B98" s="198"/>
      <c r="C98" s="198"/>
      <c r="D98" s="198"/>
      <c r="E98" s="198"/>
      <c r="F98" s="198"/>
      <c r="G98" s="198"/>
      <c r="H98" s="199"/>
      <c r="I98" s="389"/>
      <c r="J98" s="378"/>
      <c r="K98" s="378"/>
    </row>
    <row r="99" spans="1:11" s="28" customFormat="1" ht="24.75" customHeight="1" x14ac:dyDescent="0.3">
      <c r="A99" s="258">
        <f>A96+1</f>
        <v>48</v>
      </c>
      <c r="B99" s="181" t="s">
        <v>99</v>
      </c>
      <c r="C99" s="182">
        <v>1</v>
      </c>
      <c r="D99" s="182">
        <f>'[1]01,01,23тарифікація'!L465</f>
        <v>8208.75</v>
      </c>
      <c r="E99" s="182"/>
      <c r="F99" s="182">
        <f>'[1]01,01,23тарифікація'!T465</f>
        <v>2462.625</v>
      </c>
      <c r="G99" s="140">
        <f t="shared" ref="G99:G104" si="24">(C99*D99)+E99+F99</f>
        <v>10671.375</v>
      </c>
      <c r="H99" s="141">
        <f>G99*12</f>
        <v>128056.5</v>
      </c>
      <c r="I99" s="383"/>
      <c r="J99" s="380"/>
      <c r="K99" s="378"/>
    </row>
    <row r="100" spans="1:11" s="28" customFormat="1" ht="24.75" customHeight="1" x14ac:dyDescent="0.3">
      <c r="A100" s="132">
        <f>A99+1</f>
        <v>49</v>
      </c>
      <c r="B100" s="263" t="s">
        <v>98</v>
      </c>
      <c r="C100" s="182">
        <f>'[1]01,01,23тарифікація'!N468+'[1]01,01,23тарифікація'!M471+'[1]01,01,23тарифікація'!M474+'[1]01,01,23тарифікація'!M477+'[1]01,01,23тарифікація'!M480+'[1]01,01,23тарифікація'!M483+'[1]01,01,23тарифікація'!M486+'[1]01,01,23тарифікація'!M489+'[1]01,01,23тарифікація'!M492</f>
        <v>8.5</v>
      </c>
      <c r="D100" s="182">
        <f>('[1]01,01,23тарифікація'!L468*'[1]01,01,23тарифікація'!N468+'[1]01,01,23тарифікація'!L471+'[1]01,01,23тарифікація'!L474+'[1]01,01,23тарифікація'!L477+'[1]01,01,23тарифікація'!L480+'[1]01,01,23тарифікація'!L483+'[1]01,01,23тарифікація'!L486+'[1]01,01,23тарифікація'!L489+'[1]01,01,23тарифікація'!L492)/C100</f>
        <v>6133</v>
      </c>
      <c r="E100" s="182"/>
      <c r="F100" s="182">
        <f>'[1]01,01,23тарифікація'!T468+'[1]01,01,23тарифікація'!T471+'[1]01,01,23тарифікація'!T474+'[1]01,01,23тарифікація'!T477+'[1]01,01,23тарифікація'!T480+'[1]01,01,23тарифікація'!T483+'[1]01,01,23тарифікація'!T486+'[1]01,01,23тарифікація'!T489+'[1]01,01,23тарифікація'!T492</f>
        <v>13042.049999999997</v>
      </c>
      <c r="G100" s="140">
        <f t="shared" si="24"/>
        <v>65172.549999999996</v>
      </c>
      <c r="H100" s="141">
        <f t="shared" ref="H100:H104" si="25">G100*12</f>
        <v>782070.6</v>
      </c>
      <c r="I100" s="383"/>
      <c r="J100" s="380"/>
      <c r="K100" s="378"/>
    </row>
    <row r="101" spans="1:11" s="28" customFormat="1" ht="24.75" customHeight="1" x14ac:dyDescent="0.3">
      <c r="A101" s="132">
        <f>A100+1</f>
        <v>50</v>
      </c>
      <c r="B101" s="203" t="s">
        <v>77</v>
      </c>
      <c r="C101" s="187">
        <v>1</v>
      </c>
      <c r="D101" s="182">
        <f>'[1]01,01,23тарифікація'!L495</f>
        <v>5505.5</v>
      </c>
      <c r="E101" s="182"/>
      <c r="F101" s="182">
        <f>'[1]01,01,23тарифікація'!T495</f>
        <v>1651.6499999999999</v>
      </c>
      <c r="G101" s="140">
        <f t="shared" si="24"/>
        <v>7157.15</v>
      </c>
      <c r="H101" s="141">
        <f t="shared" si="25"/>
        <v>85885.799999999988</v>
      </c>
      <c r="I101" s="383"/>
      <c r="J101" s="378"/>
      <c r="K101" s="378"/>
    </row>
    <row r="102" spans="1:11" s="28" customFormat="1" ht="19.5" customHeight="1" x14ac:dyDescent="0.3">
      <c r="A102" s="132">
        <f>A101+1</f>
        <v>51</v>
      </c>
      <c r="B102" s="203" t="s">
        <v>100</v>
      </c>
      <c r="C102" s="187">
        <f>'[1]01,01,23тарифікація'!M498+'[1]01,01,23тарифікація'!M501+'[1]01,01,23тарифікація'!M504+'[1]01,01,23тарифікація'!M510+'[1]01,01,23тарифікація'!M507+'[1]01,01,23тарифікація'!N513+'[1]01,01,23тарифікація'!M516+'[1]01,01,23тарифікація'!M519+'[1]01,01,23тарифікація'!N522+'[1]01,01,23тарифікація'!M525</f>
        <v>9</v>
      </c>
      <c r="D102" s="182">
        <f>('[1]01,01,23тарифікація'!L498+'[1]01,01,23тарифікація'!L501+'[1]01,01,23тарифікація'!L504+'[1]01,01,23тарифікація'!L507+'[1]01,01,23тарифікація'!L510+'[1]01,01,23тарифікація'!L513*'[1]01,01,23тарифікація'!N513+'[1]01,01,23тарифікація'!L516+'[1]01,01,23тарифікація'!L519+'[1]01,01,23тарифікація'!L522*'[1]01,01,23тарифікація'!N522+'[1]01,01,23тарифікація'!L525)/C102</f>
        <v>4841.1111111111113</v>
      </c>
      <c r="E102" s="182"/>
      <c r="F102" s="187">
        <f>'[1]01,01,23тарифікація'!T498+'[1]01,01,23тарифікація'!T501+'[1]01,01,23тарифікація'!T504+'[1]01,01,23тарифікація'!T507+'[1]01,01,23тарифікація'!T510+'[1]01,01,23тарифікація'!T513+'[1]01,01,23тарифікація'!T516+'[1]01,01,23тарифікація'!T519+'[1]01,01,23тарифікація'!T522+'[1]01,01,23тарифікація'!T525</f>
        <v>11461</v>
      </c>
      <c r="G102" s="140">
        <f t="shared" si="24"/>
        <v>55031</v>
      </c>
      <c r="H102" s="141">
        <f t="shared" si="25"/>
        <v>660372</v>
      </c>
      <c r="I102" s="383"/>
      <c r="J102" s="378"/>
      <c r="K102" s="378"/>
    </row>
    <row r="103" spans="1:11" s="28" customFormat="1" ht="28.5" customHeight="1" x14ac:dyDescent="0.3">
      <c r="A103" s="132">
        <f>A102+1</f>
        <v>52</v>
      </c>
      <c r="B103" s="202" t="s">
        <v>80</v>
      </c>
      <c r="C103" s="182">
        <v>1</v>
      </c>
      <c r="D103" s="182">
        <f>'[1]01,01,23тарифікація'!L528</f>
        <v>3414</v>
      </c>
      <c r="E103" s="182">
        <f>'[1]01,01,23тарифікація'!Q528</f>
        <v>341.40000000000003</v>
      </c>
      <c r="F103" s="182"/>
      <c r="G103" s="140">
        <f t="shared" si="24"/>
        <v>3755.4</v>
      </c>
      <c r="H103" s="141">
        <f t="shared" si="25"/>
        <v>45064.800000000003</v>
      </c>
      <c r="I103" s="383"/>
      <c r="J103" s="378"/>
      <c r="K103" s="378"/>
    </row>
    <row r="104" spans="1:11" s="28" customFormat="1" ht="24.75" customHeight="1" thickBot="1" x14ac:dyDescent="0.35">
      <c r="A104" s="265">
        <f>A103+1</f>
        <v>53</v>
      </c>
      <c r="B104" s="207" t="s">
        <v>101</v>
      </c>
      <c r="C104" s="208">
        <v>2</v>
      </c>
      <c r="D104" s="209">
        <f>('[1]01,01,23тарифікація'!L531+'[1]01,01,23тарифікація'!L534)/C104</f>
        <v>3934</v>
      </c>
      <c r="E104" s="209"/>
      <c r="F104" s="209"/>
      <c r="G104" s="157">
        <f t="shared" si="24"/>
        <v>7868</v>
      </c>
      <c r="H104" s="141">
        <f t="shared" si="25"/>
        <v>94416</v>
      </c>
      <c r="I104" s="377"/>
      <c r="J104" s="378"/>
      <c r="K104" s="378"/>
    </row>
    <row r="105" spans="1:11" s="28" customFormat="1" ht="22.5" customHeight="1" thickBot="1" x14ac:dyDescent="0.4">
      <c r="A105" s="192"/>
      <c r="B105" s="193" t="s">
        <v>70</v>
      </c>
      <c r="C105" s="194">
        <f t="shared" ref="C105:H105" si="26">SUM(C99:C104)</f>
        <v>22.5</v>
      </c>
      <c r="D105" s="160">
        <f>G105-F105-E105</f>
        <v>120696.74999999999</v>
      </c>
      <c r="E105" s="194">
        <f t="shared" si="26"/>
        <v>341.40000000000003</v>
      </c>
      <c r="F105" s="194">
        <f t="shared" si="26"/>
        <v>28617.324999999997</v>
      </c>
      <c r="G105" s="195">
        <f t="shared" si="26"/>
        <v>149655.47499999998</v>
      </c>
      <c r="H105" s="213">
        <f t="shared" si="26"/>
        <v>1795865.7</v>
      </c>
      <c r="I105" s="379">
        <f>'[1]01,01,23тарифікація'!W543</f>
        <v>149655.47500000003</v>
      </c>
      <c r="J105" s="380"/>
      <c r="K105" s="380"/>
    </row>
    <row r="106" spans="1:11" s="28" customFormat="1" ht="16.5" customHeight="1" x14ac:dyDescent="0.3">
      <c r="A106" s="234" t="s">
        <v>102</v>
      </c>
      <c r="B106" s="235"/>
      <c r="C106" s="235"/>
      <c r="D106" s="235"/>
      <c r="E106" s="235"/>
      <c r="F106" s="235"/>
      <c r="G106" s="235"/>
      <c r="H106" s="236"/>
      <c r="I106" s="383"/>
      <c r="J106" s="380"/>
      <c r="K106" s="378"/>
    </row>
    <row r="107" spans="1:11" s="28" customFormat="1" ht="20.25" customHeight="1" thickBot="1" x14ac:dyDescent="0.4">
      <c r="A107" s="265">
        <f>A104+1</f>
        <v>54</v>
      </c>
      <c r="B107" s="231" t="s">
        <v>79</v>
      </c>
      <c r="C107" s="267">
        <v>3.5</v>
      </c>
      <c r="D107" s="209">
        <f>('[1]01,01,23тарифікація'!L544+'[1]01,01,23тарифікація'!L547+'[1]01,01,23тарифікація'!L548*'[1]01,01,23тарифікація'!N548+'[1]01,01,23тарифікація'!L551)/C107</f>
        <v>4525.7142857142853</v>
      </c>
      <c r="E107" s="268"/>
      <c r="F107" s="209">
        <f>'[1]01,01,23тарифікація'!T544+'[1]01,01,23тарифікація'!T547+'[1]01,01,23тарифікація'!T548+'[1]01,01,23тарифікація'!T551</f>
        <v>2768</v>
      </c>
      <c r="G107" s="157">
        <f>(C107*D107)+E107+F107</f>
        <v>18608</v>
      </c>
      <c r="H107" s="141">
        <f>G107*12</f>
        <v>223296</v>
      </c>
      <c r="I107" s="383"/>
      <c r="J107" s="380"/>
      <c r="K107" s="378"/>
    </row>
    <row r="108" spans="1:11" s="28" customFormat="1" ht="22.5" customHeight="1" thickBot="1" x14ac:dyDescent="0.4">
      <c r="A108" s="192"/>
      <c r="B108" s="193" t="s">
        <v>70</v>
      </c>
      <c r="C108" s="194">
        <f t="shared" ref="C108:H108" si="27">SUM(C107)</f>
        <v>3.5</v>
      </c>
      <c r="D108" s="160">
        <f>G108-F108-E108</f>
        <v>15840</v>
      </c>
      <c r="E108" s="194">
        <f t="shared" si="27"/>
        <v>0</v>
      </c>
      <c r="F108" s="194">
        <f t="shared" si="27"/>
        <v>2768</v>
      </c>
      <c r="G108" s="195">
        <f t="shared" si="27"/>
        <v>18608</v>
      </c>
      <c r="H108" s="213">
        <f t="shared" si="27"/>
        <v>223296</v>
      </c>
      <c r="I108" s="379">
        <f>'[1]01,01,23тарифікація'!W560</f>
        <v>18608.000000000004</v>
      </c>
      <c r="J108" s="380"/>
      <c r="K108" s="378"/>
    </row>
    <row r="109" spans="1:11" s="28" customFormat="1" ht="18.75" customHeight="1" x14ac:dyDescent="0.3">
      <c r="A109" s="222" t="s">
        <v>103</v>
      </c>
      <c r="B109" s="223"/>
      <c r="C109" s="223"/>
      <c r="D109" s="223"/>
      <c r="E109" s="223"/>
      <c r="F109" s="223"/>
      <c r="G109" s="223"/>
      <c r="H109" s="224"/>
      <c r="I109" s="383"/>
      <c r="J109" s="380"/>
      <c r="K109" s="378"/>
    </row>
    <row r="110" spans="1:11" s="28" customFormat="1" ht="21.75" customHeight="1" x14ac:dyDescent="0.35">
      <c r="A110" s="168">
        <f>A107</f>
        <v>54</v>
      </c>
      <c r="B110" s="269" t="s">
        <v>104</v>
      </c>
      <c r="C110" s="182">
        <f>'[1]01,01,23тарифікація'!M571</f>
        <v>1</v>
      </c>
      <c r="D110" s="182">
        <f>('[1]01,01,23тарифікація'!L571)/C110</f>
        <v>5265</v>
      </c>
      <c r="E110" s="270"/>
      <c r="F110" s="182">
        <f>'[1]01,01,23тарифікація'!T571</f>
        <v>1053</v>
      </c>
      <c r="G110" s="140">
        <f>(C110*D110)+E110+F110</f>
        <v>6318</v>
      </c>
      <c r="H110" s="141">
        <f>G110*12</f>
        <v>75816</v>
      </c>
      <c r="I110" s="383"/>
      <c r="J110" s="380"/>
      <c r="K110" s="378"/>
    </row>
    <row r="111" spans="1:11" s="28" customFormat="1" ht="21.75" customHeight="1" x14ac:dyDescent="0.3">
      <c r="A111" s="168">
        <f>A110+1</f>
        <v>55</v>
      </c>
      <c r="B111" s="271" t="s">
        <v>105</v>
      </c>
      <c r="C111" s="187">
        <f>'[1]01,01,23тарифікація'!N561+'[1]01,01,23тарифікація'!M564+'[1]01,01,23тарифікація'!N565+'[1]01,01,23тарифікація'!M568</f>
        <v>2.5</v>
      </c>
      <c r="D111" s="182">
        <f>('[1]01,01,23тарифікація'!L561*'[1]01,01,23тарифікація'!N561+'[1]01,01,23тарифікація'!L564*'[1]01,01,23тарифікація'!M564+'[1]01,01,23тарифікація'!L565*'[1]01,01,23тарифікація'!N565+'[1]01,01,23тарифікація'!L568*'[1]01,01,23тарифікація'!M568)/C111</f>
        <v>6827.4</v>
      </c>
      <c r="E111" s="182"/>
      <c r="F111" s="182">
        <f>'[1]01,01,23тарифікація'!T561+'[1]01,01,23тарифікація'!T564+'[1]01,01,23тарифікація'!T565+'[1]01,01,23тарифікація'!T568</f>
        <v>5120.5499999999993</v>
      </c>
      <c r="G111" s="140">
        <f>(C111*D111)+E111+F111</f>
        <v>22189.05</v>
      </c>
      <c r="H111" s="141">
        <f t="shared" ref="H111:H113" si="28">G111*12</f>
        <v>266268.59999999998</v>
      </c>
      <c r="I111" s="394">
        <f>SUM(G110:G111)</f>
        <v>28507.05</v>
      </c>
      <c r="J111" s="380"/>
      <c r="K111" s="378"/>
    </row>
    <row r="112" spans="1:11" s="28" customFormat="1" ht="21.75" customHeight="1" x14ac:dyDescent="0.3">
      <c r="A112" s="168">
        <f>A111+1</f>
        <v>56</v>
      </c>
      <c r="B112" s="203" t="s">
        <v>85</v>
      </c>
      <c r="C112" s="201">
        <v>1</v>
      </c>
      <c r="D112" s="187">
        <f>('[1]01,01,23тарифікація'!L574*'[1]01,01,23тарифікація'!N574+'[1]01,01,23тарифікація'!L580*'[1]01,01,23тарифікація'!N580)/C112</f>
        <v>5265</v>
      </c>
      <c r="E112" s="182"/>
      <c r="F112" s="182">
        <f>'[1]01,01,23тарифікація'!T574+'[1]01,01,23тарифікація'!T580</f>
        <v>1316.25</v>
      </c>
      <c r="G112" s="140">
        <f>(C112*D112)+E112+F112</f>
        <v>6581.25</v>
      </c>
      <c r="H112" s="141">
        <f t="shared" si="28"/>
        <v>78975</v>
      </c>
      <c r="I112" s="394">
        <f>SUM(G112:G113)</f>
        <v>25099.75</v>
      </c>
      <c r="J112" s="380"/>
      <c r="K112" s="378"/>
    </row>
    <row r="113" spans="1:11" s="28" customFormat="1" ht="21.75" customHeight="1" thickBot="1" x14ac:dyDescent="0.35">
      <c r="A113" s="230">
        <f>A112+1</f>
        <v>57</v>
      </c>
      <c r="B113" s="231" t="s">
        <v>106</v>
      </c>
      <c r="C113" s="208">
        <v>3</v>
      </c>
      <c r="D113" s="267">
        <f>('[1]01,01,23тарифікація'!L577+'[1]01,01,23тарифікація'!L581+'[1]01,01,23тарифікація'!L584*'[1]01,01,23тарифікація'!N584+'[1]01,01,23тарифікація'!L587*'[1]01,01,23тарифікація'!M587)/C113</f>
        <v>5005</v>
      </c>
      <c r="E113" s="209"/>
      <c r="F113" s="209">
        <f>'[1]01,01,23тарифікація'!T577+'[1]01,01,23тарифікація'!T581+'[1]01,01,23тарифікація'!T584+'[1]01,01,23тарифікація'!T587</f>
        <v>3503.5</v>
      </c>
      <c r="G113" s="157">
        <f>(C113*D113)+E113+F113</f>
        <v>18518.5</v>
      </c>
      <c r="H113" s="141">
        <f t="shared" si="28"/>
        <v>222222</v>
      </c>
      <c r="I113" s="394"/>
      <c r="J113" s="380"/>
      <c r="K113" s="378"/>
    </row>
    <row r="114" spans="1:11" s="28" customFormat="1" ht="21.75" customHeight="1" thickBot="1" x14ac:dyDescent="0.4">
      <c r="A114" s="232"/>
      <c r="B114" s="233" t="s">
        <v>70</v>
      </c>
      <c r="C114" s="194">
        <f>SUM(C110:C113)</f>
        <v>7.5</v>
      </c>
      <c r="D114" s="160">
        <f>G114-F114-E114</f>
        <v>42613.5</v>
      </c>
      <c r="E114" s="195">
        <f>SUM(E110:E113)</f>
        <v>0</v>
      </c>
      <c r="F114" s="195">
        <f>SUM(F110:F113)</f>
        <v>10993.3</v>
      </c>
      <c r="G114" s="195">
        <f>SUM(G110:G113)</f>
        <v>53606.8</v>
      </c>
      <c r="H114" s="272">
        <f>SUM(H110:H113)</f>
        <v>643281.6</v>
      </c>
      <c r="I114" s="379">
        <f>'[1]01,01,23тарифікація'!X596</f>
        <v>53606.799999999996</v>
      </c>
      <c r="J114" s="380"/>
      <c r="K114" s="378"/>
    </row>
    <row r="115" spans="1:11" s="28" customFormat="1" ht="60" customHeight="1" thickBot="1" x14ac:dyDescent="0.35">
      <c r="A115" s="273" t="s">
        <v>12</v>
      </c>
      <c r="B115" s="274" t="s">
        <v>55</v>
      </c>
      <c r="C115" s="274" t="s">
        <v>56</v>
      </c>
      <c r="D115" s="275" t="s">
        <v>57</v>
      </c>
      <c r="E115" s="275" t="s">
        <v>58</v>
      </c>
      <c r="F115" s="276" t="s">
        <v>59</v>
      </c>
      <c r="G115" s="277" t="s">
        <v>60</v>
      </c>
      <c r="H115" s="219" t="s">
        <v>61</v>
      </c>
      <c r="I115" s="395"/>
      <c r="J115" s="378"/>
      <c r="K115" s="378"/>
    </row>
    <row r="116" spans="1:11" s="28" customFormat="1" ht="16.2" thickBot="1" x14ac:dyDescent="0.35">
      <c r="A116" s="278">
        <v>1</v>
      </c>
      <c r="B116" s="279">
        <f>A116+1</f>
        <v>2</v>
      </c>
      <c r="C116" s="280">
        <v>3</v>
      </c>
      <c r="D116" s="281">
        <v>4</v>
      </c>
      <c r="E116" s="281">
        <v>5</v>
      </c>
      <c r="F116" s="281">
        <v>6</v>
      </c>
      <c r="G116" s="282">
        <v>9</v>
      </c>
      <c r="H116" s="283">
        <v>10</v>
      </c>
      <c r="I116" s="396"/>
      <c r="J116" s="378"/>
      <c r="K116" s="378"/>
    </row>
    <row r="117" spans="1:11" s="28" customFormat="1" ht="18.75" customHeight="1" x14ac:dyDescent="0.3">
      <c r="A117" s="234" t="s">
        <v>29</v>
      </c>
      <c r="B117" s="235"/>
      <c r="C117" s="235"/>
      <c r="D117" s="235"/>
      <c r="E117" s="235"/>
      <c r="F117" s="235"/>
      <c r="G117" s="235"/>
      <c r="H117" s="236"/>
      <c r="I117" s="390"/>
      <c r="J117" s="378"/>
      <c r="K117" s="378"/>
    </row>
    <row r="118" spans="1:11" s="28" customFormat="1" ht="21" customHeight="1" x14ac:dyDescent="0.3">
      <c r="A118" s="284">
        <f>A113+1</f>
        <v>58</v>
      </c>
      <c r="B118" s="285" t="s">
        <v>107</v>
      </c>
      <c r="C118" s="286">
        <v>1</v>
      </c>
      <c r="D118" s="182">
        <f>'[1]01,01,23тарифікація'!L597</f>
        <v>7223.7</v>
      </c>
      <c r="E118" s="287"/>
      <c r="F118" s="182">
        <f>'[1]01,01,23тарифікація'!T597</f>
        <v>2167.1099999999997</v>
      </c>
      <c r="G118" s="240">
        <f>(C118*D118)+E118+F118</f>
        <v>9390.81</v>
      </c>
      <c r="H118" s="141">
        <f>G118*12</f>
        <v>112689.72</v>
      </c>
      <c r="I118" s="390"/>
      <c r="J118" s="380"/>
      <c r="K118" s="378"/>
    </row>
    <row r="119" spans="1:11" s="28" customFormat="1" ht="21" customHeight="1" x14ac:dyDescent="0.3">
      <c r="A119" s="284">
        <f>A118+1</f>
        <v>59</v>
      </c>
      <c r="B119" s="288" t="s">
        <v>105</v>
      </c>
      <c r="C119" s="286">
        <v>1</v>
      </c>
      <c r="D119" s="182">
        <f>'[1]01,01,23тарифікація'!L600</f>
        <v>6350</v>
      </c>
      <c r="E119" s="287"/>
      <c r="F119" s="182">
        <f>'[1]01,01,23тарифікація'!T600</f>
        <v>952.5</v>
      </c>
      <c r="G119" s="240">
        <f>(C119*D119)+E119+F119</f>
        <v>7302.5</v>
      </c>
      <c r="H119" s="141">
        <f t="shared" ref="H119:H121" si="29">G119*12</f>
        <v>87630</v>
      </c>
      <c r="I119" s="390"/>
      <c r="J119" s="380"/>
      <c r="K119" s="378"/>
    </row>
    <row r="120" spans="1:11" s="28" customFormat="1" ht="21" customHeight="1" x14ac:dyDescent="0.3">
      <c r="A120" s="284">
        <f>A119+1</f>
        <v>60</v>
      </c>
      <c r="B120" s="186" t="s">
        <v>77</v>
      </c>
      <c r="C120" s="187">
        <v>1</v>
      </c>
      <c r="D120" s="182">
        <f>'[1]01,01,23тарифікація'!L603</f>
        <v>5505.5</v>
      </c>
      <c r="E120" s="182"/>
      <c r="F120" s="182">
        <f>'[1]01,01,23тарифікація'!T603</f>
        <v>1651.6499999999999</v>
      </c>
      <c r="G120" s="240">
        <f>(C120*D120)+E120+F120</f>
        <v>7157.15</v>
      </c>
      <c r="H120" s="141">
        <f t="shared" si="29"/>
        <v>85885.799999999988</v>
      </c>
      <c r="I120" s="390"/>
      <c r="J120" s="380"/>
      <c r="K120" s="378"/>
    </row>
    <row r="121" spans="1:11" s="28" customFormat="1" ht="21" customHeight="1" thickBot="1" x14ac:dyDescent="0.35">
      <c r="A121" s="284">
        <f>A120+1</f>
        <v>61</v>
      </c>
      <c r="B121" s="289" t="s">
        <v>79</v>
      </c>
      <c r="C121" s="290">
        <f>'[1]01,01,23тарифікація'!N606+'[1]01,01,23тарифікація'!M609+'[1]01,01,23тарифікація'!M612+'[1]01,01,23тарифікація'!N615+'[1]01,01,23тарифікація'!M618</f>
        <v>4</v>
      </c>
      <c r="D121" s="291">
        <f>('[1]01,01,23тарифікація'!L606*'[1]01,01,23тарифікація'!N606+'[1]01,01,23тарифікація'!L609+'[1]01,01,23тарифікація'!L612+'[1]01,01,23тарифікація'!L615*'[1]01,01,23тарифікація'!N615+'[1]01,01,23тарифікація'!L618)/C121</f>
        <v>4903.75</v>
      </c>
      <c r="E121" s="291"/>
      <c r="F121" s="291">
        <f>'[1]01,01,23тарифікація'!T606+'[1]01,01,23тарифікація'!T609+'[1]01,01,23тарифікація'!T612+'[1]01,01,23тарифікація'!T615+'[1]01,01,23тарифікація'!T618</f>
        <v>5194.5</v>
      </c>
      <c r="G121" s="240">
        <f>(C121*D121)+E121+F121</f>
        <v>24809.5</v>
      </c>
      <c r="H121" s="141">
        <f t="shared" si="29"/>
        <v>297714</v>
      </c>
      <c r="I121" s="397"/>
      <c r="J121" s="380"/>
      <c r="K121" s="378"/>
    </row>
    <row r="122" spans="1:11" s="28" customFormat="1" ht="21" customHeight="1" thickBot="1" x14ac:dyDescent="0.4">
      <c r="A122" s="284">
        <f>A121+1</f>
        <v>62</v>
      </c>
      <c r="B122" s="233" t="s">
        <v>70</v>
      </c>
      <c r="C122" s="246">
        <f t="shared" ref="C122:H122" si="30">SUM(C118:C121)</f>
        <v>7</v>
      </c>
      <c r="D122" s="160">
        <f>G122-F122-E122</f>
        <v>38694.199999999997</v>
      </c>
      <c r="E122" s="246">
        <f t="shared" si="30"/>
        <v>0</v>
      </c>
      <c r="F122" s="246">
        <f t="shared" si="30"/>
        <v>9965.7599999999984</v>
      </c>
      <c r="G122" s="247">
        <f t="shared" si="30"/>
        <v>48659.96</v>
      </c>
      <c r="H122" s="246">
        <f t="shared" si="30"/>
        <v>583919.52</v>
      </c>
      <c r="I122" s="390">
        <f>'[1]01,01,23тарифікація'!W627</f>
        <v>48659.96</v>
      </c>
      <c r="J122" s="380">
        <f>I122-G122</f>
        <v>0</v>
      </c>
      <c r="K122" s="378"/>
    </row>
    <row r="123" spans="1:11" s="28" customFormat="1" ht="16.5" customHeight="1" thickBot="1" x14ac:dyDescent="0.35">
      <c r="A123" s="292" t="s">
        <v>30</v>
      </c>
      <c r="B123" s="293"/>
      <c r="C123" s="293"/>
      <c r="D123" s="293"/>
      <c r="E123" s="293"/>
      <c r="F123" s="293"/>
      <c r="G123" s="293"/>
      <c r="H123" s="294"/>
      <c r="I123" s="396"/>
      <c r="J123" s="378"/>
      <c r="K123" s="378"/>
    </row>
    <row r="124" spans="1:11" s="28" customFormat="1" ht="21.75" customHeight="1" x14ac:dyDescent="0.3">
      <c r="A124" s="295">
        <f>A122+1</f>
        <v>63</v>
      </c>
      <c r="B124" s="285" t="s">
        <v>108</v>
      </c>
      <c r="C124" s="206">
        <v>1</v>
      </c>
      <c r="D124" s="206">
        <f>'[1]01,01,23тарифікація'!L628</f>
        <v>5791.5</v>
      </c>
      <c r="E124" s="206"/>
      <c r="F124" s="206">
        <f>'[1]01,01,23тарифікація'!T628</f>
        <v>1158.3</v>
      </c>
      <c r="G124" s="240">
        <f>(C124*D124)+E124+F124</f>
        <v>6949.8</v>
      </c>
      <c r="H124" s="141">
        <f>G124*12</f>
        <v>83397.600000000006</v>
      </c>
      <c r="I124" s="397"/>
      <c r="J124" s="380"/>
      <c r="K124" s="380"/>
    </row>
    <row r="125" spans="1:11" s="28" customFormat="1" ht="21.75" customHeight="1" x14ac:dyDescent="0.3">
      <c r="A125" s="295">
        <f>A124+1</f>
        <v>64</v>
      </c>
      <c r="B125" s="285" t="s">
        <v>109</v>
      </c>
      <c r="C125" s="206">
        <v>0.5</v>
      </c>
      <c r="D125" s="206">
        <f>('[1]01,01,23тарифікація'!L631*'[1]01,01,23тарифікація'!N631)/C125</f>
        <v>5265</v>
      </c>
      <c r="E125" s="206"/>
      <c r="F125" s="206">
        <f>'[1]01,01,23тарифікація'!T631</f>
        <v>526.5</v>
      </c>
      <c r="G125" s="240">
        <f>(C125*D125)+E125+F125</f>
        <v>3159</v>
      </c>
      <c r="H125" s="141">
        <f t="shared" ref="H125:H126" si="31">G125*12</f>
        <v>37908</v>
      </c>
      <c r="I125" s="396"/>
      <c r="J125" s="380"/>
      <c r="K125" s="378"/>
    </row>
    <row r="126" spans="1:11" s="28" customFormat="1" ht="21.75" customHeight="1" thickBot="1" x14ac:dyDescent="0.35">
      <c r="A126" s="295">
        <f>A125+1</f>
        <v>65</v>
      </c>
      <c r="B126" s="296" t="s">
        <v>110</v>
      </c>
      <c r="C126" s="140">
        <v>1</v>
      </c>
      <c r="D126" s="140">
        <f>'[1]01,01,23тарифікація'!L634</f>
        <v>4195</v>
      </c>
      <c r="E126" s="140"/>
      <c r="F126" s="140"/>
      <c r="G126" s="240">
        <f>(C126*D126)+E126+F126</f>
        <v>4195</v>
      </c>
      <c r="H126" s="141">
        <f t="shared" si="31"/>
        <v>50340</v>
      </c>
      <c r="I126" s="396"/>
      <c r="J126" s="380"/>
      <c r="K126" s="378"/>
    </row>
    <row r="127" spans="1:11" s="28" customFormat="1" ht="21.75" customHeight="1" thickBot="1" x14ac:dyDescent="0.4">
      <c r="A127" s="297"/>
      <c r="B127" s="298" t="s">
        <v>70</v>
      </c>
      <c r="C127" s="299">
        <f t="shared" ref="C127:H127" si="32">SUM(C124:C126)</f>
        <v>2.5</v>
      </c>
      <c r="D127" s="160">
        <f>G127-F127-E127</f>
        <v>12619</v>
      </c>
      <c r="E127" s="299">
        <f t="shared" si="32"/>
        <v>0</v>
      </c>
      <c r="F127" s="299">
        <f t="shared" si="32"/>
        <v>1684.8</v>
      </c>
      <c r="G127" s="300">
        <f t="shared" si="32"/>
        <v>14303.8</v>
      </c>
      <c r="H127" s="301">
        <f t="shared" si="32"/>
        <v>171645.6</v>
      </c>
      <c r="I127" s="390">
        <f>'[1]01,01,23тарифікація'!W641</f>
        <v>14303.8</v>
      </c>
      <c r="J127" s="380"/>
      <c r="K127" s="378"/>
    </row>
    <row r="128" spans="1:11" s="28" customFormat="1" ht="17.25" customHeight="1" x14ac:dyDescent="0.3">
      <c r="A128" s="302" t="s">
        <v>111</v>
      </c>
      <c r="B128" s="303"/>
      <c r="C128" s="303"/>
      <c r="D128" s="303"/>
      <c r="E128" s="303"/>
      <c r="F128" s="303"/>
      <c r="G128" s="303"/>
      <c r="H128" s="303"/>
      <c r="I128" s="390"/>
      <c r="J128" s="378"/>
      <c r="K128" s="378"/>
    </row>
    <row r="129" spans="1:16" s="28" customFormat="1" ht="21.75" customHeight="1" x14ac:dyDescent="0.3">
      <c r="A129" s="168">
        <f>A126+1</f>
        <v>66</v>
      </c>
      <c r="B129" s="296" t="s">
        <v>112</v>
      </c>
      <c r="C129" s="140">
        <v>1</v>
      </c>
      <c r="D129" s="147">
        <f>'[1]01,01,23тарифікація'!L642</f>
        <v>4456</v>
      </c>
      <c r="E129" s="140"/>
      <c r="F129" s="140"/>
      <c r="G129" s="240">
        <f t="shared" ref="G129:G134" si="33">(C129*D129)+E129+F129</f>
        <v>4456</v>
      </c>
      <c r="H129" s="141">
        <f>G129*12</f>
        <v>53472</v>
      </c>
      <c r="I129" s="397"/>
      <c r="J129" s="378"/>
      <c r="K129" s="378"/>
      <c r="P129" s="304"/>
    </row>
    <row r="130" spans="1:16" s="28" customFormat="1" ht="21.75" customHeight="1" x14ac:dyDescent="0.3">
      <c r="A130" s="168">
        <f>A129+1</f>
        <v>67</v>
      </c>
      <c r="B130" s="296" t="s">
        <v>113</v>
      </c>
      <c r="C130" s="140">
        <v>1</v>
      </c>
      <c r="D130" s="140">
        <f>('[1]01,01,23тарифікація'!L643)*C130</f>
        <v>4745</v>
      </c>
      <c r="E130" s="140"/>
      <c r="F130" s="140"/>
      <c r="G130" s="240">
        <f t="shared" si="33"/>
        <v>4745</v>
      </c>
      <c r="H130" s="141">
        <f t="shared" ref="H130:H134" si="34">G130*12</f>
        <v>56940</v>
      </c>
      <c r="I130" s="394"/>
      <c r="J130" s="378"/>
      <c r="K130" s="378"/>
    </row>
    <row r="131" spans="1:16" s="28" customFormat="1" ht="21.75" customHeight="1" x14ac:dyDescent="0.3">
      <c r="A131" s="168">
        <f>A130+1</f>
        <v>68</v>
      </c>
      <c r="B131" s="296" t="s">
        <v>114</v>
      </c>
      <c r="C131" s="140">
        <v>0.5</v>
      </c>
      <c r="D131" s="140">
        <f>'[1]01,01,23тарифікація'!L646*'[1]01,01,23тарифікація'!N646/C131</f>
        <v>4745</v>
      </c>
      <c r="E131" s="140"/>
      <c r="F131" s="140"/>
      <c r="G131" s="240">
        <f t="shared" si="33"/>
        <v>2372.5</v>
      </c>
      <c r="H131" s="141">
        <f t="shared" si="34"/>
        <v>28470</v>
      </c>
      <c r="I131" s="394"/>
      <c r="J131" s="378"/>
      <c r="K131" s="378"/>
      <c r="P131" s="304"/>
    </row>
    <row r="132" spans="1:16" s="28" customFormat="1" ht="21.75" customHeight="1" x14ac:dyDescent="0.3">
      <c r="A132" s="168">
        <f>A131+1</f>
        <v>69</v>
      </c>
      <c r="B132" s="296" t="s">
        <v>115</v>
      </c>
      <c r="C132" s="140">
        <v>0.5</v>
      </c>
      <c r="D132" s="140">
        <f>'[1]01,01,23тарифікація'!L649*'[1]01,01,23тарифікація'!N649/C132</f>
        <v>4456</v>
      </c>
      <c r="E132" s="140"/>
      <c r="F132" s="140"/>
      <c r="G132" s="240">
        <f t="shared" si="33"/>
        <v>2228</v>
      </c>
      <c r="H132" s="141">
        <f t="shared" si="34"/>
        <v>26736</v>
      </c>
      <c r="I132" s="394"/>
      <c r="J132" s="378"/>
      <c r="K132" s="378"/>
      <c r="P132" s="304"/>
    </row>
    <row r="133" spans="1:16" s="28" customFormat="1" ht="30.75" customHeight="1" x14ac:dyDescent="0.3">
      <c r="A133" s="168">
        <f t="shared" ref="A133:A134" si="35">A132+1</f>
        <v>70</v>
      </c>
      <c r="B133" s="305" t="s">
        <v>116</v>
      </c>
      <c r="C133" s="140">
        <v>1</v>
      </c>
      <c r="D133" s="140">
        <f>'[1]01,01,23тарифікація'!L652</f>
        <v>4456</v>
      </c>
      <c r="E133" s="140"/>
      <c r="F133" s="140"/>
      <c r="G133" s="240">
        <f t="shared" si="33"/>
        <v>4456</v>
      </c>
      <c r="H133" s="141">
        <f t="shared" si="34"/>
        <v>53472</v>
      </c>
      <c r="I133" s="394"/>
      <c r="J133" s="378"/>
      <c r="K133" s="378"/>
      <c r="P133" s="304"/>
    </row>
    <row r="134" spans="1:16" s="28" customFormat="1" ht="21.75" customHeight="1" thickBot="1" x14ac:dyDescent="0.35">
      <c r="A134" s="168">
        <f t="shared" si="35"/>
        <v>71</v>
      </c>
      <c r="B134" s="296" t="s">
        <v>117</v>
      </c>
      <c r="C134" s="140">
        <v>0.5</v>
      </c>
      <c r="D134" s="140">
        <f>'[1]01,01,23тарифікація'!L655</f>
        <v>5265</v>
      </c>
      <c r="E134" s="140"/>
      <c r="F134" s="140"/>
      <c r="G134" s="240">
        <f t="shared" si="33"/>
        <v>2632.5</v>
      </c>
      <c r="H134" s="141">
        <f t="shared" si="34"/>
        <v>31590</v>
      </c>
      <c r="I134" s="395"/>
      <c r="J134" s="378"/>
      <c r="K134" s="378"/>
    </row>
    <row r="135" spans="1:16" s="28" customFormat="1" ht="18" customHeight="1" thickBot="1" x14ac:dyDescent="0.4">
      <c r="A135" s="297"/>
      <c r="B135" s="298" t="s">
        <v>70</v>
      </c>
      <c r="C135" s="299">
        <f>SUM(C129:C134)</f>
        <v>4.5</v>
      </c>
      <c r="D135" s="160">
        <f>G135-F135-E135</f>
        <v>20890</v>
      </c>
      <c r="E135" s="299">
        <f>SUM(E129:E134)</f>
        <v>0</v>
      </c>
      <c r="F135" s="299">
        <f>SUM(F129:F134)</f>
        <v>0</v>
      </c>
      <c r="G135" s="300">
        <f>SUM(G129:G134)</f>
        <v>20890</v>
      </c>
      <c r="H135" s="301">
        <f>SUM(H129:H134)</f>
        <v>250680</v>
      </c>
      <c r="I135" s="398">
        <f>'[1]01,01,23тарифікація'!W664</f>
        <v>20890</v>
      </c>
      <c r="J135" s="380"/>
      <c r="K135" s="378"/>
    </row>
    <row r="136" spans="1:16" s="28" customFormat="1" ht="16.5" customHeight="1" x14ac:dyDescent="0.3">
      <c r="A136" s="129" t="s">
        <v>118</v>
      </c>
      <c r="B136" s="130"/>
      <c r="C136" s="130"/>
      <c r="D136" s="130"/>
      <c r="E136" s="130"/>
      <c r="F136" s="130"/>
      <c r="G136" s="130"/>
      <c r="H136" s="131"/>
      <c r="I136" s="399"/>
      <c r="J136" s="378"/>
      <c r="K136" s="378"/>
    </row>
    <row r="137" spans="1:16" s="28" customFormat="1" ht="21" customHeight="1" x14ac:dyDescent="0.3">
      <c r="A137" s="168">
        <f>A134+1</f>
        <v>72</v>
      </c>
      <c r="B137" s="306" t="s">
        <v>119</v>
      </c>
      <c r="C137" s="307">
        <v>1</v>
      </c>
      <c r="D137" s="140">
        <f>'[1]01,01,23тарифікація'!L665</f>
        <v>4456</v>
      </c>
      <c r="E137" s="140"/>
      <c r="F137" s="140"/>
      <c r="G137" s="140">
        <f>(C137*D137)+E137+F137</f>
        <v>4456</v>
      </c>
      <c r="H137" s="141">
        <f>G137*12</f>
        <v>53472</v>
      </c>
      <c r="I137" s="400"/>
      <c r="J137" s="378"/>
      <c r="K137" s="378"/>
    </row>
    <row r="138" spans="1:16" s="28" customFormat="1" ht="21" customHeight="1" x14ac:dyDescent="0.3">
      <c r="A138" s="308">
        <f>A137+1</f>
        <v>73</v>
      </c>
      <c r="B138" s="309" t="s">
        <v>120</v>
      </c>
      <c r="C138" s="310">
        <v>1</v>
      </c>
      <c r="D138" s="147">
        <f>'[1]01,01,23тарифікація'!L668</f>
        <v>3674</v>
      </c>
      <c r="E138" s="140"/>
      <c r="F138" s="140"/>
      <c r="G138" s="140">
        <f t="shared" ref="G138:G146" si="36">(C138*D138)+E138+F138</f>
        <v>3674</v>
      </c>
      <c r="H138" s="141">
        <f t="shared" ref="H138:H147" si="37">G138*12</f>
        <v>44088</v>
      </c>
      <c r="I138" s="395"/>
      <c r="J138" s="378"/>
      <c r="K138" s="378"/>
    </row>
    <row r="139" spans="1:16" s="28" customFormat="1" ht="21" customHeight="1" x14ac:dyDescent="0.3">
      <c r="A139" s="308">
        <f t="shared" ref="A139:A147" si="38">A138+1</f>
        <v>74</v>
      </c>
      <c r="B139" s="309" t="s">
        <v>121</v>
      </c>
      <c r="C139" s="311">
        <f>0.5+1+0.5+1+1</f>
        <v>4</v>
      </c>
      <c r="D139" s="147">
        <f>('[1]01,01,23тарифікація'!L671*'[1]01,01,23тарифікація'!N671+'[1]01,01,23тарифікація'!L674*'[1]01,01,23тарифікація'!M674+'[1]01,01,23тарифікація'!L675*'[1]01,01,23тарифікація'!N675+'[1]01,01,23тарифікація'!L676*'[1]01,01,23тарифікація'!M676+'[1]01,01,23тарифікація'!L677*'[1]01,01,23тарифікація'!M677)/C139</f>
        <v>3674</v>
      </c>
      <c r="E139" s="140"/>
      <c r="F139" s="140"/>
      <c r="G139" s="140">
        <f t="shared" si="36"/>
        <v>14696</v>
      </c>
      <c r="H139" s="141">
        <f t="shared" si="37"/>
        <v>176352</v>
      </c>
      <c r="I139" s="395"/>
      <c r="J139" s="378"/>
      <c r="K139" s="378"/>
    </row>
    <row r="140" spans="1:16" s="28" customFormat="1" ht="21" customHeight="1" x14ac:dyDescent="0.3">
      <c r="A140" s="308">
        <f t="shared" si="38"/>
        <v>75</v>
      </c>
      <c r="B140" s="309" t="s">
        <v>122</v>
      </c>
      <c r="C140" s="310">
        <v>2</v>
      </c>
      <c r="D140" s="147">
        <f>('[1]01,01,23тарифікація'!L679+'[1]01,01,23тарифікація'!L680*'[1]01,01,23тарифікація'!M680+'[1]01,01,23тарифікація'!L681*'[1]01,01,23тарифікація'!M681)/C140</f>
        <v>2893</v>
      </c>
      <c r="E140" s="140"/>
      <c r="F140" s="140"/>
      <c r="G140" s="140">
        <f t="shared" si="36"/>
        <v>5786</v>
      </c>
      <c r="H140" s="141">
        <f t="shared" si="37"/>
        <v>69432</v>
      </c>
      <c r="I140" s="395"/>
      <c r="J140" s="378"/>
      <c r="K140" s="378"/>
    </row>
    <row r="141" spans="1:16" s="28" customFormat="1" ht="21" customHeight="1" x14ac:dyDescent="0.3">
      <c r="A141" s="308">
        <f t="shared" si="38"/>
        <v>76</v>
      </c>
      <c r="B141" s="312" t="s">
        <v>123</v>
      </c>
      <c r="C141" s="313">
        <v>0.5</v>
      </c>
      <c r="D141" s="147">
        <f>('[1]01,01,23тарифікація'!L682*'[1]01,01,23тарифікація'!N682)/C141</f>
        <v>3414</v>
      </c>
      <c r="E141" s="140"/>
      <c r="F141" s="140"/>
      <c r="G141" s="140">
        <f t="shared" si="36"/>
        <v>1707</v>
      </c>
      <c r="H141" s="141">
        <f t="shared" si="37"/>
        <v>20484</v>
      </c>
      <c r="I141" s="395"/>
      <c r="J141" s="378"/>
      <c r="K141" s="378"/>
    </row>
    <row r="142" spans="1:16" s="28" customFormat="1" ht="21" customHeight="1" x14ac:dyDescent="0.3">
      <c r="A142" s="308">
        <f t="shared" si="38"/>
        <v>77</v>
      </c>
      <c r="B142" s="312" t="s">
        <v>124</v>
      </c>
      <c r="C142" s="313">
        <v>1</v>
      </c>
      <c r="D142" s="147">
        <f>'[1]01,01,23тарифікація'!L685</f>
        <v>3414</v>
      </c>
      <c r="E142" s="140"/>
      <c r="F142" s="140"/>
      <c r="G142" s="140">
        <f t="shared" si="36"/>
        <v>3414</v>
      </c>
      <c r="H142" s="141">
        <f t="shared" si="37"/>
        <v>40968</v>
      </c>
      <c r="I142" s="395"/>
      <c r="J142" s="378"/>
      <c r="K142" s="378"/>
    </row>
    <row r="143" spans="1:16" s="28" customFormat="1" ht="21" customHeight="1" x14ac:dyDescent="0.3">
      <c r="A143" s="308">
        <f t="shared" si="38"/>
        <v>78</v>
      </c>
      <c r="B143" s="314" t="s">
        <v>125</v>
      </c>
      <c r="C143" s="315">
        <v>1</v>
      </c>
      <c r="D143" s="147">
        <f>'[1]01,01,23тарифікація'!L691*'[1]01,01,23тарифікація'!M691</f>
        <v>2893</v>
      </c>
      <c r="E143" s="316">
        <f>'[1]01,01,23тарифікація'!Q691</f>
        <v>289.3</v>
      </c>
      <c r="F143" s="316"/>
      <c r="G143" s="140">
        <f>(C143*D143)+E143+F143</f>
        <v>3182.3</v>
      </c>
      <c r="H143" s="141">
        <f t="shared" si="37"/>
        <v>38187.600000000006</v>
      </c>
      <c r="I143" s="395"/>
      <c r="J143" s="378"/>
      <c r="K143" s="378"/>
    </row>
    <row r="144" spans="1:16" s="28" customFormat="1" ht="21" customHeight="1" x14ac:dyDescent="0.3">
      <c r="A144" s="308">
        <f t="shared" si="38"/>
        <v>79</v>
      </c>
      <c r="B144" s="314" t="s">
        <v>126</v>
      </c>
      <c r="C144" s="315">
        <v>1</v>
      </c>
      <c r="D144" s="147">
        <f>'[1]01,01,23тарифікація'!L686</f>
        <v>3674</v>
      </c>
      <c r="E144" s="316"/>
      <c r="F144" s="316"/>
      <c r="G144" s="140">
        <f t="shared" si="36"/>
        <v>3674</v>
      </c>
      <c r="H144" s="141">
        <f t="shared" si="37"/>
        <v>44088</v>
      </c>
      <c r="I144" s="395"/>
      <c r="J144" s="378"/>
      <c r="K144" s="378"/>
    </row>
    <row r="145" spans="1:22" s="28" customFormat="1" ht="21" customHeight="1" x14ac:dyDescent="0.3">
      <c r="A145" s="308">
        <f t="shared" si="38"/>
        <v>80</v>
      </c>
      <c r="B145" s="317" t="s">
        <v>127</v>
      </c>
      <c r="C145" s="313">
        <v>2</v>
      </c>
      <c r="D145" s="147">
        <f>('[1]01,01,23тарифікація'!L689+'[1]01,01,23тарифікація'!L690)/C145</f>
        <v>3153</v>
      </c>
      <c r="E145" s="140"/>
      <c r="F145" s="140">
        <f>'[1]01,01,23тарифікація'!T689+'[1]01,01,23тарифікація'!T690</f>
        <v>1576.5</v>
      </c>
      <c r="G145" s="140">
        <f>(C145*D145)+E145+F145</f>
        <v>7882.5</v>
      </c>
      <c r="H145" s="141">
        <f t="shared" si="37"/>
        <v>94590</v>
      </c>
      <c r="I145" s="395"/>
      <c r="J145" s="378"/>
      <c r="K145" s="378"/>
    </row>
    <row r="146" spans="1:22" s="28" customFormat="1" ht="21" customHeight="1" x14ac:dyDescent="0.3">
      <c r="A146" s="308">
        <f t="shared" si="38"/>
        <v>81</v>
      </c>
      <c r="B146" s="318" t="s">
        <v>128</v>
      </c>
      <c r="C146" s="319">
        <v>0.5</v>
      </c>
      <c r="D146" s="157">
        <f>('[1]01,01,23тарифікація'!L678*'[1]01,01,23тарифікація'!N678)/C146</f>
        <v>2893</v>
      </c>
      <c r="E146" s="157"/>
      <c r="F146" s="157"/>
      <c r="G146" s="140">
        <f t="shared" si="36"/>
        <v>1446.5</v>
      </c>
      <c r="H146" s="141">
        <f t="shared" si="37"/>
        <v>17358</v>
      </c>
      <c r="I146" s="395"/>
      <c r="J146" s="378"/>
      <c r="K146" s="378"/>
      <c r="V146" s="320"/>
    </row>
    <row r="147" spans="1:22" s="28" customFormat="1" ht="21" customHeight="1" thickBot="1" x14ac:dyDescent="0.35">
      <c r="A147" s="321">
        <f t="shared" si="38"/>
        <v>82</v>
      </c>
      <c r="B147" s="318" t="s">
        <v>129</v>
      </c>
      <c r="C147" s="322">
        <v>1.5</v>
      </c>
      <c r="D147" s="157">
        <f>('[1]01,01,23тарифікація'!L692*'[1]01,01,23тарифікація'!M692+'[1]01,01,23тарифікація'!L695*'[1]01,01,23тарифікація'!M695+'[1]01,01,23тарифікація'!L698)/C147</f>
        <v>2893</v>
      </c>
      <c r="E147" s="157"/>
      <c r="F147" s="157"/>
      <c r="G147" s="157">
        <f>(C147*D147)+E147+F147</f>
        <v>4339.5</v>
      </c>
      <c r="H147" s="141">
        <f t="shared" si="37"/>
        <v>52074</v>
      </c>
      <c r="I147" s="395"/>
      <c r="J147" s="378"/>
      <c r="K147" s="378"/>
      <c r="L147" s="35"/>
      <c r="M147" s="35"/>
      <c r="V147" s="323"/>
    </row>
    <row r="148" spans="1:22" s="28" customFormat="1" ht="17.25" customHeight="1" thickBot="1" x14ac:dyDescent="0.4">
      <c r="A148" s="158" t="s">
        <v>70</v>
      </c>
      <c r="B148" s="159"/>
      <c r="C148" s="324">
        <f t="shared" ref="C148:H148" si="39">SUM(C137:C147)</f>
        <v>15.5</v>
      </c>
      <c r="D148" s="160">
        <f>G148-F148-E148</f>
        <v>52392</v>
      </c>
      <c r="E148" s="325">
        <f t="shared" si="39"/>
        <v>289.3</v>
      </c>
      <c r="F148" s="325">
        <f t="shared" si="39"/>
        <v>1576.5</v>
      </c>
      <c r="G148" s="326">
        <f>SUM(G137:G147)</f>
        <v>54257.8</v>
      </c>
      <c r="H148" s="327">
        <f t="shared" si="39"/>
        <v>651093.6</v>
      </c>
      <c r="I148" s="401">
        <f>'[1]01,01,23тарифікація'!W706-'[1]01,01,23тарифікація'!V706</f>
        <v>54257.785925047676</v>
      </c>
      <c r="J148" s="380"/>
      <c r="K148" s="378"/>
      <c r="L148" s="328"/>
      <c r="M148" s="328"/>
      <c r="V148" s="329"/>
    </row>
    <row r="149" spans="1:22" s="28" customFormat="1" ht="16.8" thickBot="1" x14ac:dyDescent="0.4">
      <c r="A149" s="330"/>
      <c r="B149" s="331"/>
      <c r="C149" s="331"/>
      <c r="D149" s="331"/>
      <c r="E149" s="331"/>
      <c r="F149" s="331"/>
      <c r="G149" s="331"/>
      <c r="H149" s="331"/>
      <c r="I149" s="402"/>
      <c r="J149" s="378"/>
      <c r="K149" s="378"/>
      <c r="L149" s="35"/>
      <c r="M149" s="35"/>
    </row>
    <row r="150" spans="1:22" s="28" customFormat="1" ht="20.100000000000001" customHeight="1" thickBot="1" x14ac:dyDescent="0.4">
      <c r="A150" s="332" t="s">
        <v>130</v>
      </c>
      <c r="B150" s="333"/>
      <c r="C150" s="334">
        <f t="shared" ref="C150:H150" si="40">SUM(C151:C155)</f>
        <v>186.75</v>
      </c>
      <c r="D150" s="335">
        <f>SUM(D151:D155)</f>
        <v>1043282.3899999999</v>
      </c>
      <c r="E150" s="336">
        <f t="shared" si="40"/>
        <v>3361.9000000000005</v>
      </c>
      <c r="F150" s="335">
        <f t="shared" si="40"/>
        <v>195497.59</v>
      </c>
      <c r="G150" s="336">
        <f>SUM(G151:G155)</f>
        <v>1242141.8800000001</v>
      </c>
      <c r="H150" s="337">
        <f t="shared" si="40"/>
        <v>14731762.489999998</v>
      </c>
      <c r="I150" s="390">
        <f>SUM(I151:I155)</f>
        <v>1264937.8744250478</v>
      </c>
      <c r="J150" s="392"/>
      <c r="K150" s="378"/>
    </row>
    <row r="151" spans="1:22" s="28" customFormat="1" ht="19.5" customHeight="1" x14ac:dyDescent="0.35">
      <c r="A151" s="338" t="s">
        <v>131</v>
      </c>
      <c r="B151" s="339"/>
      <c r="C151" s="340">
        <f>ROUND((C27+C28+C124+C73+C44+C43+C52+C53+C125+C111+C110+C82+C83+C91+C92+C99+C100+C79+C118+C54+C119),2)</f>
        <v>57.25</v>
      </c>
      <c r="D151" s="341">
        <f>ROUND((G151-F151-E151),2)</f>
        <v>397701.41</v>
      </c>
      <c r="E151" s="342">
        <f>ROUND((E27+E28+E124+E73+E44+E43+E52+E53+E125+E111+E110+E82+E83+E91+E92+E99+E100+E79+E118+E54+E119),2)</f>
        <v>0</v>
      </c>
      <c r="F151" s="343">
        <f>ROUND((F27+F28+F124+F73+F44+F43+F52+F53+F125+F111+F110+F82+F83+F91+F92+F99+F100+F79+F118+F54+F119),2)</f>
        <v>96557.18</v>
      </c>
      <c r="G151" s="343">
        <f>ROUND((G27+G28+G124+G73+G44+G43+G52+G53+G125+G111+G110+G82+G83+G91+G92+G99+G100+G79+G118+G54+G119),2)</f>
        <v>494258.59</v>
      </c>
      <c r="H151" s="344">
        <f>ROUND((H27+H28+H124+H73+H44+H43+H52+H53+H125+H111+H110+H82+H83+H91+H92+H99+H100+H79+H118+H54+H119),2)</f>
        <v>5931103.0599999996</v>
      </c>
      <c r="I151" s="390">
        <f>'[1]01,01,23тарифікація'!W708-'[1]01,01,23тарифікація'!V708</f>
        <v>517054.58799999999</v>
      </c>
      <c r="J151" s="392">
        <f>I151-G151</f>
        <v>22795.997999999963</v>
      </c>
      <c r="K151" s="380">
        <f>I151-J151</f>
        <v>494258.59</v>
      </c>
    </row>
    <row r="152" spans="1:22" s="28" customFormat="1" ht="19.5" customHeight="1" x14ac:dyDescent="0.35">
      <c r="A152" s="345" t="s">
        <v>132</v>
      </c>
      <c r="B152" s="346"/>
      <c r="C152" s="347">
        <f>ROUND((C30+C55+C56+C47+C64+C120+C74+C67+C70+C112+C84+C85+C86+C113+C101+C102+C93+C94+C45+C57+C107+C46+C75+C121),2)</f>
        <v>75</v>
      </c>
      <c r="D152" s="348">
        <f t="shared" ref="D152:D155" si="41">ROUND((G152-F152-E152),2)</f>
        <v>381689.03</v>
      </c>
      <c r="E152" s="349">
        <f>ROUND((E30+E55+E56+E47+E64+E120+E74+E67+E70+E112+E84+E85+E86+E113+E101+E102+E93+E94+E45+E57+E107+E46+E75+E121),2)</f>
        <v>0</v>
      </c>
      <c r="F152" s="350">
        <f>ROUND((F30+F55+F56+F47+F64+F120+F74+F67+F70+F112+F84+F85+F86+F113+F101+F102+F93+F94+F45+F57+F107+F46+F75+F121),2)</f>
        <v>97363.91</v>
      </c>
      <c r="G152" s="351">
        <f>ROUND((G30+G55+G56+G47+G64+G120+G74+G67+G70+G112+G84+G85+G86+G113+G101+G102+G93+G94+G45+G57+G107+G46+G75+G121),2)</f>
        <v>479052.94</v>
      </c>
      <c r="H152" s="352">
        <f>ROUND((H30+H55+H56+H47+H64+H120+H74+H67+H70+H112+H84+H85+H86+H113+H101+H102+H93+H94+H45+H57+H107+H46+H75+H121),2)</f>
        <v>5748635.2300000004</v>
      </c>
      <c r="I152" s="390">
        <f>'[1]01,01,23тарифікація'!W709-'[1]01,01,23тарифікація'!V709</f>
        <v>479052.95050000004</v>
      </c>
      <c r="J152" s="392"/>
      <c r="K152" s="378">
        <v>1</v>
      </c>
    </row>
    <row r="153" spans="1:22" s="28" customFormat="1" ht="18" customHeight="1" x14ac:dyDescent="0.35">
      <c r="A153" s="345" t="s">
        <v>133</v>
      </c>
      <c r="B153" s="346"/>
      <c r="C153" s="353">
        <f>C76+C48+C58+C87+C95+C103</f>
        <v>9</v>
      </c>
      <c r="D153" s="354">
        <f t="shared" si="41"/>
        <v>30726</v>
      </c>
      <c r="E153" s="355">
        <f>E76+E48+E58+E87+E95+E103</f>
        <v>3072.6000000000004</v>
      </c>
      <c r="F153" s="356">
        <f>F76+F48+F58+F87+F95+F103</f>
        <v>0</v>
      </c>
      <c r="G153" s="357">
        <f>G76+G48+G58+G87+G95+G103</f>
        <v>33798.600000000006</v>
      </c>
      <c r="H153" s="348">
        <f>H76+H48+H58+H87+H95+H103</f>
        <v>405583.2</v>
      </c>
      <c r="I153" s="390">
        <f>'[1]01,01,23тарифікація'!W710-'[1]01,01,23тарифікація'!V710</f>
        <v>33798.600000000013</v>
      </c>
      <c r="J153" s="392"/>
      <c r="K153" s="378"/>
    </row>
    <row r="154" spans="1:22" s="28" customFormat="1" ht="18" customHeight="1" x14ac:dyDescent="0.35">
      <c r="A154" s="345" t="s">
        <v>134</v>
      </c>
      <c r="B154" s="346"/>
      <c r="C154" s="353">
        <f>ROUND((C29+C32+C129+C130+C134+C37+C31+C39+C38+C131+C132+C133+C33),2)</f>
        <v>15</v>
      </c>
      <c r="D154" s="348">
        <f t="shared" si="41"/>
        <v>121762.95</v>
      </c>
      <c r="E154" s="355">
        <f t="shared" ref="E154:F154" si="42">ROUND((E29+E32+E129+E130+E134+E37+E31+E39+E38+E131+E132+E133),2)</f>
        <v>0</v>
      </c>
      <c r="F154" s="356">
        <f t="shared" si="42"/>
        <v>0</v>
      </c>
      <c r="G154" s="356">
        <f>ROUND((G29+G32+G129+G130+G134+G37+G31+G39+G38+G131+G132+G133+G33),2)</f>
        <v>121762.95</v>
      </c>
      <c r="H154" s="356">
        <f>ROUND((H29+H32+H129+H130+H134+H37+H31+H39+H38+H131+H132+H133),2)</f>
        <v>1287215.3999999999</v>
      </c>
      <c r="I154" s="390">
        <f>'[1]01,01,23тарифікація'!W711-'[1]01,01,23тарифікація'!V711</f>
        <v>121762.95</v>
      </c>
      <c r="J154" s="392"/>
      <c r="K154" s="378"/>
    </row>
    <row r="155" spans="1:22" s="28" customFormat="1" ht="18" customHeight="1" thickBot="1" x14ac:dyDescent="0.4">
      <c r="A155" s="358" t="s">
        <v>135</v>
      </c>
      <c r="B155" s="359"/>
      <c r="C155" s="360">
        <f>C148+C34+C126+C49+C59+C88+C96+C104</f>
        <v>30.5</v>
      </c>
      <c r="D155" s="361">
        <f t="shared" si="41"/>
        <v>111403</v>
      </c>
      <c r="E155" s="362">
        <f>E148+E34+E126+E49+E59+E88+E96+E104</f>
        <v>289.3</v>
      </c>
      <c r="F155" s="363">
        <f>F148+F34+F126+F49+F59+F88+F96+F104</f>
        <v>1576.5</v>
      </c>
      <c r="G155" s="364">
        <f>G148+G34+G126+G49+G59+G88+G96+G104</f>
        <v>113268.8</v>
      </c>
      <c r="H155" s="365">
        <f>H148+H34+H126+H49+H59+H88+H96+H104</f>
        <v>1359225.6</v>
      </c>
      <c r="I155" s="390">
        <f>'[1]01,01,23тарифікація'!W712-'[1]01,01,23тарифікація'!V712</f>
        <v>113268.7859250477</v>
      </c>
      <c r="J155" s="392"/>
      <c r="K155" s="378"/>
    </row>
    <row r="156" spans="1:22" ht="15.6" x14ac:dyDescent="0.3">
      <c r="A156" s="366"/>
      <c r="B156" s="72"/>
      <c r="C156" s="73"/>
      <c r="D156" s="73"/>
      <c r="E156" s="73"/>
      <c r="F156" s="73"/>
      <c r="G156" s="73"/>
      <c r="H156" s="367"/>
      <c r="I156" s="397">
        <f>'[1]01,01,23тарифікація'!Y714-'[1]01,01,23тарифікація'!W18</f>
        <v>1242141.8744250473</v>
      </c>
      <c r="J156" s="403">
        <f>G150-I156</f>
        <v>5.5749528110027313E-3</v>
      </c>
      <c r="K156" s="388"/>
    </row>
    <row r="157" spans="1:22" ht="15.75" customHeight="1" x14ac:dyDescent="0.3">
      <c r="B157" s="369"/>
      <c r="C157" s="369"/>
      <c r="D157" s="369"/>
      <c r="E157" s="369"/>
      <c r="F157" s="369"/>
      <c r="I157" s="397">
        <f>'[1]01,01,23тарифікація'!Y715</f>
        <v>1242141.8744250473</v>
      </c>
      <c r="J157" s="388"/>
      <c r="K157" s="388"/>
    </row>
    <row r="158" spans="1:22" s="371" customFormat="1" ht="21" x14ac:dyDescent="0.4">
      <c r="A158" s="370"/>
      <c r="B158" s="371" t="s">
        <v>64</v>
      </c>
      <c r="E158" s="371" t="s">
        <v>136</v>
      </c>
      <c r="H158" s="370"/>
      <c r="I158" s="404"/>
      <c r="J158" s="405"/>
      <c r="K158" s="405"/>
    </row>
    <row r="161" spans="22:26" x14ac:dyDescent="0.3">
      <c r="V161" s="372"/>
    </row>
    <row r="162" spans="22:26" x14ac:dyDescent="0.3">
      <c r="V162" s="373"/>
    </row>
    <row r="163" spans="22:26" x14ac:dyDescent="0.3">
      <c r="V163" s="373"/>
    </row>
    <row r="164" spans="22:26" x14ac:dyDescent="0.3">
      <c r="V164" s="373"/>
      <c r="Y164" s="374">
        <f>[2]декларация!S25</f>
        <v>11810.7249078</v>
      </c>
    </row>
    <row r="165" spans="22:26" x14ac:dyDescent="0.3">
      <c r="V165" s="373"/>
    </row>
    <row r="166" spans="22:26" x14ac:dyDescent="0.3">
      <c r="V166" s="375"/>
    </row>
    <row r="167" spans="22:26" x14ac:dyDescent="0.3">
      <c r="W167" s="7">
        <f>L167*V167*M167</f>
        <v>0</v>
      </c>
      <c r="Z167" s="7">
        <f>ROUND((L167*M167)+T167,2)+W167+Y167</f>
        <v>0</v>
      </c>
    </row>
    <row r="241" spans="25:27" x14ac:dyDescent="0.3">
      <c r="Z241" s="7">
        <f>ROUND((L241*M241)+T241,2)+Y241</f>
        <v>0</v>
      </c>
    </row>
    <row r="244" spans="25:27" x14ac:dyDescent="0.3">
      <c r="Z244" s="7">
        <f>ROUND((L244*N244)+T244,2)+Y244</f>
        <v>0</v>
      </c>
    </row>
    <row r="247" spans="25:27" x14ac:dyDescent="0.3">
      <c r="Z247" s="7">
        <f>ROUND((L247*M247)+T247,2)+Y247</f>
        <v>0</v>
      </c>
    </row>
    <row r="250" spans="25:27" x14ac:dyDescent="0.3">
      <c r="Z250" s="7">
        <f>ROUND((L250*N250)+T250,2)+Y250</f>
        <v>0</v>
      </c>
    </row>
    <row r="253" spans="25:27" x14ac:dyDescent="0.3">
      <c r="Z253" s="7">
        <f>ROUND((L253*M253)+T253,2)+Y253</f>
        <v>0</v>
      </c>
    </row>
    <row r="255" spans="25:27" x14ac:dyDescent="0.3">
      <c r="Y255" s="7">
        <f>SUM(Y140:Y177)</f>
        <v>11810.7249078</v>
      </c>
      <c r="AA255" s="7">
        <f>Z255-Y255</f>
        <v>-11810.7249078</v>
      </c>
    </row>
    <row r="256" spans="25:27" x14ac:dyDescent="0.3">
      <c r="Y256" s="7">
        <f>SUM(Y178:Y221)</f>
        <v>0</v>
      </c>
      <c r="Z256" s="7">
        <f>ROUND((L256*M256)+T256,2)+Y256</f>
        <v>0</v>
      </c>
      <c r="AA256" s="7">
        <f>Z256-Y256</f>
        <v>0</v>
      </c>
    </row>
    <row r="257" spans="5:28" x14ac:dyDescent="0.3">
      <c r="Y257" s="7">
        <f>SUM(Y222:Y236)</f>
        <v>0</v>
      </c>
      <c r="AA257" s="7">
        <f>Z257-Y257</f>
        <v>0</v>
      </c>
    </row>
    <row r="258" spans="5:28" x14ac:dyDescent="0.3">
      <c r="AA258" s="7">
        <f>Z258-Y258</f>
        <v>0</v>
      </c>
    </row>
    <row r="259" spans="5:28" x14ac:dyDescent="0.3">
      <c r="Y259" s="7">
        <f>SUM(Y237:Y254)</f>
        <v>0</v>
      </c>
      <c r="AA259" s="7">
        <f>Z259-Y259</f>
        <v>0</v>
      </c>
    </row>
    <row r="260" spans="5:28" ht="16.2" x14ac:dyDescent="0.35">
      <c r="AA260" s="376">
        <f>SUM(AA255:AA259)</f>
        <v>-11810.7249078</v>
      </c>
      <c r="AB260" s="7">
        <f>Z260-Y260</f>
        <v>0</v>
      </c>
    </row>
    <row r="263" spans="5:28" x14ac:dyDescent="0.3">
      <c r="E263" s="7">
        <f>Z263-Y263-W263-Q263-K263-J263-I263-H263-G263-F263</f>
        <v>0</v>
      </c>
      <c r="L263" s="7">
        <f>SUM(L241+L244*N244+L247+L250*N250+L253+L256*M256)</f>
        <v>0</v>
      </c>
      <c r="Z263" s="7">
        <f>SUM(Z241:Z258)</f>
        <v>0</v>
      </c>
    </row>
    <row r="284" spans="27:27" x14ac:dyDescent="0.3">
      <c r="AA284" s="7">
        <f>Z284-Y284</f>
        <v>0</v>
      </c>
    </row>
    <row r="321" spans="26:27" x14ac:dyDescent="0.3">
      <c r="Z321" s="7">
        <f>ROUND((L321*N321)+T321,2)+W321+Y321+Q321</f>
        <v>0</v>
      </c>
    </row>
    <row r="324" spans="26:27" x14ac:dyDescent="0.3">
      <c r="AA324" s="7">
        <f>Z324-Y324</f>
        <v>0</v>
      </c>
    </row>
    <row r="325" spans="26:27" x14ac:dyDescent="0.3">
      <c r="AA325" s="7">
        <f>Z325-Y325</f>
        <v>0</v>
      </c>
    </row>
    <row r="326" spans="26:27" x14ac:dyDescent="0.3">
      <c r="AA326" s="7">
        <f>Z326-Y326</f>
        <v>0</v>
      </c>
    </row>
    <row r="327" spans="26:27" x14ac:dyDescent="0.3">
      <c r="AA327" s="7">
        <f>Z327-Y327</f>
        <v>0</v>
      </c>
    </row>
    <row r="328" spans="26:27" x14ac:dyDescent="0.3">
      <c r="AA328" s="7">
        <f>Z328-Y328</f>
        <v>0</v>
      </c>
    </row>
    <row r="329" spans="26:27" x14ac:dyDescent="0.3">
      <c r="AA329" s="7">
        <f>SUM(AA324:AA328)</f>
        <v>0</v>
      </c>
    </row>
  </sheetData>
  <mergeCells count="54">
    <mergeCell ref="A155:B155"/>
    <mergeCell ref="B149:H149"/>
    <mergeCell ref="A150:B150"/>
    <mergeCell ref="A151:B151"/>
    <mergeCell ref="A152:B152"/>
    <mergeCell ref="A153:B153"/>
    <mergeCell ref="A154:B154"/>
    <mergeCell ref="A109:H109"/>
    <mergeCell ref="A117:H117"/>
    <mergeCell ref="A123:H123"/>
    <mergeCell ref="A128:H128"/>
    <mergeCell ref="A136:H136"/>
    <mergeCell ref="A148:B148"/>
    <mergeCell ref="A78:H78"/>
    <mergeCell ref="A80:B80"/>
    <mergeCell ref="A81:H81"/>
    <mergeCell ref="A90:H90"/>
    <mergeCell ref="A98:H98"/>
    <mergeCell ref="A106:H106"/>
    <mergeCell ref="A42:H42"/>
    <mergeCell ref="A51:H51"/>
    <mergeCell ref="A63:H63"/>
    <mergeCell ref="A66:H66"/>
    <mergeCell ref="A69:H69"/>
    <mergeCell ref="A72:H72"/>
    <mergeCell ref="H23:H24"/>
    <mergeCell ref="A26:H26"/>
    <mergeCell ref="D27:H27"/>
    <mergeCell ref="A35:B35"/>
    <mergeCell ref="A36:H36"/>
    <mergeCell ref="A41:H41"/>
    <mergeCell ref="A19:H19"/>
    <mergeCell ref="A20:H20"/>
    <mergeCell ref="A21:H21"/>
    <mergeCell ref="A23:A24"/>
    <mergeCell ref="B23:B24"/>
    <mergeCell ref="C23:C24"/>
    <mergeCell ref="D23:D24"/>
    <mergeCell ref="E23:E24"/>
    <mergeCell ref="F23:F24"/>
    <mergeCell ref="G23:G24"/>
    <mergeCell ref="A13:B13"/>
    <mergeCell ref="E13:F13"/>
    <mergeCell ref="E14:H14"/>
    <mergeCell ref="A16:B16"/>
    <mergeCell ref="A17:H17"/>
    <mergeCell ref="A18:H18"/>
    <mergeCell ref="E7:F7"/>
    <mergeCell ref="A9:B9"/>
    <mergeCell ref="A10:B10"/>
    <mergeCell ref="E10:G10"/>
    <mergeCell ref="A11:B11"/>
    <mergeCell ref="A12:B12"/>
    <mergeCell ref="E12:G12"/>
  </mergeCells>
  <pageMargins left="0.31496062992125984" right="0.11811023622047245" top="0.35433070866141736" bottom="0.15748031496062992" header="0.31496062992125984" footer="0.31496062992125984"/>
  <pageSetup paperSize="9" scale="65" orientation="portrait" r:id="rId1"/>
  <rowBreaks count="2" manualBreakCount="2">
    <brk id="60" max="7" man="1"/>
    <brk id="114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СТРУКТУРА</vt:lpstr>
      <vt:lpstr>штати </vt:lpstr>
      <vt:lpstr>Лист1</vt:lpstr>
      <vt:lpstr>'штати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2023-05-01T10:21:24Z</dcterms:created>
  <dcterms:modified xsi:type="dcterms:W3CDTF">2023-05-01T10:23:05Z</dcterms:modified>
</cp:coreProperties>
</file>