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8145" tabRatio="784" activeTab="1"/>
  </bookViews>
  <sheets>
    <sheet name="явка" sheetId="1" r:id="rId1"/>
    <sheet name="Порядок денний " sheetId="27" r:id="rId2"/>
    <sheet name="1" sheetId="3" r:id="rId3"/>
    <sheet name="2" sheetId="58" r:id="rId4"/>
    <sheet name="3" sheetId="59" r:id="rId5"/>
    <sheet name="4" sheetId="60" r:id="rId6"/>
    <sheet name="5" sheetId="61" r:id="rId7"/>
    <sheet name="6" sheetId="62" r:id="rId8"/>
    <sheet name="7" sheetId="63" r:id="rId9"/>
    <sheet name="8" sheetId="64" r:id="rId10"/>
    <sheet name="9" sheetId="65" r:id="rId11"/>
    <sheet name="10" sheetId="66" r:id="rId12"/>
    <sheet name="11" sheetId="67" r:id="rId13"/>
    <sheet name="12" sheetId="68" r:id="rId14"/>
    <sheet name="13" sheetId="69" r:id="rId15"/>
    <sheet name="14" sheetId="70" r:id="rId16"/>
    <sheet name="15" sheetId="71" r:id="rId17"/>
    <sheet name="16" sheetId="72" r:id="rId18"/>
    <sheet name="17" sheetId="73" r:id="rId19"/>
    <sheet name="18" sheetId="74" r:id="rId20"/>
    <sheet name="19" sheetId="75" r:id="rId21"/>
    <sheet name="20" sheetId="76" r:id="rId22"/>
    <sheet name="21" sheetId="78" r:id="rId23"/>
    <sheet name="22" sheetId="80" r:id="rId24"/>
    <sheet name="23" sheetId="81" r:id="rId25"/>
    <sheet name="24" sheetId="82" r:id="rId26"/>
    <sheet name="25" sheetId="83" r:id="rId27"/>
    <sheet name="26" sheetId="84" r:id="rId28"/>
    <sheet name="27" sheetId="85" r:id="rId29"/>
    <sheet name="28" sheetId="86" r:id="rId30"/>
    <sheet name="регламент" sheetId="14" r:id="rId31"/>
    <sheet name="лічильна комісія" sheetId="18" r:id="rId32"/>
    <sheet name="Секретар" sheetId="17" r:id="rId33"/>
    <sheet name="резерв" sheetId="19" r:id="rId34"/>
    <sheet name="За порядок денний" sheetId="16" r:id="rId35"/>
    <sheet name="дані" sheetId="2" r:id="rId36"/>
  </sheets>
  <definedNames>
    <definedName name="_xlnm.Print_Area" localSheetId="2">'1'!$A$1:$F$38</definedName>
    <definedName name="_xlnm.Print_Area" localSheetId="11">'10'!$A$1:$F$38</definedName>
    <definedName name="_xlnm.Print_Area" localSheetId="12">'11'!$A$1:$F$38</definedName>
    <definedName name="_xlnm.Print_Area" localSheetId="13">'12'!$A$1:$F$32</definedName>
    <definedName name="_xlnm.Print_Area" localSheetId="14">'13'!$A$1:$F$31</definedName>
    <definedName name="_xlnm.Print_Area" localSheetId="15">'14'!$A$1:$F$32</definedName>
    <definedName name="_xlnm.Print_Area" localSheetId="16">'15'!$A$1:$F$32</definedName>
    <definedName name="_xlnm.Print_Area" localSheetId="17">'16'!$A$1:$F$32</definedName>
    <definedName name="_xlnm.Print_Area" localSheetId="18">'17'!$A$1:$F$32</definedName>
    <definedName name="_xlnm.Print_Area" localSheetId="19">'18'!$A$1:$F$32</definedName>
    <definedName name="_xlnm.Print_Area" localSheetId="20">'19'!$A$1:$F$32</definedName>
    <definedName name="_xlnm.Print_Area" localSheetId="3">'2'!$A$1:$F$32</definedName>
    <definedName name="_xlnm.Print_Area" localSheetId="21">'20'!$A$1:$F$32</definedName>
    <definedName name="_xlnm.Print_Area" localSheetId="22">'21'!$A$1:$F$32</definedName>
    <definedName name="_xlnm.Print_Area" localSheetId="23">'22'!$A$1:$F$32</definedName>
    <definedName name="_xlnm.Print_Area" localSheetId="24">'23'!$A$1:$F$32</definedName>
    <definedName name="_xlnm.Print_Area" localSheetId="25">'24'!$A$1:$F$32</definedName>
    <definedName name="_xlnm.Print_Area" localSheetId="26">'25'!$A$1:$F$32</definedName>
    <definedName name="_xlnm.Print_Area" localSheetId="27">'26'!$A$1:$F$32</definedName>
    <definedName name="_xlnm.Print_Area" localSheetId="28">'27'!$A$1:$F$32</definedName>
    <definedName name="_xlnm.Print_Area" localSheetId="29">'28'!$A$1:$F$32</definedName>
    <definedName name="_xlnm.Print_Area" localSheetId="4">'3'!$A$1:$F$32</definedName>
    <definedName name="_xlnm.Print_Area" localSheetId="5">'4'!$A$1:$F$32</definedName>
    <definedName name="_xlnm.Print_Area" localSheetId="6">'5'!$A$1:$F$32</definedName>
    <definedName name="_xlnm.Print_Area" localSheetId="7">'6'!$A$1:$F$32</definedName>
    <definedName name="_xlnm.Print_Area" localSheetId="8">'7'!$A$1:$F$32</definedName>
    <definedName name="_xlnm.Print_Area" localSheetId="9">'8'!$A$1:$F$38</definedName>
    <definedName name="_xlnm.Print_Area" localSheetId="10">'9'!$A$1:$F$32</definedName>
    <definedName name="_xlnm.Print_Area" localSheetId="1">'Порядок денний '!$A$1:$H$72</definedName>
  </definedNames>
  <calcPr calcId="145621"/>
</workbook>
</file>

<file path=xl/calcChain.xml><?xml version="1.0" encoding="utf-8"?>
<calcChain xmlns="http://schemas.openxmlformats.org/spreadsheetml/2006/main">
  <c r="A2" i="27" l="1"/>
  <c r="F71" i="27" l="1"/>
  <c r="E70" i="27"/>
  <c r="D69" i="27"/>
  <c r="E71" i="27"/>
  <c r="D71" i="27"/>
  <c r="G71" i="27"/>
  <c r="F70" i="27"/>
  <c r="D70" i="27"/>
  <c r="G70" i="27"/>
  <c r="F69" i="27"/>
  <c r="E69" i="27"/>
  <c r="G69" i="27"/>
  <c r="A68" i="27"/>
  <c r="A69" i="27"/>
  <c r="A70" i="27"/>
  <c r="A71" i="27"/>
  <c r="F68" i="27"/>
  <c r="E68" i="27"/>
  <c r="D68" i="27"/>
  <c r="G68" i="27"/>
  <c r="C69" i="27" l="1"/>
  <c r="C70" i="27"/>
  <c r="C68" i="27"/>
  <c r="C71" i="27"/>
  <c r="F67" i="27"/>
  <c r="E66" i="27"/>
  <c r="D65" i="27"/>
  <c r="G64" i="27"/>
  <c r="C64" i="27"/>
  <c r="F63" i="27"/>
  <c r="E62" i="27"/>
  <c r="D61" i="27"/>
  <c r="G60" i="27"/>
  <c r="C60" i="27"/>
  <c r="D57" i="27"/>
  <c r="A57" i="27"/>
  <c r="A58" i="27"/>
  <c r="A59" i="27"/>
  <c r="A60" i="27"/>
  <c r="A61" i="27"/>
  <c r="A62" i="27"/>
  <c r="A63" i="27"/>
  <c r="A64" i="27"/>
  <c r="A65" i="27"/>
  <c r="A66" i="27"/>
  <c r="A67" i="27"/>
  <c r="E67" i="27"/>
  <c r="D67" i="27"/>
  <c r="G67" i="27"/>
  <c r="F66" i="27"/>
  <c r="D66" i="27"/>
  <c r="G66" i="27"/>
  <c r="F65" i="27"/>
  <c r="E65" i="27"/>
  <c r="G65" i="27"/>
  <c r="F64" i="27"/>
  <c r="E64" i="27"/>
  <c r="D64" i="27"/>
  <c r="E63" i="27"/>
  <c r="D63" i="27"/>
  <c r="G63" i="27"/>
  <c r="F62" i="27"/>
  <c r="D62" i="27"/>
  <c r="F61" i="27"/>
  <c r="E61" i="27"/>
  <c r="G62" i="27"/>
  <c r="F60" i="27"/>
  <c r="E60" i="27"/>
  <c r="D60" i="27"/>
  <c r="F58" i="27"/>
  <c r="E58" i="27"/>
  <c r="D58" i="27"/>
  <c r="G58" i="27"/>
  <c r="F59" i="27"/>
  <c r="E59" i="27"/>
  <c r="D59" i="27"/>
  <c r="G59" i="27"/>
  <c r="F57" i="27"/>
  <c r="E57" i="27"/>
  <c r="G57" i="27"/>
  <c r="C57" i="27" l="1"/>
  <c r="C61" i="27"/>
  <c r="G61" i="27"/>
  <c r="C65" i="27"/>
  <c r="C58" i="27"/>
  <c r="C62" i="27"/>
  <c r="C66" i="27"/>
  <c r="C59" i="27"/>
  <c r="C63" i="27"/>
  <c r="C67" i="27"/>
  <c r="F56" i="27"/>
  <c r="D54" i="27"/>
  <c r="E53" i="27"/>
  <c r="F52" i="27"/>
  <c r="D50" i="27"/>
  <c r="E49" i="27"/>
  <c r="F48" i="27"/>
  <c r="D46" i="27"/>
  <c r="E45" i="27"/>
  <c r="F44" i="27"/>
  <c r="D42" i="27"/>
  <c r="A56" i="27"/>
  <c r="A3" i="27"/>
  <c r="A4" i="27"/>
  <c r="A5" i="27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E56" i="27"/>
  <c r="D56" i="27"/>
  <c r="G56" i="27"/>
  <c r="F55" i="27"/>
  <c r="E55" i="27"/>
  <c r="D55" i="27"/>
  <c r="G55" i="27"/>
  <c r="F54" i="27"/>
  <c r="E54" i="27"/>
  <c r="G54" i="27"/>
  <c r="F53" i="27"/>
  <c r="D53" i="27"/>
  <c r="G53" i="27"/>
  <c r="E52" i="27"/>
  <c r="D52" i="27"/>
  <c r="G52" i="27"/>
  <c r="F51" i="27"/>
  <c r="E51" i="27"/>
  <c r="D51" i="27"/>
  <c r="G51" i="27"/>
  <c r="F50" i="27"/>
  <c r="E50" i="27"/>
  <c r="G50" i="27"/>
  <c r="F49" i="27"/>
  <c r="D49" i="27"/>
  <c r="G49" i="27"/>
  <c r="E48" i="27"/>
  <c r="D48" i="27"/>
  <c r="G48" i="27"/>
  <c r="F47" i="27"/>
  <c r="E47" i="27"/>
  <c r="D47" i="27"/>
  <c r="G47" i="27"/>
  <c r="F46" i="27"/>
  <c r="E46" i="27"/>
  <c r="G46" i="27"/>
  <c r="F45" i="27"/>
  <c r="D45" i="27"/>
  <c r="G45" i="27"/>
  <c r="E44" i="27"/>
  <c r="D44" i="27"/>
  <c r="G44" i="27"/>
  <c r="F43" i="27"/>
  <c r="E43" i="27"/>
  <c r="D43" i="27"/>
  <c r="G43" i="27"/>
  <c r="F42" i="27"/>
  <c r="E42" i="27"/>
  <c r="G42" i="27"/>
  <c r="B38" i="86"/>
  <c r="B36" i="86"/>
  <c r="A36" i="86"/>
  <c r="B34" i="86"/>
  <c r="B33" i="86"/>
  <c r="B38" i="85"/>
  <c r="B36" i="85"/>
  <c r="B34" i="85"/>
  <c r="B33" i="85"/>
  <c r="B38" i="84"/>
  <c r="A37" i="84"/>
  <c r="B36" i="84"/>
  <c r="B34" i="84"/>
  <c r="B33" i="84"/>
  <c r="B38" i="83"/>
  <c r="A38" i="83"/>
  <c r="B36" i="83"/>
  <c r="B34" i="83"/>
  <c r="B33" i="83"/>
  <c r="B38" i="82"/>
  <c r="B36" i="82"/>
  <c r="A36" i="82"/>
  <c r="B34" i="82"/>
  <c r="B33" i="82"/>
  <c r="B38" i="81"/>
  <c r="B36" i="81"/>
  <c r="B34" i="81"/>
  <c r="B33" i="81"/>
  <c r="B38" i="80"/>
  <c r="A37" i="80"/>
  <c r="B36" i="80"/>
  <c r="B34" i="80"/>
  <c r="B33" i="80"/>
  <c r="B38" i="78"/>
  <c r="A38" i="78"/>
  <c r="B36" i="78"/>
  <c r="A35" i="78"/>
  <c r="B34" i="78"/>
  <c r="B33" i="78"/>
  <c r="B38" i="76"/>
  <c r="B36" i="76"/>
  <c r="A36" i="76"/>
  <c r="B34" i="76"/>
  <c r="B33" i="76"/>
  <c r="B38" i="75"/>
  <c r="B36" i="75"/>
  <c r="B34" i="75"/>
  <c r="B33" i="75"/>
  <c r="B38" i="74"/>
  <c r="A37" i="74"/>
  <c r="B36" i="74"/>
  <c r="B34" i="74"/>
  <c r="B33" i="74"/>
  <c r="B38" i="73"/>
  <c r="A38" i="73"/>
  <c r="B36" i="73"/>
  <c r="B34" i="73"/>
  <c r="B33" i="73"/>
  <c r="B38" i="72"/>
  <c r="B36" i="72"/>
  <c r="A36" i="72"/>
  <c r="B34" i="72"/>
  <c r="B33" i="72"/>
  <c r="B38" i="71"/>
  <c r="B36" i="71"/>
  <c r="B34" i="71"/>
  <c r="A34" i="71"/>
  <c r="B33" i="71"/>
  <c r="B38" i="70"/>
  <c r="A37" i="70"/>
  <c r="B36" i="70"/>
  <c r="B34" i="70"/>
  <c r="B33" i="70"/>
  <c r="B38" i="69"/>
  <c r="A38" i="69"/>
  <c r="B36" i="69"/>
  <c r="B34" i="69"/>
  <c r="B33" i="69"/>
  <c r="B38" i="68"/>
  <c r="B36" i="68"/>
  <c r="A36" i="68"/>
  <c r="B34" i="68"/>
  <c r="B33" i="68"/>
  <c r="B38" i="67"/>
  <c r="B36" i="67"/>
  <c r="B34" i="67"/>
  <c r="B33" i="67"/>
  <c r="B38" i="66"/>
  <c r="A37" i="66"/>
  <c r="B36" i="66"/>
  <c r="B34" i="66"/>
  <c r="B33" i="66"/>
  <c r="B38" i="65"/>
  <c r="A38" i="65"/>
  <c r="B36" i="65"/>
  <c r="B34" i="65"/>
  <c r="B33" i="65"/>
  <c r="B38" i="64"/>
  <c r="B36" i="64"/>
  <c r="A36" i="64"/>
  <c r="B34" i="64"/>
  <c r="B33" i="64"/>
  <c r="B38" i="63"/>
  <c r="B36" i="63"/>
  <c r="B34" i="63"/>
  <c r="B33" i="63"/>
  <c r="B38" i="62"/>
  <c r="A37" i="62"/>
  <c r="B36" i="62"/>
  <c r="B34" i="62"/>
  <c r="B33" i="62"/>
  <c r="B38" i="61"/>
  <c r="A38" i="61"/>
  <c r="B36" i="61"/>
  <c r="A35" i="61"/>
  <c r="B34" i="61"/>
  <c r="B33" i="61"/>
  <c r="B38" i="60"/>
  <c r="B36" i="60"/>
  <c r="A36" i="60"/>
  <c r="B34" i="60"/>
  <c r="B33" i="60"/>
  <c r="B38" i="59"/>
  <c r="B36" i="59"/>
  <c r="B34" i="59"/>
  <c r="B33" i="59"/>
  <c r="B38" i="58"/>
  <c r="A37" i="58"/>
  <c r="B36" i="58"/>
  <c r="B34" i="58"/>
  <c r="B33" i="58"/>
  <c r="A36" i="3"/>
  <c r="B36" i="3"/>
  <c r="B38" i="3"/>
  <c r="B34" i="3"/>
  <c r="B33" i="3"/>
  <c r="A35" i="83"/>
  <c r="A34" i="81"/>
  <c r="A35" i="86" l="1"/>
  <c r="A35" i="82"/>
  <c r="A35" i="76"/>
  <c r="A35" i="72"/>
  <c r="A35" i="68"/>
  <c r="A35" i="64"/>
  <c r="A35" i="60"/>
  <c r="A35" i="85"/>
  <c r="A35" i="81"/>
  <c r="A35" i="75"/>
  <c r="A35" i="71"/>
  <c r="A35" i="67"/>
  <c r="A35" i="63"/>
  <c r="A35" i="59"/>
  <c r="A35" i="84"/>
  <c r="A35" i="80"/>
  <c r="A35" i="74"/>
  <c r="A35" i="70"/>
  <c r="A35" i="66"/>
  <c r="A35" i="62"/>
  <c r="A35" i="58"/>
  <c r="A35" i="3"/>
  <c r="A34" i="59"/>
  <c r="A35" i="65"/>
  <c r="A35" i="69"/>
  <c r="A34" i="84"/>
  <c r="A34" i="80"/>
  <c r="A34" i="74"/>
  <c r="A34" i="70"/>
  <c r="A34" i="66"/>
  <c r="A34" i="62"/>
  <c r="A34" i="58"/>
  <c r="A34" i="3"/>
  <c r="A34" i="83"/>
  <c r="A34" i="78"/>
  <c r="A34" i="73"/>
  <c r="A34" i="69"/>
  <c r="A34" i="65"/>
  <c r="A34" i="61"/>
  <c r="A34" i="86"/>
  <c r="A34" i="82"/>
  <c r="A34" i="76"/>
  <c r="A34" i="72"/>
  <c r="A34" i="68"/>
  <c r="A34" i="64"/>
  <c r="A34" i="60"/>
  <c r="A34" i="75"/>
  <c r="A34" i="63"/>
  <c r="A34" i="67"/>
  <c r="A35" i="73"/>
  <c r="A34" i="85"/>
  <c r="A38" i="3"/>
  <c r="A38" i="58"/>
  <c r="A37" i="59"/>
  <c r="A36" i="61"/>
  <c r="A38" i="62"/>
  <c r="A37" i="63"/>
  <c r="A36" i="65"/>
  <c r="A38" i="66"/>
  <c r="A37" i="67"/>
  <c r="A36" i="69"/>
  <c r="A38" i="70"/>
  <c r="A37" i="71"/>
  <c r="A36" i="73"/>
  <c r="A38" i="74"/>
  <c r="A37" i="75"/>
  <c r="A36" i="78"/>
  <c r="A38" i="80"/>
  <c r="A37" i="81"/>
  <c r="A36" i="83"/>
  <c r="A38" i="84"/>
  <c r="A37" i="85"/>
  <c r="A37" i="3"/>
  <c r="A36" i="58"/>
  <c r="A38" i="59"/>
  <c r="A37" i="60"/>
  <c r="A36" i="62"/>
  <c r="A38" i="63"/>
  <c r="A37" i="64"/>
  <c r="A36" i="66"/>
  <c r="A38" i="67"/>
  <c r="A37" i="68"/>
  <c r="A36" i="70"/>
  <c r="A38" i="71"/>
  <c r="A37" i="72"/>
  <c r="A36" i="74"/>
  <c r="A38" i="75"/>
  <c r="A37" i="76"/>
  <c r="A36" i="80"/>
  <c r="A38" i="81"/>
  <c r="A37" i="82"/>
  <c r="A36" i="84"/>
  <c r="A38" i="85"/>
  <c r="A37" i="86"/>
  <c r="A36" i="59"/>
  <c r="A38" i="60"/>
  <c r="A37" i="61"/>
  <c r="A36" i="63"/>
  <c r="A38" i="64"/>
  <c r="A37" i="65"/>
  <c r="A36" i="67"/>
  <c r="A38" i="68"/>
  <c r="A37" i="69"/>
  <c r="A36" i="71"/>
  <c r="A38" i="72"/>
  <c r="A37" i="73"/>
  <c r="A36" i="75"/>
  <c r="A38" i="76"/>
  <c r="A37" i="78"/>
  <c r="A36" i="81"/>
  <c r="A38" i="82"/>
  <c r="A37" i="83"/>
  <c r="A36" i="85"/>
  <c r="A38" i="86"/>
  <c r="C56" i="27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F30" i="86"/>
  <c r="F30" i="85"/>
  <c r="F30" i="84"/>
  <c r="F30" i="83"/>
  <c r="F30" i="82"/>
  <c r="F30" i="81"/>
  <c r="F30" i="80"/>
  <c r="F30" i="78"/>
  <c r="F30" i="76"/>
  <c r="F30" i="75"/>
  <c r="F30" i="74"/>
  <c r="F30" i="73"/>
  <c r="F30" i="71"/>
  <c r="F30" i="70"/>
  <c r="F30" i="69"/>
  <c r="F30" i="68"/>
  <c r="F30" i="67"/>
  <c r="F30" i="66"/>
  <c r="F30" i="65"/>
  <c r="F30" i="64"/>
  <c r="F30" i="63"/>
  <c r="F30" i="62"/>
  <c r="F30" i="61"/>
  <c r="F30" i="60"/>
  <c r="F30" i="59"/>
  <c r="F30" i="58"/>
  <c r="F30" i="3"/>
  <c r="F30" i="16"/>
  <c r="F30" i="19"/>
  <c r="F30" i="17"/>
  <c r="F30" i="18"/>
  <c r="F30" i="14"/>
  <c r="F3" i="27" l="1"/>
  <c r="F4" i="27"/>
  <c r="F5" i="27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2" i="27"/>
  <c r="E41" i="27" l="1"/>
  <c r="D41" i="27"/>
  <c r="G41" i="27" l="1"/>
  <c r="C41" i="27"/>
  <c r="E40" i="27"/>
  <c r="D40" i="27"/>
  <c r="E39" i="27"/>
  <c r="D39" i="27"/>
  <c r="E38" i="27"/>
  <c r="D38" i="27"/>
  <c r="E37" i="27"/>
  <c r="D37" i="27"/>
  <c r="C37" i="27"/>
  <c r="E36" i="27"/>
  <c r="D36" i="27"/>
  <c r="C36" i="27"/>
  <c r="E35" i="27"/>
  <c r="D35" i="27"/>
  <c r="C35" i="27"/>
  <c r="E34" i="27"/>
  <c r="D34" i="27"/>
  <c r="E33" i="27"/>
  <c r="D33" i="27"/>
  <c r="E32" i="27"/>
  <c r="D32" i="27"/>
  <c r="G39" i="27" l="1"/>
  <c r="C39" i="27"/>
  <c r="G38" i="27"/>
  <c r="C38" i="27"/>
  <c r="G37" i="27"/>
  <c r="G36" i="27"/>
  <c r="G35" i="27"/>
  <c r="G34" i="27"/>
  <c r="C34" i="27"/>
  <c r="G33" i="27"/>
  <c r="C33" i="27"/>
  <c r="G32" i="27"/>
  <c r="C32" i="27"/>
  <c r="G40" i="27"/>
  <c r="C40" i="27"/>
  <c r="B1" i="86" l="1"/>
  <c r="B1" i="85"/>
  <c r="B1" i="84"/>
  <c r="B1" i="83"/>
  <c r="B1" i="82"/>
  <c r="B1" i="81"/>
  <c r="B1" i="80"/>
  <c r="B1" i="78"/>
  <c r="B1" i="76"/>
  <c r="B1" i="75"/>
  <c r="B1" i="74"/>
  <c r="B1" i="73"/>
  <c r="B1" i="72"/>
  <c r="B1" i="71"/>
  <c r="B1" i="70"/>
  <c r="B1" i="69"/>
  <c r="B1" i="68"/>
  <c r="B1" i="67"/>
  <c r="B1" i="66"/>
  <c r="B1" i="65"/>
  <c r="B1" i="64"/>
  <c r="B1" i="63"/>
  <c r="B1" i="62"/>
  <c r="B1" i="61"/>
  <c r="B1" i="60"/>
  <c r="E31" i="27"/>
  <c r="D31" i="27"/>
  <c r="E30" i="27"/>
  <c r="D30" i="27"/>
  <c r="E30" i="86"/>
  <c r="E29" i="27" s="1"/>
  <c r="D30" i="86"/>
  <c r="D29" i="27" s="1"/>
  <c r="C30" i="86"/>
  <c r="E30" i="85"/>
  <c r="E28" i="27" s="1"/>
  <c r="D30" i="85"/>
  <c r="D28" i="27" s="1"/>
  <c r="C30" i="85"/>
  <c r="E30" i="84"/>
  <c r="E27" i="27" s="1"/>
  <c r="D30" i="84"/>
  <c r="D27" i="27" s="1"/>
  <c r="C30" i="84"/>
  <c r="E30" i="83"/>
  <c r="E26" i="27" s="1"/>
  <c r="D30" i="83"/>
  <c r="D26" i="27" s="1"/>
  <c r="C30" i="83"/>
  <c r="E30" i="82"/>
  <c r="E25" i="27" s="1"/>
  <c r="D30" i="82"/>
  <c r="D25" i="27" s="1"/>
  <c r="C30" i="82"/>
  <c r="E30" i="81"/>
  <c r="E24" i="27" s="1"/>
  <c r="D30" i="81"/>
  <c r="D24" i="27" s="1"/>
  <c r="C30" i="81"/>
  <c r="E30" i="80"/>
  <c r="E23" i="27" s="1"/>
  <c r="D30" i="80"/>
  <c r="D23" i="27" s="1"/>
  <c r="C30" i="80"/>
  <c r="E30" i="78"/>
  <c r="E22" i="27" s="1"/>
  <c r="D30" i="78"/>
  <c r="D22" i="27" s="1"/>
  <c r="C30" i="78"/>
  <c r="E30" i="76"/>
  <c r="E21" i="27" s="1"/>
  <c r="D30" i="76"/>
  <c r="D21" i="27" s="1"/>
  <c r="C30" i="76"/>
  <c r="E30" i="75"/>
  <c r="E20" i="27" s="1"/>
  <c r="D30" i="75"/>
  <c r="D20" i="27" s="1"/>
  <c r="C30" i="75"/>
  <c r="E30" i="74"/>
  <c r="E19" i="27" s="1"/>
  <c r="D30" i="74"/>
  <c r="D19" i="27" s="1"/>
  <c r="C30" i="74"/>
  <c r="E30" i="73"/>
  <c r="E18" i="27" s="1"/>
  <c r="D30" i="73"/>
  <c r="D18" i="27" s="1"/>
  <c r="C30" i="73"/>
  <c r="E30" i="72"/>
  <c r="E17" i="27" s="1"/>
  <c r="D30" i="72"/>
  <c r="D17" i="27" s="1"/>
  <c r="C30" i="72"/>
  <c r="E30" i="71"/>
  <c r="E16" i="27" s="1"/>
  <c r="D30" i="71"/>
  <c r="D16" i="27" s="1"/>
  <c r="C30" i="71"/>
  <c r="E30" i="70"/>
  <c r="E15" i="27" s="1"/>
  <c r="D30" i="70"/>
  <c r="D15" i="27" s="1"/>
  <c r="C30" i="70"/>
  <c r="E30" i="69"/>
  <c r="E14" i="27" s="1"/>
  <c r="D30" i="69"/>
  <c r="D14" i="27" s="1"/>
  <c r="C30" i="69"/>
  <c r="E30" i="68"/>
  <c r="E13" i="27" s="1"/>
  <c r="D30" i="68"/>
  <c r="D13" i="27" s="1"/>
  <c r="C30" i="68"/>
  <c r="E30" i="67"/>
  <c r="E12" i="27" s="1"/>
  <c r="D30" i="67"/>
  <c r="D12" i="27" s="1"/>
  <c r="C30" i="67"/>
  <c r="E30" i="66"/>
  <c r="E11" i="27" s="1"/>
  <c r="D30" i="66"/>
  <c r="D11" i="27" s="1"/>
  <c r="C30" i="66"/>
  <c r="E30" i="65"/>
  <c r="E10" i="27" s="1"/>
  <c r="D30" i="65"/>
  <c r="D10" i="27" s="1"/>
  <c r="C30" i="65"/>
  <c r="E30" i="64"/>
  <c r="E9" i="27" s="1"/>
  <c r="D30" i="64"/>
  <c r="D9" i="27" s="1"/>
  <c r="C30" i="64"/>
  <c r="E30" i="63"/>
  <c r="E8" i="27" s="1"/>
  <c r="D30" i="63"/>
  <c r="D8" i="27" s="1"/>
  <c r="C30" i="63"/>
  <c r="E30" i="62"/>
  <c r="E7" i="27" s="1"/>
  <c r="D30" i="62"/>
  <c r="D7" i="27" s="1"/>
  <c r="C30" i="62"/>
  <c r="E30" i="61"/>
  <c r="E6" i="27" s="1"/>
  <c r="D30" i="61"/>
  <c r="D6" i="27" s="1"/>
  <c r="C30" i="61"/>
  <c r="E30" i="60"/>
  <c r="E5" i="27" s="1"/>
  <c r="D30" i="60"/>
  <c r="D5" i="27" s="1"/>
  <c r="C30" i="60"/>
  <c r="B1" i="59"/>
  <c r="E30" i="59"/>
  <c r="E4" i="27" s="1"/>
  <c r="D30" i="59"/>
  <c r="D4" i="27" s="1"/>
  <c r="C30" i="59"/>
  <c r="B1" i="58"/>
  <c r="B1" i="3"/>
  <c r="E30" i="58"/>
  <c r="E3" i="27" s="1"/>
  <c r="D30" i="58"/>
  <c r="D3" i="27" s="1"/>
  <c r="C30" i="58"/>
  <c r="A3" i="1"/>
  <c r="C31" i="27" l="1"/>
  <c r="G31" i="27"/>
  <c r="G30" i="27"/>
  <c r="C30" i="27"/>
  <c r="C29" i="27"/>
  <c r="B31" i="86"/>
  <c r="G29" i="27" s="1"/>
  <c r="C28" i="27"/>
  <c r="B31" i="85"/>
  <c r="G28" i="27" s="1"/>
  <c r="C27" i="27"/>
  <c r="B31" i="84"/>
  <c r="G27" i="27" s="1"/>
  <c r="C26" i="27"/>
  <c r="B31" i="83"/>
  <c r="G26" i="27" s="1"/>
  <c r="B31" i="82"/>
  <c r="G25" i="27" s="1"/>
  <c r="C25" i="27"/>
  <c r="C24" i="27"/>
  <c r="B31" i="81"/>
  <c r="G24" i="27" s="1"/>
  <c r="C23" i="27"/>
  <c r="B31" i="80"/>
  <c r="G23" i="27" s="1"/>
  <c r="C22" i="27"/>
  <c r="B31" i="78"/>
  <c r="G22" i="27" s="1"/>
  <c r="C21" i="27"/>
  <c r="B31" i="76"/>
  <c r="G21" i="27" s="1"/>
  <c r="C20" i="27"/>
  <c r="B31" i="75"/>
  <c r="G20" i="27" s="1"/>
  <c r="C19" i="27"/>
  <c r="B31" i="74"/>
  <c r="G19" i="27" s="1"/>
  <c r="C18" i="27"/>
  <c r="B31" i="73"/>
  <c r="G18" i="27" s="1"/>
  <c r="C17" i="27"/>
  <c r="B31" i="72"/>
  <c r="G17" i="27" s="1"/>
  <c r="C16" i="27"/>
  <c r="B31" i="71"/>
  <c r="G16" i="27" s="1"/>
  <c r="C15" i="27"/>
  <c r="B31" i="70"/>
  <c r="G15" i="27" s="1"/>
  <c r="C14" i="27"/>
  <c r="G14" i="27"/>
  <c r="C13" i="27"/>
  <c r="B31" i="68"/>
  <c r="G13" i="27" s="1"/>
  <c r="C12" i="27"/>
  <c r="B31" i="67"/>
  <c r="G12" i="27" s="1"/>
  <c r="C11" i="27"/>
  <c r="B31" i="66"/>
  <c r="G11" i="27" s="1"/>
  <c r="C9" i="27"/>
  <c r="B31" i="64"/>
  <c r="G9" i="27" s="1"/>
  <c r="C8" i="27"/>
  <c r="B31" i="63"/>
  <c r="G8" i="27" s="1"/>
  <c r="C7" i="27"/>
  <c r="B31" i="62"/>
  <c r="G7" i="27" s="1"/>
  <c r="C6" i="27"/>
  <c r="B31" i="61"/>
  <c r="G6" i="27" s="1"/>
  <c r="C3" i="27"/>
  <c r="B31" i="58"/>
  <c r="G3" i="27" s="1"/>
  <c r="C10" i="27"/>
  <c r="B31" i="65"/>
  <c r="G10" i="27" s="1"/>
  <c r="C5" i="27"/>
  <c r="B31" i="60"/>
  <c r="G5" i="27" s="1"/>
  <c r="C4" i="27"/>
  <c r="B31" i="59"/>
  <c r="G4" i="27" s="1"/>
  <c r="E3" i="1"/>
  <c r="E30" i="19" l="1"/>
  <c r="D30" i="19"/>
  <c r="C30" i="19"/>
  <c r="E30" i="18"/>
  <c r="D30" i="18"/>
  <c r="C30" i="18"/>
  <c r="E30" i="17"/>
  <c r="D30" i="17"/>
  <c r="C30" i="17"/>
  <c r="E30" i="16"/>
  <c r="D30" i="16"/>
  <c r="C30" i="16"/>
  <c r="E30" i="14"/>
  <c r="D30" i="14"/>
  <c r="C30" i="14"/>
  <c r="D30" i="3"/>
  <c r="D2" i="27" s="1"/>
  <c r="E30" i="3"/>
  <c r="E2" i="27" s="1"/>
  <c r="C30" i="3"/>
  <c r="E10" i="1"/>
  <c r="E16" i="1"/>
  <c r="A16" i="1"/>
  <c r="E22" i="1"/>
  <c r="A22" i="1"/>
  <c r="A10" i="1"/>
  <c r="E5" i="1"/>
  <c r="A5" i="1"/>
  <c r="E14" i="1"/>
  <c r="A14" i="1"/>
  <c r="E26" i="1"/>
  <c r="A26" i="1"/>
  <c r="E20" i="1"/>
  <c r="A20" i="1"/>
  <c r="E6" i="1"/>
  <c r="A6" i="1"/>
  <c r="E9" i="1"/>
  <c r="A9" i="1"/>
  <c r="E12" i="1"/>
  <c r="A12" i="1"/>
  <c r="E17" i="1"/>
  <c r="A17" i="1"/>
  <c r="E8" i="1"/>
  <c r="A8" i="1"/>
  <c r="E24" i="1"/>
  <c r="A24" i="1"/>
  <c r="E28" i="1"/>
  <c r="A28" i="1"/>
  <c r="E19" i="1"/>
  <c r="A19" i="1"/>
  <c r="E7" i="1"/>
  <c r="A7" i="1"/>
  <c r="E21" i="1"/>
  <c r="A21" i="1"/>
  <c r="E23" i="1"/>
  <c r="A23" i="1"/>
  <c r="E11" i="1"/>
  <c r="A11" i="1"/>
  <c r="E15" i="1"/>
  <c r="A15" i="1"/>
  <c r="E27" i="1"/>
  <c r="A27" i="1"/>
  <c r="E4" i="1"/>
  <c r="A4" i="1"/>
  <c r="E13" i="1"/>
  <c r="A13" i="1"/>
  <c r="E25" i="1"/>
  <c r="A25" i="1"/>
  <c r="E29" i="1"/>
  <c r="A29" i="1"/>
  <c r="E18" i="1"/>
  <c r="A18" i="1"/>
  <c r="B21" i="16" l="1"/>
  <c r="B21" i="61"/>
  <c r="B21" i="58"/>
  <c r="B21" i="62"/>
  <c r="B21" i="66"/>
  <c r="B21" i="70"/>
  <c r="B21" i="74"/>
  <c r="B21" i="80"/>
  <c r="B21" i="84"/>
  <c r="B21" i="18"/>
  <c r="B21" i="3"/>
  <c r="B21" i="67"/>
  <c r="B21" i="71"/>
  <c r="B21" i="75"/>
  <c r="B21" i="81"/>
  <c r="B21" i="85"/>
  <c r="B21" i="17"/>
  <c r="B21" i="59"/>
  <c r="B21" i="63"/>
  <c r="B21" i="60"/>
  <c r="B21" i="64"/>
  <c r="B21" i="68"/>
  <c r="B21" i="72"/>
  <c r="B21" i="76"/>
  <c r="B21" i="82"/>
  <c r="B21" i="86"/>
  <c r="B21" i="19"/>
  <c r="B21" i="65"/>
  <c r="B21" i="69"/>
  <c r="B21" i="73"/>
  <c r="B21" i="78"/>
  <c r="B21" i="83"/>
  <c r="B21" i="14"/>
  <c r="B18" i="16"/>
  <c r="B18" i="19"/>
  <c r="B18" i="17"/>
  <c r="B18" i="18"/>
  <c r="B18" i="14"/>
  <c r="B18" i="86"/>
  <c r="B18" i="85"/>
  <c r="B18" i="84"/>
  <c r="B18" i="83"/>
  <c r="B18" i="82"/>
  <c r="B18" i="81"/>
  <c r="B18" i="80"/>
  <c r="B18" i="78"/>
  <c r="B18" i="76"/>
  <c r="B18" i="75"/>
  <c r="B18" i="74"/>
  <c r="B18" i="73"/>
  <c r="B18" i="72"/>
  <c r="B18" i="71"/>
  <c r="B18" i="70"/>
  <c r="B18" i="69"/>
  <c r="B18" i="68"/>
  <c r="B18" i="67"/>
  <c r="B18" i="66"/>
  <c r="B18" i="65"/>
  <c r="B18" i="64"/>
  <c r="B18" i="63"/>
  <c r="B18" i="62"/>
  <c r="B18" i="61"/>
  <c r="B18" i="60"/>
  <c r="B18" i="59"/>
  <c r="B18" i="58"/>
  <c r="B18" i="3"/>
  <c r="B8" i="16"/>
  <c r="B8" i="19"/>
  <c r="B8" i="17"/>
  <c r="B8" i="18"/>
  <c r="B8" i="14"/>
  <c r="B8" i="86"/>
  <c r="B8" i="85"/>
  <c r="B8" i="84"/>
  <c r="B8" i="83"/>
  <c r="B8" i="82"/>
  <c r="B8" i="81"/>
  <c r="B8" i="80"/>
  <c r="B8" i="78"/>
  <c r="B8" i="76"/>
  <c r="B8" i="75"/>
  <c r="B8" i="74"/>
  <c r="B8" i="73"/>
  <c r="B8" i="72"/>
  <c r="B8" i="71"/>
  <c r="B8" i="70"/>
  <c r="B8" i="69"/>
  <c r="B8" i="68"/>
  <c r="B8" i="67"/>
  <c r="B8" i="66"/>
  <c r="B8" i="65"/>
  <c r="B8" i="64"/>
  <c r="B8" i="63"/>
  <c r="B8" i="62"/>
  <c r="B8" i="61"/>
  <c r="B8" i="60"/>
  <c r="B8" i="59"/>
  <c r="B8" i="58"/>
  <c r="B8" i="3"/>
  <c r="B10" i="16"/>
  <c r="B10" i="19"/>
  <c r="B10" i="17"/>
  <c r="B10" i="18"/>
  <c r="B10" i="14"/>
  <c r="B10" i="86"/>
  <c r="B10" i="85"/>
  <c r="B10" i="84"/>
  <c r="B10" i="83"/>
  <c r="B10" i="82"/>
  <c r="B10" i="81"/>
  <c r="B10" i="80"/>
  <c r="B10" i="78"/>
  <c r="B10" i="76"/>
  <c r="B10" i="75"/>
  <c r="B10" i="74"/>
  <c r="B10" i="73"/>
  <c r="B10" i="72"/>
  <c r="B10" i="71"/>
  <c r="B10" i="70"/>
  <c r="B10" i="69"/>
  <c r="B10" i="68"/>
  <c r="B10" i="67"/>
  <c r="B10" i="66"/>
  <c r="B10" i="65"/>
  <c r="B10" i="64"/>
  <c r="B10" i="63"/>
  <c r="B10" i="62"/>
  <c r="B10" i="61"/>
  <c r="B10" i="60"/>
  <c r="B10" i="59"/>
  <c r="B10" i="58"/>
  <c r="B10" i="3"/>
  <c r="B14" i="16"/>
  <c r="B14" i="19"/>
  <c r="B14" i="17"/>
  <c r="B14" i="18"/>
  <c r="B14" i="14"/>
  <c r="B14" i="86"/>
  <c r="B14" i="85"/>
  <c r="B14" i="84"/>
  <c r="B14" i="83"/>
  <c r="B14" i="82"/>
  <c r="B14" i="81"/>
  <c r="B14" i="80"/>
  <c r="B14" i="78"/>
  <c r="B14" i="76"/>
  <c r="B14" i="75"/>
  <c r="B14" i="74"/>
  <c r="B14" i="73"/>
  <c r="B14" i="72"/>
  <c r="B14" i="71"/>
  <c r="B14" i="70"/>
  <c r="B14" i="69"/>
  <c r="B14" i="68"/>
  <c r="B14" i="67"/>
  <c r="B14" i="66"/>
  <c r="B14" i="65"/>
  <c r="B14" i="64"/>
  <c r="B14" i="63"/>
  <c r="B14" i="62"/>
  <c r="B14" i="61"/>
  <c r="B14" i="60"/>
  <c r="B14" i="59"/>
  <c r="B14" i="58"/>
  <c r="B14" i="3"/>
  <c r="B27" i="16"/>
  <c r="B27" i="19"/>
  <c r="B27" i="17"/>
  <c r="B27" i="18"/>
  <c r="B27" i="14"/>
  <c r="B27" i="86"/>
  <c r="B27" i="85"/>
  <c r="B27" i="84"/>
  <c r="B27" i="83"/>
  <c r="B27" i="82"/>
  <c r="B27" i="81"/>
  <c r="B27" i="80"/>
  <c r="B27" i="78"/>
  <c r="B27" i="76"/>
  <c r="B27" i="75"/>
  <c r="B27" i="74"/>
  <c r="B27" i="73"/>
  <c r="B27" i="72"/>
  <c r="B27" i="71"/>
  <c r="B27" i="70"/>
  <c r="B27" i="69"/>
  <c r="B27" i="68"/>
  <c r="B27" i="67"/>
  <c r="B27" i="66"/>
  <c r="B27" i="65"/>
  <c r="B27" i="64"/>
  <c r="B27" i="63"/>
  <c r="B27" i="62"/>
  <c r="B27" i="61"/>
  <c r="B27" i="60"/>
  <c r="B27" i="59"/>
  <c r="B27" i="58"/>
  <c r="B27" i="3"/>
  <c r="B19" i="16"/>
  <c r="B19" i="19"/>
  <c r="B19" i="17"/>
  <c r="B19" i="18"/>
  <c r="B19" i="14"/>
  <c r="B19" i="86"/>
  <c r="B19" i="85"/>
  <c r="B19" i="84"/>
  <c r="B19" i="83"/>
  <c r="B19" i="82"/>
  <c r="B19" i="81"/>
  <c r="B19" i="80"/>
  <c r="B19" i="78"/>
  <c r="B19" i="76"/>
  <c r="B19" i="75"/>
  <c r="B19" i="74"/>
  <c r="B19" i="73"/>
  <c r="B19" i="72"/>
  <c r="B19" i="71"/>
  <c r="B19" i="70"/>
  <c r="B19" i="69"/>
  <c r="B19" i="68"/>
  <c r="B19" i="67"/>
  <c r="B19" i="66"/>
  <c r="B19" i="65"/>
  <c r="B19" i="64"/>
  <c r="B19" i="63"/>
  <c r="B19" i="62"/>
  <c r="B19" i="61"/>
  <c r="B19" i="60"/>
  <c r="B19" i="59"/>
  <c r="B19" i="58"/>
  <c r="B19" i="3"/>
  <c r="B29" i="16"/>
  <c r="B29" i="19"/>
  <c r="B29" i="17"/>
  <c r="B29" i="18"/>
  <c r="B29" i="14"/>
  <c r="B29" i="86"/>
  <c r="B29" i="85"/>
  <c r="B29" i="84"/>
  <c r="B29" i="83"/>
  <c r="B29" i="82"/>
  <c r="B29" i="81"/>
  <c r="B29" i="80"/>
  <c r="B29" i="78"/>
  <c r="B29" i="76"/>
  <c r="B29" i="75"/>
  <c r="B29" i="74"/>
  <c r="B29" i="73"/>
  <c r="B29" i="72"/>
  <c r="B29" i="71"/>
  <c r="B29" i="70"/>
  <c r="B29" i="69"/>
  <c r="B29" i="68"/>
  <c r="B29" i="67"/>
  <c r="B29" i="66"/>
  <c r="B29" i="65"/>
  <c r="B29" i="64"/>
  <c r="B29" i="63"/>
  <c r="B29" i="62"/>
  <c r="B29" i="61"/>
  <c r="B29" i="60"/>
  <c r="B29" i="59"/>
  <c r="B29" i="58"/>
  <c r="B29" i="3"/>
  <c r="B15" i="16"/>
  <c r="B15" i="19"/>
  <c r="B15" i="17"/>
  <c r="B15" i="18"/>
  <c r="B15" i="14"/>
  <c r="B15" i="86"/>
  <c r="B15" i="85"/>
  <c r="B15" i="84"/>
  <c r="B15" i="83"/>
  <c r="B15" i="82"/>
  <c r="B15" i="81"/>
  <c r="B15" i="80"/>
  <c r="B15" i="78"/>
  <c r="B15" i="76"/>
  <c r="B15" i="75"/>
  <c r="B15" i="74"/>
  <c r="B15" i="73"/>
  <c r="B15" i="72"/>
  <c r="B15" i="71"/>
  <c r="B15" i="70"/>
  <c r="B15" i="69"/>
  <c r="B15" i="68"/>
  <c r="B15" i="67"/>
  <c r="B15" i="66"/>
  <c r="B15" i="65"/>
  <c r="B15" i="64"/>
  <c r="B15" i="63"/>
  <c r="B15" i="62"/>
  <c r="B15" i="61"/>
  <c r="B15" i="60"/>
  <c r="B15" i="59"/>
  <c r="B15" i="58"/>
  <c r="B15" i="3"/>
  <c r="B4" i="16"/>
  <c r="B4" i="19"/>
  <c r="B4" i="17"/>
  <c r="B4" i="18"/>
  <c r="B4" i="14"/>
  <c r="B4" i="86"/>
  <c r="B4" i="85"/>
  <c r="B4" i="84"/>
  <c r="B4" i="83"/>
  <c r="B4" i="82"/>
  <c r="B4" i="81"/>
  <c r="B4" i="80"/>
  <c r="B4" i="78"/>
  <c r="B4" i="76"/>
  <c r="B4" i="75"/>
  <c r="B4" i="74"/>
  <c r="B4" i="73"/>
  <c r="B4" i="72"/>
  <c r="B4" i="71"/>
  <c r="B4" i="70"/>
  <c r="B4" i="69"/>
  <c r="B4" i="68"/>
  <c r="B4" i="67"/>
  <c r="B4" i="66"/>
  <c r="B4" i="65"/>
  <c r="B4" i="64"/>
  <c r="B4" i="63"/>
  <c r="B4" i="62"/>
  <c r="B4" i="61"/>
  <c r="B4" i="60"/>
  <c r="B4" i="59"/>
  <c r="B4" i="58"/>
  <c r="B4" i="3"/>
  <c r="B26" i="16"/>
  <c r="B26" i="19"/>
  <c r="B26" i="17"/>
  <c r="B26" i="18"/>
  <c r="B26" i="14"/>
  <c r="B26" i="86"/>
  <c r="B26" i="85"/>
  <c r="B26" i="84"/>
  <c r="B26" i="83"/>
  <c r="B26" i="82"/>
  <c r="B26" i="81"/>
  <c r="B26" i="80"/>
  <c r="B26" i="78"/>
  <c r="B26" i="76"/>
  <c r="B26" i="75"/>
  <c r="B26" i="74"/>
  <c r="B26" i="73"/>
  <c r="B26" i="72"/>
  <c r="B26" i="71"/>
  <c r="B26" i="70"/>
  <c r="B26" i="69"/>
  <c r="B26" i="68"/>
  <c r="B26" i="67"/>
  <c r="B26" i="66"/>
  <c r="B26" i="65"/>
  <c r="B26" i="64"/>
  <c r="B26" i="63"/>
  <c r="B26" i="62"/>
  <c r="B26" i="61"/>
  <c r="B26" i="60"/>
  <c r="B26" i="59"/>
  <c r="B26" i="58"/>
  <c r="B26" i="3"/>
  <c r="B12" i="16"/>
  <c r="B12" i="19"/>
  <c r="B12" i="17"/>
  <c r="B12" i="18"/>
  <c r="B12" i="14"/>
  <c r="B12" i="86"/>
  <c r="B12" i="85"/>
  <c r="B12" i="84"/>
  <c r="B12" i="83"/>
  <c r="B12" i="82"/>
  <c r="B12" i="81"/>
  <c r="B12" i="80"/>
  <c r="B12" i="78"/>
  <c r="B12" i="76"/>
  <c r="B12" i="75"/>
  <c r="B12" i="74"/>
  <c r="B12" i="73"/>
  <c r="B12" i="72"/>
  <c r="B12" i="71"/>
  <c r="B12" i="70"/>
  <c r="B12" i="69"/>
  <c r="B12" i="68"/>
  <c r="B12" i="67"/>
  <c r="B12" i="66"/>
  <c r="B12" i="65"/>
  <c r="B12" i="64"/>
  <c r="B12" i="63"/>
  <c r="B12" i="62"/>
  <c r="B12" i="61"/>
  <c r="B12" i="60"/>
  <c r="B12" i="59"/>
  <c r="B12" i="58"/>
  <c r="B12" i="3"/>
  <c r="B13" i="16"/>
  <c r="B13" i="19"/>
  <c r="B13" i="17"/>
  <c r="B13" i="18"/>
  <c r="B13" i="14"/>
  <c r="B13" i="86"/>
  <c r="B13" i="85"/>
  <c r="B13" i="84"/>
  <c r="B13" i="83"/>
  <c r="B13" i="82"/>
  <c r="B13" i="81"/>
  <c r="B13" i="80"/>
  <c r="B13" i="78"/>
  <c r="B13" i="76"/>
  <c r="B13" i="75"/>
  <c r="B13" i="74"/>
  <c r="B13" i="73"/>
  <c r="B13" i="72"/>
  <c r="B13" i="71"/>
  <c r="B13" i="70"/>
  <c r="B13" i="69"/>
  <c r="B13" i="68"/>
  <c r="B13" i="67"/>
  <c r="B13" i="66"/>
  <c r="B13" i="65"/>
  <c r="B13" i="64"/>
  <c r="B13" i="63"/>
  <c r="B13" i="62"/>
  <c r="B13" i="61"/>
  <c r="B13" i="60"/>
  <c r="B13" i="59"/>
  <c r="B13" i="58"/>
  <c r="B13" i="3"/>
  <c r="B20" i="19"/>
  <c r="B20" i="18"/>
  <c r="B20" i="86"/>
  <c r="B20" i="84"/>
  <c r="B20" i="82"/>
  <c r="B20" i="80"/>
  <c r="B20" i="76"/>
  <c r="B20" i="74"/>
  <c r="B20" i="72"/>
  <c r="B20" i="70"/>
  <c r="B20" i="68"/>
  <c r="B20" i="66"/>
  <c r="B20" i="64"/>
  <c r="B20" i="62"/>
  <c r="B20" i="60"/>
  <c r="B20" i="58"/>
  <c r="B20" i="16"/>
  <c r="B20" i="17"/>
  <c r="B20" i="14"/>
  <c r="B20" i="85"/>
  <c r="B20" i="83"/>
  <c r="B20" i="81"/>
  <c r="B20" i="78"/>
  <c r="B20" i="75"/>
  <c r="B20" i="73"/>
  <c r="B20" i="71"/>
  <c r="B20" i="69"/>
  <c r="B20" i="67"/>
  <c r="B20" i="65"/>
  <c r="B20" i="63"/>
  <c r="B20" i="61"/>
  <c r="B20" i="59"/>
  <c r="B20" i="3"/>
  <c r="B16" i="16"/>
  <c r="B16" i="19"/>
  <c r="B16" i="17"/>
  <c r="B16" i="18"/>
  <c r="B16" i="14"/>
  <c r="B16" i="86"/>
  <c r="B16" i="85"/>
  <c r="B16" i="84"/>
  <c r="B16" i="83"/>
  <c r="B16" i="82"/>
  <c r="B16" i="81"/>
  <c r="B16" i="80"/>
  <c r="B16" i="78"/>
  <c r="B16" i="76"/>
  <c r="B16" i="75"/>
  <c r="B16" i="74"/>
  <c r="B16" i="73"/>
  <c r="B16" i="72"/>
  <c r="B16" i="71"/>
  <c r="B16" i="70"/>
  <c r="B16" i="69"/>
  <c r="B16" i="68"/>
  <c r="B16" i="67"/>
  <c r="B16" i="66"/>
  <c r="B16" i="65"/>
  <c r="B16" i="64"/>
  <c r="B16" i="63"/>
  <c r="B16" i="62"/>
  <c r="B16" i="61"/>
  <c r="B16" i="60"/>
  <c r="B16" i="59"/>
  <c r="B16" i="58"/>
  <c r="B16" i="3"/>
  <c r="B11" i="19"/>
  <c r="B11" i="18"/>
  <c r="B11" i="86"/>
  <c r="B11" i="84"/>
  <c r="B11" i="82"/>
  <c r="B11" i="80"/>
  <c r="B11" i="76"/>
  <c r="B11" i="74"/>
  <c r="B11" i="72"/>
  <c r="B11" i="70"/>
  <c r="B11" i="68"/>
  <c r="B11" i="66"/>
  <c r="B11" i="64"/>
  <c r="B11" i="60"/>
  <c r="B11" i="16"/>
  <c r="B11" i="17"/>
  <c r="B11" i="14"/>
  <c r="B11" i="85"/>
  <c r="B11" i="83"/>
  <c r="B11" i="81"/>
  <c r="B11" i="78"/>
  <c r="B11" i="75"/>
  <c r="B11" i="73"/>
  <c r="B11" i="71"/>
  <c r="B11" i="69"/>
  <c r="B11" i="67"/>
  <c r="B11" i="65"/>
  <c r="B11" i="63"/>
  <c r="B11" i="61"/>
  <c r="B11" i="59"/>
  <c r="B11" i="3"/>
  <c r="B11" i="62"/>
  <c r="B11" i="58"/>
  <c r="B28" i="16"/>
  <c r="B28" i="19"/>
  <c r="B28" i="18"/>
  <c r="B28" i="14"/>
  <c r="B28" i="84"/>
  <c r="B28" i="82"/>
  <c r="B28" i="80"/>
  <c r="B28" i="76"/>
  <c r="B28" i="73"/>
  <c r="B28" i="70"/>
  <c r="B28" i="67"/>
  <c r="B28" i="66"/>
  <c r="B28" i="62"/>
  <c r="B28" i="61"/>
  <c r="B28" i="3"/>
  <c r="B28" i="17"/>
  <c r="B28" i="86"/>
  <c r="B28" i="85"/>
  <c r="B28" i="83"/>
  <c r="B28" i="81"/>
  <c r="B28" i="78"/>
  <c r="B28" i="75"/>
  <c r="B28" i="74"/>
  <c r="B28" i="72"/>
  <c r="B28" i="71"/>
  <c r="B28" i="69"/>
  <c r="B28" i="68"/>
  <c r="B28" i="65"/>
  <c r="B28" i="64"/>
  <c r="B28" i="63"/>
  <c r="B28" i="60"/>
  <c r="B28" i="59"/>
  <c r="B28" i="58"/>
  <c r="E30" i="1"/>
  <c r="B24" i="16"/>
  <c r="B24" i="19"/>
  <c r="B24" i="17"/>
  <c r="B24" i="18"/>
  <c r="B24" i="14"/>
  <c r="B24" i="86"/>
  <c r="B24" i="85"/>
  <c r="B24" i="84"/>
  <c r="B24" i="83"/>
  <c r="B24" i="82"/>
  <c r="B24" i="81"/>
  <c r="B24" i="80"/>
  <c r="B24" i="78"/>
  <c r="B24" i="76"/>
  <c r="B24" i="75"/>
  <c r="B24" i="74"/>
  <c r="B24" i="73"/>
  <c r="B24" i="72"/>
  <c r="B24" i="71"/>
  <c r="B24" i="70"/>
  <c r="B24" i="69"/>
  <c r="B24" i="68"/>
  <c r="B24" i="67"/>
  <c r="B24" i="66"/>
  <c r="B24" i="65"/>
  <c r="B24" i="64"/>
  <c r="B24" i="63"/>
  <c r="B24" i="62"/>
  <c r="B24" i="61"/>
  <c r="B24" i="60"/>
  <c r="B24" i="59"/>
  <c r="B24" i="58"/>
  <c r="B24" i="3"/>
  <c r="B25" i="16"/>
  <c r="B25" i="19"/>
  <c r="B25" i="17"/>
  <c r="B25" i="18"/>
  <c r="B25" i="14"/>
  <c r="B25" i="86"/>
  <c r="B25" i="85"/>
  <c r="B25" i="84"/>
  <c r="B25" i="83"/>
  <c r="B25" i="82"/>
  <c r="B25" i="81"/>
  <c r="B25" i="80"/>
  <c r="B25" i="78"/>
  <c r="B25" i="76"/>
  <c r="B25" i="75"/>
  <c r="B25" i="74"/>
  <c r="B25" i="73"/>
  <c r="B25" i="72"/>
  <c r="B25" i="71"/>
  <c r="B25" i="70"/>
  <c r="B25" i="69"/>
  <c r="B25" i="68"/>
  <c r="B25" i="67"/>
  <c r="B25" i="66"/>
  <c r="B25" i="65"/>
  <c r="B25" i="64"/>
  <c r="B25" i="63"/>
  <c r="B25" i="62"/>
  <c r="B25" i="61"/>
  <c r="B25" i="60"/>
  <c r="B25" i="59"/>
  <c r="B25" i="58"/>
  <c r="B25" i="3"/>
  <c r="B6" i="16"/>
  <c r="B6" i="19"/>
  <c r="B6" i="17"/>
  <c r="B6" i="18"/>
  <c r="B6" i="14"/>
  <c r="B6" i="86"/>
  <c r="B6" i="85"/>
  <c r="B6" i="84"/>
  <c r="B6" i="83"/>
  <c r="B6" i="82"/>
  <c r="B6" i="81"/>
  <c r="B6" i="80"/>
  <c r="B6" i="78"/>
  <c r="B6" i="76"/>
  <c r="B6" i="75"/>
  <c r="B6" i="74"/>
  <c r="B6" i="73"/>
  <c r="B6" i="72"/>
  <c r="B6" i="71"/>
  <c r="B6" i="70"/>
  <c r="B6" i="69"/>
  <c r="B6" i="68"/>
  <c r="B6" i="67"/>
  <c r="B6" i="66"/>
  <c r="B6" i="65"/>
  <c r="B6" i="64"/>
  <c r="B6" i="63"/>
  <c r="B6" i="62"/>
  <c r="B6" i="61"/>
  <c r="B6" i="59"/>
  <c r="B6" i="3"/>
  <c r="B6" i="60"/>
  <c r="B6" i="58"/>
  <c r="B7" i="16"/>
  <c r="B7" i="19"/>
  <c r="B7" i="17"/>
  <c r="B7" i="18"/>
  <c r="B7" i="14"/>
  <c r="B7" i="86"/>
  <c r="B7" i="85"/>
  <c r="B7" i="84"/>
  <c r="B7" i="83"/>
  <c r="B7" i="82"/>
  <c r="B7" i="81"/>
  <c r="B7" i="80"/>
  <c r="B7" i="78"/>
  <c r="B7" i="76"/>
  <c r="B7" i="75"/>
  <c r="B7" i="74"/>
  <c r="B7" i="73"/>
  <c r="B7" i="72"/>
  <c r="B7" i="71"/>
  <c r="B7" i="70"/>
  <c r="B7" i="69"/>
  <c r="B7" i="68"/>
  <c r="B7" i="67"/>
  <c r="B7" i="66"/>
  <c r="B7" i="65"/>
  <c r="B7" i="64"/>
  <c r="B7" i="63"/>
  <c r="B7" i="62"/>
  <c r="B7" i="61"/>
  <c r="B7" i="60"/>
  <c r="B7" i="59"/>
  <c r="B7" i="58"/>
  <c r="B7" i="3"/>
  <c r="B22" i="16"/>
  <c r="B22" i="19"/>
  <c r="B22" i="17"/>
  <c r="B22" i="18"/>
  <c r="B22" i="14"/>
  <c r="B22" i="86"/>
  <c r="B22" i="85"/>
  <c r="B22" i="84"/>
  <c r="B22" i="83"/>
  <c r="B22" i="82"/>
  <c r="B22" i="81"/>
  <c r="B22" i="80"/>
  <c r="B22" i="78"/>
  <c r="B22" i="76"/>
  <c r="B22" i="75"/>
  <c r="B22" i="74"/>
  <c r="B22" i="73"/>
  <c r="B22" i="72"/>
  <c r="B22" i="71"/>
  <c r="B22" i="70"/>
  <c r="B22" i="69"/>
  <c r="B22" i="68"/>
  <c r="B22" i="67"/>
  <c r="B22" i="66"/>
  <c r="B22" i="65"/>
  <c r="B22" i="64"/>
  <c r="B22" i="63"/>
  <c r="B22" i="62"/>
  <c r="B22" i="61"/>
  <c r="B22" i="60"/>
  <c r="B22" i="58"/>
  <c r="B22" i="59"/>
  <c r="B22" i="3"/>
  <c r="B23" i="16"/>
  <c r="B23" i="19"/>
  <c r="B23" i="17"/>
  <c r="B23" i="18"/>
  <c r="B23" i="14"/>
  <c r="B23" i="86"/>
  <c r="B23" i="85"/>
  <c r="B23" i="84"/>
  <c r="B23" i="83"/>
  <c r="B23" i="82"/>
  <c r="B23" i="81"/>
  <c r="B23" i="80"/>
  <c r="B23" i="78"/>
  <c r="B23" i="76"/>
  <c r="B23" i="75"/>
  <c r="B23" i="74"/>
  <c r="B23" i="73"/>
  <c r="B23" i="72"/>
  <c r="B23" i="71"/>
  <c r="B23" i="70"/>
  <c r="B23" i="69"/>
  <c r="B23" i="68"/>
  <c r="B23" i="67"/>
  <c r="B23" i="66"/>
  <c r="B23" i="65"/>
  <c r="B23" i="64"/>
  <c r="B23" i="63"/>
  <c r="B23" i="62"/>
  <c r="B23" i="61"/>
  <c r="B23" i="60"/>
  <c r="B23" i="59"/>
  <c r="B23" i="58"/>
  <c r="B23" i="3"/>
  <c r="B17" i="73"/>
  <c r="B17" i="62"/>
  <c r="B17" i="59"/>
  <c r="B17" i="3"/>
  <c r="B17" i="16"/>
  <c r="B17" i="19"/>
  <c r="B17" i="17"/>
  <c r="B17" i="18"/>
  <c r="B17" i="14"/>
  <c r="B17" i="86"/>
  <c r="B17" i="85"/>
  <c r="B17" i="84"/>
  <c r="B17" i="83"/>
  <c r="B17" i="82"/>
  <c r="B17" i="81"/>
  <c r="B17" i="80"/>
  <c r="B17" i="78"/>
  <c r="B17" i="76"/>
  <c r="B17" i="75"/>
  <c r="B17" i="74"/>
  <c r="B17" i="72"/>
  <c r="B17" i="71"/>
  <c r="B17" i="70"/>
  <c r="B17" i="69"/>
  <c r="B17" i="68"/>
  <c r="B17" i="67"/>
  <c r="B17" i="66"/>
  <c r="B17" i="65"/>
  <c r="B17" i="64"/>
  <c r="B17" i="63"/>
  <c r="B17" i="61"/>
  <c r="B17" i="60"/>
  <c r="B17" i="58"/>
  <c r="B9" i="16"/>
  <c r="B9" i="17"/>
  <c r="B9" i="14"/>
  <c r="B9" i="85"/>
  <c r="B9" i="83"/>
  <c r="B9" i="81"/>
  <c r="B9" i="78"/>
  <c r="B9" i="75"/>
  <c r="B9" i="73"/>
  <c r="B9" i="71"/>
  <c r="B9" i="69"/>
  <c r="B9" i="67"/>
  <c r="B9" i="65"/>
  <c r="B9" i="63"/>
  <c r="B9" i="59"/>
  <c r="B9" i="19"/>
  <c r="B9" i="18"/>
  <c r="B9" i="86"/>
  <c r="B9" i="84"/>
  <c r="B9" i="82"/>
  <c r="B9" i="80"/>
  <c r="B9" i="76"/>
  <c r="B9" i="74"/>
  <c r="B9" i="72"/>
  <c r="B9" i="70"/>
  <c r="B9" i="68"/>
  <c r="B9" i="66"/>
  <c r="B9" i="64"/>
  <c r="B9" i="62"/>
  <c r="B9" i="60"/>
  <c r="B9" i="58"/>
  <c r="B9" i="61"/>
  <c r="B9" i="3"/>
  <c r="B5" i="71"/>
  <c r="B5" i="60"/>
  <c r="B5" i="58"/>
  <c r="B5" i="16"/>
  <c r="B5" i="19"/>
  <c r="B5" i="17"/>
  <c r="B5" i="18"/>
  <c r="B5" i="14"/>
  <c r="B5" i="86"/>
  <c r="B5" i="85"/>
  <c r="B5" i="84"/>
  <c r="B5" i="83"/>
  <c r="B5" i="82"/>
  <c r="B5" i="81"/>
  <c r="B5" i="80"/>
  <c r="B5" i="78"/>
  <c r="B5" i="76"/>
  <c r="B5" i="75"/>
  <c r="B5" i="74"/>
  <c r="B5" i="73"/>
  <c r="B5" i="72"/>
  <c r="B5" i="70"/>
  <c r="B5" i="69"/>
  <c r="B5" i="68"/>
  <c r="B5" i="67"/>
  <c r="B5" i="66"/>
  <c r="B5" i="65"/>
  <c r="B5" i="64"/>
  <c r="B5" i="63"/>
  <c r="B5" i="62"/>
  <c r="B5" i="61"/>
  <c r="B5" i="59"/>
  <c r="B5" i="3"/>
  <c r="B3" i="16"/>
  <c r="A3" i="16" s="1"/>
  <c r="B3" i="17"/>
  <c r="B3" i="14"/>
  <c r="A3" i="14" s="1"/>
  <c r="B3" i="85"/>
  <c r="B3" i="83"/>
  <c r="B3" i="81"/>
  <c r="B3" i="78"/>
  <c r="B3" i="75"/>
  <c r="B3" i="73"/>
  <c r="B3" i="71"/>
  <c r="B3" i="69"/>
  <c r="B3" i="67"/>
  <c r="B3" i="65"/>
  <c r="B3" i="63"/>
  <c r="B3" i="61"/>
  <c r="B3" i="3"/>
  <c r="B3" i="19"/>
  <c r="A3" i="19" s="1"/>
  <c r="B3" i="18"/>
  <c r="A3" i="18" s="1"/>
  <c r="B3" i="86"/>
  <c r="B3" i="84"/>
  <c r="B3" i="82"/>
  <c r="B3" i="80"/>
  <c r="B3" i="76"/>
  <c r="B3" i="74"/>
  <c r="B3" i="72"/>
  <c r="B3" i="70"/>
  <c r="B3" i="68"/>
  <c r="B3" i="66"/>
  <c r="B3" i="64"/>
  <c r="B3" i="62"/>
  <c r="B3" i="60"/>
  <c r="B3" i="58"/>
  <c r="B3" i="59"/>
  <c r="B31" i="3"/>
  <c r="G2" i="27" s="1"/>
  <c r="C2" i="27"/>
  <c r="A3" i="17"/>
  <c r="A4" i="60" l="1"/>
  <c r="A4" i="64"/>
  <c r="A4" i="68"/>
  <c r="A4" i="70"/>
  <c r="A4" i="72"/>
  <c r="A4" i="66"/>
  <c r="A4" i="85"/>
  <c r="A4" i="18"/>
  <c r="A22" i="59"/>
  <c r="A22" i="63"/>
  <c r="A22" i="74"/>
  <c r="A22" i="76"/>
  <c r="A22" i="80"/>
  <c r="A22" i="82"/>
  <c r="A3" i="58"/>
  <c r="A29" i="58"/>
  <c r="A3" i="62"/>
  <c r="A29" i="62"/>
  <c r="A29" i="65"/>
  <c r="A3" i="65"/>
  <c r="A29" i="61"/>
  <c r="A3" i="61"/>
  <c r="A3" i="73"/>
  <c r="A29" i="73"/>
  <c r="A3" i="75"/>
  <c r="A29" i="75"/>
  <c r="A3" i="67"/>
  <c r="A29" i="67"/>
  <c r="A3" i="69"/>
  <c r="A29" i="69"/>
  <c r="A3" i="71"/>
  <c r="A29" i="71"/>
  <c r="A29" i="78"/>
  <c r="A3" i="78"/>
  <c r="A3" i="81"/>
  <c r="A29" i="81"/>
  <c r="A3" i="83"/>
  <c r="A29" i="83"/>
  <c r="A3" i="84"/>
  <c r="A29" i="84"/>
  <c r="A3" i="86"/>
  <c r="A29" i="86"/>
  <c r="A4" i="58"/>
  <c r="A4" i="62"/>
  <c r="A4" i="75"/>
  <c r="A4" i="78"/>
  <c r="A4" i="81"/>
  <c r="A4" i="83"/>
  <c r="A22" i="58"/>
  <c r="A22" i="61"/>
  <c r="A22" i="67"/>
  <c r="A22" i="69"/>
  <c r="A22" i="71"/>
  <c r="A22" i="73"/>
  <c r="A22" i="84"/>
  <c r="A22" i="86"/>
  <c r="A24" i="59"/>
  <c r="A24" i="60"/>
  <c r="A24" i="62"/>
  <c r="A24" i="65"/>
  <c r="A24" i="68"/>
  <c r="A24" i="70"/>
  <c r="A24" i="72"/>
  <c r="A24" i="66"/>
  <c r="A24" i="75"/>
  <c r="A24" i="78"/>
  <c r="A24" i="81"/>
  <c r="A24" i="83"/>
  <c r="A24" i="85"/>
  <c r="A26" i="59"/>
  <c r="A26" i="58"/>
  <c r="A26" i="61"/>
  <c r="A26" i="63"/>
  <c r="A26" i="67"/>
  <c r="A26" i="69"/>
  <c r="A26" i="71"/>
  <c r="A26" i="73"/>
  <c r="A26" i="74"/>
  <c r="A26" i="76"/>
  <c r="A26" i="80"/>
  <c r="A26" i="82"/>
  <c r="A26" i="84"/>
  <c r="A26" i="86"/>
  <c r="A28" i="59"/>
  <c r="A28" i="60"/>
  <c r="A28" i="62"/>
  <c r="A28" i="65"/>
  <c r="A28" i="68"/>
  <c r="A28" i="70"/>
  <c r="A28" i="72"/>
  <c r="A28" i="66"/>
  <c r="A28" i="75"/>
  <c r="A28" i="78"/>
  <c r="A28" i="81"/>
  <c r="A28" i="83"/>
  <c r="A28" i="85"/>
  <c r="A5" i="62"/>
  <c r="A5" i="65"/>
  <c r="A5" i="60"/>
  <c r="A5" i="59"/>
  <c r="A5" i="73"/>
  <c r="A5" i="66"/>
  <c r="A5" i="68"/>
  <c r="A5" i="70"/>
  <c r="A5" i="72"/>
  <c r="A5" i="80"/>
  <c r="A5" i="82"/>
  <c r="A5" i="75"/>
  <c r="A5" i="83"/>
  <c r="A5" i="86"/>
  <c r="A6" i="65"/>
  <c r="A6" i="59"/>
  <c r="A6" i="61"/>
  <c r="A6" i="63"/>
  <c r="A6" i="68"/>
  <c r="A6" i="70"/>
  <c r="A6" i="72"/>
  <c r="A6" i="66"/>
  <c r="A6" i="75"/>
  <c r="A6" i="78"/>
  <c r="A6" i="81"/>
  <c r="A6" i="83"/>
  <c r="A6" i="85"/>
  <c r="A7" i="60"/>
  <c r="A7" i="62"/>
  <c r="A7" i="65"/>
  <c r="A7" i="59"/>
  <c r="A7" i="73"/>
  <c r="A7" i="66"/>
  <c r="A7" i="68"/>
  <c r="A7" i="70"/>
  <c r="A7" i="72"/>
  <c r="A7" i="80"/>
  <c r="A7" i="82"/>
  <c r="A7" i="75"/>
  <c r="A7" i="84"/>
  <c r="A7" i="86"/>
  <c r="A8" i="58"/>
  <c r="A8" i="60"/>
  <c r="A8" i="62"/>
  <c r="A8" i="65"/>
  <c r="A8" i="68"/>
  <c r="A8" i="70"/>
  <c r="A8" i="72"/>
  <c r="A8" i="66"/>
  <c r="A8" i="75"/>
  <c r="A8" i="78"/>
  <c r="A8" i="81"/>
  <c r="A8" i="83"/>
  <c r="A8" i="85"/>
  <c r="A9" i="58"/>
  <c r="A9" i="62"/>
  <c r="A9" i="60"/>
  <c r="A9" i="64"/>
  <c r="A9" i="73"/>
  <c r="A9" i="66"/>
  <c r="A9" i="68"/>
  <c r="A9" i="70"/>
  <c r="A9" i="72"/>
  <c r="A9" i="80"/>
  <c r="A9" i="82"/>
  <c r="A9" i="76"/>
  <c r="A9" i="84"/>
  <c r="A9" i="86"/>
  <c r="A10" i="58"/>
  <c r="A10" i="60"/>
  <c r="A10" i="62"/>
  <c r="A10" i="65"/>
  <c r="A10" i="68"/>
  <c r="A10" i="70"/>
  <c r="A10" i="72"/>
  <c r="A10" i="66"/>
  <c r="A10" i="75"/>
  <c r="A10" i="78"/>
  <c r="A10" i="81"/>
  <c r="A10" i="83"/>
  <c r="A10" i="85"/>
  <c r="A11" i="60"/>
  <c r="A11" i="62"/>
  <c r="A11" i="58"/>
  <c r="A11" i="64"/>
  <c r="A11" i="73"/>
  <c r="A11" i="66"/>
  <c r="A11" i="68"/>
  <c r="A11" i="70"/>
  <c r="A11" i="72"/>
  <c r="A11" i="80"/>
  <c r="A11" i="82"/>
  <c r="A11" i="75"/>
  <c r="A11" i="84"/>
  <c r="A11" i="86"/>
  <c r="A12" i="59"/>
  <c r="A12" i="60"/>
  <c r="A12" i="62"/>
  <c r="A12" i="65"/>
  <c r="A12" i="68"/>
  <c r="A12" i="70"/>
  <c r="A12" i="72"/>
  <c r="A12" i="66"/>
  <c r="A12" i="75"/>
  <c r="A12" i="78"/>
  <c r="A12" i="81"/>
  <c r="A12" i="83"/>
  <c r="A12" i="85"/>
  <c r="A13" i="58"/>
  <c r="A13" i="62"/>
  <c r="A13" i="60"/>
  <c r="A13" i="64"/>
  <c r="A3" i="60"/>
  <c r="A29" i="60"/>
  <c r="A3" i="63"/>
  <c r="A29" i="63"/>
  <c r="A29" i="59"/>
  <c r="A3" i="59"/>
  <c r="A29" i="64"/>
  <c r="A3" i="64"/>
  <c r="A3" i="74"/>
  <c r="A29" i="74"/>
  <c r="A3" i="66"/>
  <c r="A29" i="66"/>
  <c r="A3" i="68"/>
  <c r="A29" i="68"/>
  <c r="A3" i="70"/>
  <c r="A29" i="70"/>
  <c r="A3" i="72"/>
  <c r="A29" i="72"/>
  <c r="A3" i="80"/>
  <c r="A29" i="80"/>
  <c r="A3" i="82"/>
  <c r="A29" i="82"/>
  <c r="A3" i="76"/>
  <c r="A29" i="76"/>
  <c r="A29" i="85"/>
  <c r="A3" i="85"/>
  <c r="A4" i="65"/>
  <c r="A4" i="59"/>
  <c r="A4" i="61"/>
  <c r="A4" i="63"/>
  <c r="A4" i="67"/>
  <c r="A4" i="69"/>
  <c r="A4" i="71"/>
  <c r="A4" i="73"/>
  <c r="A4" i="74"/>
  <c r="A4" i="76"/>
  <c r="A4" i="80"/>
  <c r="A4" i="82"/>
  <c r="A4" i="84"/>
  <c r="A4" i="86"/>
  <c r="A22" i="64"/>
  <c r="A22" i="60"/>
  <c r="A22" i="62"/>
  <c r="A22" i="65"/>
  <c r="A22" i="68"/>
  <c r="A22" i="70"/>
  <c r="A22" i="72"/>
  <c r="A22" i="66"/>
  <c r="A22" i="75"/>
  <c r="A22" i="78"/>
  <c r="A22" i="81"/>
  <c r="A22" i="83"/>
  <c r="A22" i="85"/>
  <c r="A24" i="64"/>
  <c r="A24" i="58"/>
  <c r="A24" i="61"/>
  <c r="A24" i="63"/>
  <c r="A24" i="67"/>
  <c r="A24" i="69"/>
  <c r="A24" i="71"/>
  <c r="A24" i="73"/>
  <c r="A24" i="74"/>
  <c r="A24" i="76"/>
  <c r="A24" i="80"/>
  <c r="A24" i="82"/>
  <c r="A24" i="84"/>
  <c r="A24" i="86"/>
  <c r="A26" i="64"/>
  <c r="A26" i="60"/>
  <c r="A26" i="62"/>
  <c r="A26" i="65"/>
  <c r="A26" i="68"/>
  <c r="A26" i="70"/>
  <c r="A26" i="72"/>
  <c r="A26" i="66"/>
  <c r="A26" i="75"/>
  <c r="A26" i="78"/>
  <c r="A26" i="81"/>
  <c r="A26" i="83"/>
  <c r="A26" i="85"/>
  <c r="A28" i="64"/>
  <c r="A28" i="58"/>
  <c r="A28" i="61"/>
  <c r="A28" i="63"/>
  <c r="A28" i="67"/>
  <c r="A28" i="69"/>
  <c r="A28" i="71"/>
  <c r="A28" i="73"/>
  <c r="A28" i="74"/>
  <c r="A28" i="76"/>
  <c r="A28" i="80"/>
  <c r="A28" i="82"/>
  <c r="A28" i="84"/>
  <c r="A28" i="86"/>
  <c r="A5" i="63"/>
  <c r="A5" i="58"/>
  <c r="A5" i="61"/>
  <c r="A5" i="64"/>
  <c r="A5" i="74"/>
  <c r="A5" i="67"/>
  <c r="A5" i="69"/>
  <c r="A5" i="71"/>
  <c r="A5" i="78"/>
  <c r="A5" i="81"/>
  <c r="A5" i="84"/>
  <c r="A5" i="76"/>
  <c r="A5" i="85"/>
  <c r="A6" i="64"/>
  <c r="A6" i="58"/>
  <c r="A6" i="60"/>
  <c r="A6" i="62"/>
  <c r="A6" i="67"/>
  <c r="A6" i="69"/>
  <c r="A6" i="71"/>
  <c r="A6" i="73"/>
  <c r="A6" i="74"/>
  <c r="A6" i="76"/>
  <c r="A6" i="80"/>
  <c r="A6" i="82"/>
  <c r="A6" i="84"/>
  <c r="A6" i="86"/>
  <c r="A7" i="61"/>
  <c r="A7" i="63"/>
  <c r="A7" i="58"/>
  <c r="A7" i="64"/>
  <c r="A7" i="74"/>
  <c r="A7" i="67"/>
  <c r="A7" i="69"/>
  <c r="A7" i="71"/>
  <c r="A7" i="78"/>
  <c r="A7" i="81"/>
  <c r="A7" i="83"/>
  <c r="A7" i="76"/>
  <c r="A7" i="85"/>
  <c r="A8" i="64"/>
  <c r="A8" i="59"/>
  <c r="A8" i="61"/>
  <c r="A8" i="63"/>
  <c r="A8" i="67"/>
  <c r="A8" i="69"/>
  <c r="A8" i="71"/>
  <c r="A8" i="73"/>
  <c r="A8" i="74"/>
  <c r="A8" i="76"/>
  <c r="A8" i="80"/>
  <c r="A8" i="82"/>
  <c r="A8" i="84"/>
  <c r="A8" i="86"/>
  <c r="A9" i="61"/>
  <c r="A9" i="63"/>
  <c r="A9" i="59"/>
  <c r="A9" i="65"/>
  <c r="A9" i="74"/>
  <c r="A9" i="67"/>
  <c r="A9" i="69"/>
  <c r="A9" i="71"/>
  <c r="A9" i="78"/>
  <c r="A9" i="81"/>
  <c r="A9" i="75"/>
  <c r="A9" i="83"/>
  <c r="A9" i="85"/>
  <c r="A10" i="64"/>
  <c r="A10" i="59"/>
  <c r="A10" i="61"/>
  <c r="A10" i="63"/>
  <c r="A10" i="67"/>
  <c r="A10" i="69"/>
  <c r="A10" i="71"/>
  <c r="A10" i="73"/>
  <c r="A10" i="74"/>
  <c r="A10" i="76"/>
  <c r="A10" i="80"/>
  <c r="A10" i="82"/>
  <c r="A10" i="84"/>
  <c r="A10" i="86"/>
  <c r="A11" i="61"/>
  <c r="A11" i="63"/>
  <c r="A11" i="59"/>
  <c r="A11" i="65"/>
  <c r="A11" i="74"/>
  <c r="A11" i="67"/>
  <c r="A11" i="69"/>
  <c r="A11" i="71"/>
  <c r="A11" i="78"/>
  <c r="A11" i="81"/>
  <c r="A11" i="83"/>
  <c r="A11" i="76"/>
  <c r="A11" i="85"/>
  <c r="A12" i="64"/>
  <c r="A12" i="58"/>
  <c r="A12" i="61"/>
  <c r="A12" i="63"/>
  <c r="A12" i="67"/>
  <c r="A12" i="69"/>
  <c r="A12" i="71"/>
  <c r="A12" i="73"/>
  <c r="A12" i="74"/>
  <c r="A12" i="76"/>
  <c r="A12" i="80"/>
  <c r="A12" i="82"/>
  <c r="A12" i="84"/>
  <c r="A12" i="86"/>
  <c r="A13" i="61"/>
  <c r="A13" i="63"/>
  <c r="A13" i="59"/>
  <c r="A13" i="65"/>
  <c r="A13" i="74"/>
  <c r="A13" i="67"/>
  <c r="A13" i="69"/>
  <c r="A13" i="71"/>
  <c r="A13" i="78"/>
  <c r="A13" i="81"/>
  <c r="A13" i="75"/>
  <c r="A13" i="83"/>
  <c r="A13" i="85"/>
  <c r="A14" i="59"/>
  <c r="A13" i="73"/>
  <c r="A13" i="66"/>
  <c r="A13" i="68"/>
  <c r="A13" i="70"/>
  <c r="A13" i="72"/>
  <c r="A13" i="80"/>
  <c r="A13" i="82"/>
  <c r="A13" i="76"/>
  <c r="A13" i="84"/>
  <c r="A13" i="86"/>
  <c r="A14" i="64"/>
  <c r="A14" i="60"/>
  <c r="A14" i="62"/>
  <c r="A14" i="65"/>
  <c r="A14" i="68"/>
  <c r="A14" i="70"/>
  <c r="A14" i="72"/>
  <c r="A14" i="66"/>
  <c r="A14" i="75"/>
  <c r="A14" i="78"/>
  <c r="A14" i="81"/>
  <c r="A14" i="83"/>
  <c r="A14" i="85"/>
  <c r="A15" i="60"/>
  <c r="A15" i="62"/>
  <c r="A15" i="58"/>
  <c r="A15" i="64"/>
  <c r="A15" i="73"/>
  <c r="A15" i="66"/>
  <c r="A15" i="68"/>
  <c r="A15" i="70"/>
  <c r="A15" i="72"/>
  <c r="A15" i="80"/>
  <c r="A15" i="82"/>
  <c r="A15" i="75"/>
  <c r="A15" i="84"/>
  <c r="A15" i="86"/>
  <c r="A16" i="59"/>
  <c r="A16" i="60"/>
  <c r="A16" i="62"/>
  <c r="A16" i="65"/>
  <c r="A16" i="68"/>
  <c r="A16" i="70"/>
  <c r="A16" i="72"/>
  <c r="A16" i="66"/>
  <c r="A16" i="75"/>
  <c r="A16" i="78"/>
  <c r="A16" i="81"/>
  <c r="A16" i="83"/>
  <c r="A16" i="85"/>
  <c r="A17" i="58"/>
  <c r="A17" i="62"/>
  <c r="A17" i="60"/>
  <c r="A17" i="64"/>
  <c r="A17" i="73"/>
  <c r="A17" i="66"/>
  <c r="A17" i="68"/>
  <c r="A17" i="70"/>
  <c r="A17" i="72"/>
  <c r="A17" i="80"/>
  <c r="A17" i="82"/>
  <c r="A17" i="76"/>
  <c r="A17" i="84"/>
  <c r="A17" i="86"/>
  <c r="A18" i="64"/>
  <c r="A18" i="60"/>
  <c r="A18" i="62"/>
  <c r="A18" i="65"/>
  <c r="A18" i="68"/>
  <c r="A18" i="70"/>
  <c r="A18" i="72"/>
  <c r="A18" i="66"/>
  <c r="A18" i="75"/>
  <c r="A18" i="78"/>
  <c r="A18" i="81"/>
  <c r="A18" i="83"/>
  <c r="A18" i="85"/>
  <c r="A19" i="60"/>
  <c r="A19" i="62"/>
  <c r="A19" i="58"/>
  <c r="A19" i="64"/>
  <c r="A19" i="73"/>
  <c r="A19" i="66"/>
  <c r="A19" i="68"/>
  <c r="A19" i="70"/>
  <c r="A19" i="72"/>
  <c r="A19" i="80"/>
  <c r="A19" i="83"/>
  <c r="A19" i="76"/>
  <c r="A19" i="84"/>
  <c r="A19" i="86"/>
  <c r="A20" i="59"/>
  <c r="A20" i="60"/>
  <c r="A20" i="62"/>
  <c r="A20" i="65"/>
  <c r="A20" i="68"/>
  <c r="A20" i="70"/>
  <c r="A20" i="72"/>
  <c r="A20" i="66"/>
  <c r="A20" i="75"/>
  <c r="A20" i="78"/>
  <c r="A20" i="81"/>
  <c r="A20" i="83"/>
  <c r="A20" i="85"/>
  <c r="A21" i="61"/>
  <c r="A21" i="63"/>
  <c r="A21" i="60"/>
  <c r="A21" i="64"/>
  <c r="A21" i="73"/>
  <c r="A21" i="66"/>
  <c r="A21" i="68"/>
  <c r="A21" i="70"/>
  <c r="A21" i="72"/>
  <c r="A21" i="80"/>
  <c r="A21" i="82"/>
  <c r="A21" i="76"/>
  <c r="A21" i="84"/>
  <c r="A21" i="86"/>
  <c r="A23" i="61"/>
  <c r="A23" i="63"/>
  <c r="A23" i="59"/>
  <c r="A23" i="65"/>
  <c r="A23" i="74"/>
  <c r="A23" i="67"/>
  <c r="A23" i="69"/>
  <c r="A23" i="71"/>
  <c r="A23" i="78"/>
  <c r="A23" i="81"/>
  <c r="A23" i="75"/>
  <c r="A23" i="82"/>
  <c r="A23" i="85"/>
  <c r="A25" i="60"/>
  <c r="A25" i="62"/>
  <c r="A25" i="58"/>
  <c r="A25" i="64"/>
  <c r="A25" i="73"/>
  <c r="A25" i="66"/>
  <c r="A25" i="68"/>
  <c r="A25" i="70"/>
  <c r="A25" i="72"/>
  <c r="A25" i="80"/>
  <c r="A25" i="82"/>
  <c r="A25" i="76"/>
  <c r="A25" i="84"/>
  <c r="A25" i="86"/>
  <c r="A27" i="61"/>
  <c r="A27" i="63"/>
  <c r="A27" i="59"/>
  <c r="A27" i="65"/>
  <c r="A27" i="74"/>
  <c r="A27" i="67"/>
  <c r="A27" i="69"/>
  <c r="A27" i="71"/>
  <c r="A27" i="78"/>
  <c r="A27" i="81"/>
  <c r="A27" i="75"/>
  <c r="A27" i="82"/>
  <c r="A27" i="85"/>
  <c r="A14" i="58"/>
  <c r="A14" i="61"/>
  <c r="A14" i="63"/>
  <c r="A14" i="67"/>
  <c r="A14" i="69"/>
  <c r="A14" i="71"/>
  <c r="A14" i="73"/>
  <c r="A14" i="74"/>
  <c r="A14" i="76"/>
  <c r="A14" i="80"/>
  <c r="A14" i="82"/>
  <c r="A14" i="84"/>
  <c r="A14" i="86"/>
  <c r="A15" i="61"/>
  <c r="A15" i="63"/>
  <c r="A15" i="59"/>
  <c r="A15" i="65"/>
  <c r="A15" i="74"/>
  <c r="A15" i="67"/>
  <c r="A15" i="69"/>
  <c r="A15" i="71"/>
  <c r="A15" i="78"/>
  <c r="A15" i="81"/>
  <c r="A15" i="83"/>
  <c r="A15" i="76"/>
  <c r="A15" i="85"/>
  <c r="A16" i="64"/>
  <c r="A16" i="58"/>
  <c r="A16" i="61"/>
  <c r="A16" i="63"/>
  <c r="A16" i="67"/>
  <c r="A16" i="69"/>
  <c r="A16" i="71"/>
  <c r="A16" i="73"/>
  <c r="A16" i="74"/>
  <c r="A16" i="76"/>
  <c r="A16" i="80"/>
  <c r="A16" i="82"/>
  <c r="A16" i="84"/>
  <c r="A16" i="86"/>
  <c r="A17" i="61"/>
  <c r="A17" i="63"/>
  <c r="A17" i="59"/>
  <c r="A17" i="65"/>
  <c r="A17" i="74"/>
  <c r="A17" i="67"/>
  <c r="A17" i="69"/>
  <c r="A17" i="71"/>
  <c r="A17" i="78"/>
  <c r="A17" i="81"/>
  <c r="A17" i="75"/>
  <c r="A17" i="83"/>
  <c r="A17" i="85"/>
  <c r="A18" i="59"/>
  <c r="A18" i="58"/>
  <c r="A18" i="61"/>
  <c r="A18" i="63"/>
  <c r="A18" i="67"/>
  <c r="A18" i="69"/>
  <c r="A18" i="71"/>
  <c r="A18" i="73"/>
  <c r="A18" i="74"/>
  <c r="A18" i="76"/>
  <c r="A18" i="80"/>
  <c r="A18" i="82"/>
  <c r="A18" i="84"/>
  <c r="A18" i="86"/>
  <c r="A19" i="61"/>
  <c r="A19" i="63"/>
  <c r="A19" i="59"/>
  <c r="A19" i="65"/>
  <c r="A19" i="74"/>
  <c r="A19" i="67"/>
  <c r="A19" i="69"/>
  <c r="A19" i="71"/>
  <c r="A19" i="78"/>
  <c r="A19" i="81"/>
  <c r="A19" i="75"/>
  <c r="A19" i="82"/>
  <c r="A19" i="85"/>
  <c r="A20" i="64"/>
  <c r="A20" i="58"/>
  <c r="A20" i="61"/>
  <c r="A20" i="63"/>
  <c r="A20" i="67"/>
  <c r="A20" i="69"/>
  <c r="A20" i="71"/>
  <c r="A20" i="73"/>
  <c r="A20" i="74"/>
  <c r="A20" i="76"/>
  <c r="A20" i="80"/>
  <c r="A20" i="82"/>
  <c r="A20" i="84"/>
  <c r="A20" i="86"/>
  <c r="A21" i="62"/>
  <c r="A21" i="58"/>
  <c r="A21" i="59"/>
  <c r="A21" i="65"/>
  <c r="A21" i="74"/>
  <c r="A21" i="67"/>
  <c r="A21" i="69"/>
  <c r="A21" i="71"/>
  <c r="A21" i="78"/>
  <c r="A21" i="81"/>
  <c r="A21" i="75"/>
  <c r="A21" i="83"/>
  <c r="A21" i="85"/>
  <c r="A23" i="60"/>
  <c r="A23" i="62"/>
  <c r="A23" i="58"/>
  <c r="A23" i="64"/>
  <c r="A23" i="73"/>
  <c r="A23" i="66"/>
  <c r="A23" i="68"/>
  <c r="A23" i="70"/>
  <c r="A23" i="72"/>
  <c r="A23" i="80"/>
  <c r="A23" i="83"/>
  <c r="A23" i="76"/>
  <c r="A23" i="84"/>
  <c r="A23" i="86"/>
  <c r="A25" i="61"/>
  <c r="A25" i="63"/>
  <c r="A25" i="59"/>
  <c r="A25" i="65"/>
  <c r="A25" i="74"/>
  <c r="A25" i="67"/>
  <c r="A25" i="69"/>
  <c r="A25" i="71"/>
  <c r="A25" i="78"/>
  <c r="A25" i="81"/>
  <c r="A25" i="75"/>
  <c r="A25" i="83"/>
  <c r="A25" i="85"/>
  <c r="A27" i="60"/>
  <c r="A27" i="62"/>
  <c r="A27" i="58"/>
  <c r="A27" i="64"/>
  <c r="A27" i="73"/>
  <c r="A27" i="66"/>
  <c r="A27" i="68"/>
  <c r="A27" i="70"/>
  <c r="A27" i="72"/>
  <c r="A27" i="80"/>
  <c r="A27" i="83"/>
  <c r="A27" i="76"/>
  <c r="A27" i="84"/>
  <c r="A27" i="86"/>
  <c r="A6" i="19"/>
  <c r="A28" i="3"/>
  <c r="A21" i="3"/>
  <c r="A28" i="14"/>
  <c r="A29" i="14"/>
  <c r="A28" i="19"/>
  <c r="A29" i="19"/>
  <c r="A28" i="18"/>
  <c r="A29" i="18"/>
  <c r="A28" i="16"/>
  <c r="A29" i="16"/>
  <c r="A28" i="17"/>
  <c r="A29" i="17"/>
  <c r="A29" i="3"/>
  <c r="A18" i="3"/>
  <c r="A9" i="3"/>
  <c r="A23" i="3"/>
  <c r="A11" i="3"/>
  <c r="A13" i="19"/>
  <c r="A6" i="14"/>
  <c r="A19" i="3"/>
  <c r="A17" i="3"/>
  <c r="A14" i="3"/>
  <c r="A13" i="3"/>
  <c r="A15" i="3"/>
  <c r="A21" i="14"/>
  <c r="A8" i="3"/>
  <c r="A12" i="3"/>
  <c r="A20" i="3"/>
  <c r="A22" i="3"/>
  <c r="A16" i="3"/>
  <c r="A5" i="3"/>
  <c r="A6" i="3"/>
  <c r="A10" i="3"/>
  <c r="A3" i="3"/>
  <c r="A24" i="3"/>
  <c r="A27" i="3"/>
  <c r="A6" i="18"/>
  <c r="A4" i="17"/>
  <c r="A4" i="16"/>
  <c r="A26" i="3"/>
  <c r="A25" i="3"/>
  <c r="A18" i="14"/>
  <c r="A13" i="16"/>
  <c r="A6" i="17"/>
  <c r="A6" i="16"/>
  <c r="A4" i="19"/>
  <c r="A4" i="14"/>
  <c r="A7" i="3"/>
  <c r="A13" i="14"/>
  <c r="A13" i="18"/>
  <c r="A13" i="17"/>
  <c r="A12" i="19"/>
  <c r="A12" i="14"/>
  <c r="A12" i="18"/>
  <c r="A4" i="3"/>
  <c r="A11" i="14"/>
  <c r="A11" i="18"/>
  <c r="A11" i="19"/>
  <c r="A25" i="14"/>
  <c r="A27" i="14"/>
  <c r="A23" i="14"/>
  <c r="A19" i="14"/>
  <c r="A12" i="17"/>
  <c r="A12" i="16"/>
  <c r="A26" i="17"/>
  <c r="A26" i="16"/>
  <c r="A11" i="16"/>
  <c r="A11" i="17"/>
  <c r="A25" i="16"/>
  <c r="A25" i="19"/>
  <c r="A15" i="14"/>
  <c r="A15" i="18"/>
  <c r="A15" i="19"/>
  <c r="A22" i="19"/>
  <c r="A22" i="18"/>
  <c r="A19" i="16"/>
  <c r="A19" i="19"/>
  <c r="A27" i="16"/>
  <c r="A27" i="19"/>
  <c r="A24" i="19"/>
  <c r="A24" i="18"/>
  <c r="A7" i="16"/>
  <c r="A7" i="17"/>
  <c r="A21" i="18"/>
  <c r="A21" i="17"/>
  <c r="A23" i="18"/>
  <c r="A23" i="17"/>
  <c r="A9" i="16"/>
  <c r="A9" i="17"/>
  <c r="A17" i="16"/>
  <c r="A17" i="17"/>
  <c r="A14" i="19"/>
  <c r="A14" i="16"/>
  <c r="A10" i="19"/>
  <c r="A10" i="14"/>
  <c r="A10" i="18"/>
  <c r="A20" i="19"/>
  <c r="A20" i="18"/>
  <c r="A8" i="17"/>
  <c r="A8" i="16"/>
  <c r="A5" i="14"/>
  <c r="A5" i="18"/>
  <c r="A5" i="19"/>
  <c r="A18" i="17"/>
  <c r="A18" i="16"/>
  <c r="A16" i="19"/>
  <c r="A16" i="16"/>
  <c r="A26" i="19"/>
  <c r="A26" i="18"/>
  <c r="A25" i="18"/>
  <c r="A25" i="17"/>
  <c r="A15" i="16"/>
  <c r="A15" i="17"/>
  <c r="A22" i="17"/>
  <c r="A22" i="16"/>
  <c r="A19" i="18"/>
  <c r="A19" i="17"/>
  <c r="A27" i="18"/>
  <c r="A27" i="17"/>
  <c r="A24" i="17"/>
  <c r="A24" i="16"/>
  <c r="A7" i="14"/>
  <c r="A7" i="18"/>
  <c r="A7" i="19"/>
  <c r="A21" i="16"/>
  <c r="A21" i="19"/>
  <c r="A23" i="16"/>
  <c r="A23" i="19"/>
  <c r="A9" i="14"/>
  <c r="A9" i="18"/>
  <c r="A9" i="19"/>
  <c r="A17" i="14"/>
  <c r="A17" i="18"/>
  <c r="A17" i="19"/>
  <c r="A14" i="17"/>
  <c r="A14" i="14"/>
  <c r="A14" i="18"/>
  <c r="A10" i="17"/>
  <c r="A10" i="16"/>
  <c r="A20" i="17"/>
  <c r="A20" i="16"/>
  <c r="A8" i="19"/>
  <c r="A8" i="14"/>
  <c r="A8" i="18"/>
  <c r="A5" i="16"/>
  <c r="A5" i="17"/>
  <c r="A18" i="19"/>
  <c r="A18" i="18"/>
  <c r="A16" i="17"/>
  <c r="A16" i="14"/>
  <c r="A16" i="18"/>
  <c r="A26" i="14"/>
  <c r="A22" i="14"/>
  <c r="A24" i="14"/>
  <c r="A20" i="14"/>
</calcChain>
</file>

<file path=xl/sharedStrings.xml><?xml version="1.0" encoding="utf-8"?>
<sst xmlns="http://schemas.openxmlformats.org/spreadsheetml/2006/main" count="336" uniqueCount="78">
  <si>
    <t>№ п/п</t>
  </si>
  <si>
    <t>Номер виборчого округу</t>
  </si>
  <si>
    <t>Прізвище, власне ім’я (усі власні імена), по батькові (за наявності) обраного депутата</t>
  </si>
  <si>
    <t>явка</t>
  </si>
  <si>
    <t>кількість прибувших депутатів</t>
  </si>
  <si>
    <t>Панченко Сергій Вікторович</t>
  </si>
  <si>
    <t>прибув</t>
  </si>
  <si>
    <t>Мелащенко Іван Іванович</t>
  </si>
  <si>
    <t>Садовий Сергій Миколайович</t>
  </si>
  <si>
    <t>відсутній</t>
  </si>
  <si>
    <t>Цопа Микола Миколайович</t>
  </si>
  <si>
    <t>Всього</t>
  </si>
  <si>
    <t>За</t>
  </si>
  <si>
    <t>Проти</t>
  </si>
  <si>
    <t>Утрим</t>
  </si>
  <si>
    <t>Саверська-Лихошва Валентина Василівна</t>
  </si>
  <si>
    <t>селищний голова</t>
  </si>
  <si>
    <t>примітка</t>
  </si>
  <si>
    <t>Регламент</t>
  </si>
  <si>
    <t>Лічильна комісія</t>
  </si>
  <si>
    <t>Секретар сесії</t>
  </si>
  <si>
    <t xml:space="preserve">Остаточний порядок денний </t>
  </si>
  <si>
    <t>за</t>
  </si>
  <si>
    <t>проти</t>
  </si>
  <si>
    <t>утрималися</t>
  </si>
  <si>
    <t>результат</t>
  </si>
  <si>
    <t>Питання порядку денного</t>
  </si>
  <si>
    <t>не голосували</t>
  </si>
  <si>
    <t>Коваленко Марина Петрівна</t>
  </si>
  <si>
    <t>Нагнойний Микола Олексійович</t>
  </si>
  <si>
    <t>Андрієнко Андрій Іванович</t>
  </si>
  <si>
    <t xml:space="preserve">Небрат Володимир Гнатович </t>
  </si>
  <si>
    <t>Лущик Любов Олександрівна</t>
  </si>
  <si>
    <t>Чаленко Валерій Миколайович</t>
  </si>
  <si>
    <t>Борщ Яна Петрівна</t>
  </si>
  <si>
    <t>Прищенко Тетяна Іванівна</t>
  </si>
  <si>
    <t>Сміловець Віталій Володимирович</t>
  </si>
  <si>
    <t>Шашлова Тамара Вікторівна</t>
  </si>
  <si>
    <t>Гайдай Микола Васильович</t>
  </si>
  <si>
    <t>Пальоха Тетяна Петрівна</t>
  </si>
  <si>
    <t>Матухно Іван Григорович</t>
  </si>
  <si>
    <t>Гармаш Віктор Іванович</t>
  </si>
  <si>
    <t>Борсук Юрій Миколайович</t>
  </si>
  <si>
    <t>Рибальченко Максим Володимирович</t>
  </si>
  <si>
    <t>Макух Богдан Володимирович</t>
  </si>
  <si>
    <t>Небрат Василь Іванович</t>
  </si>
  <si>
    <t>Бойко Валентина Дмитрівна</t>
  </si>
  <si>
    <t>Костін Андрій Анатолійович</t>
  </si>
  <si>
    <t>Холявінська Олена Миколаївна</t>
  </si>
  <si>
    <t>Неліпа Віталій Михайлович</t>
  </si>
  <si>
    <t>№ рішення</t>
  </si>
  <si>
    <t>Про затвердження проектів землеустрою щодо відведення земельних ділянок та передачу їх у власність</t>
  </si>
  <si>
    <t>Про затвердження технічних документацій із землеустрою щодо встановлення (відновлення) меж земельних ділянок в натурі (на місцевості)</t>
  </si>
  <si>
    <t>Про надання дозволів на розроблення технічних документацій із землеустрою щодо встановлення (відновлення) меж земельних ділянок в натурі (на місцевості)</t>
  </si>
  <si>
    <t>Про припинення права користування земельними ділянками</t>
  </si>
  <si>
    <t>Про надання дозволів на розроблення проєктів землеустрою щодо відведення земельних ділянок</t>
  </si>
  <si>
    <t>Про надання дозволу на розроблення технічної документації із землеустрою щодо поділу земельної ділянки комунальної власності</t>
  </si>
  <si>
    <t>Про розірвання договору оренди на земельну ділянку та передачу її в оренду</t>
  </si>
  <si>
    <t>Про надання дозволу на розроблення проєкту землеустрою щодо відведення земельної ділянки.(Луценко)</t>
  </si>
  <si>
    <t>Про надання дозволу на розроблення проєкту землеустрою щодо відведення земельної ділянки (Малієнко)</t>
  </si>
  <si>
    <t>Про надання дозволу на розроблення проєкту землеустрою щодо відведення земельної ділянки (Лещенко)</t>
  </si>
  <si>
    <t>Про надання дозволу на розроблення проекту землеустрою щодо відведення земельної ділянки (Приліпко)</t>
  </si>
  <si>
    <t>Про надання дозволу на розроблення проекту землеустрою щодо відведення земельної ділянки (Жулай О.П.)</t>
  </si>
  <si>
    <t>Про надання дозволу на розроблення проекту землеустрою щодо відведення земельної ділянки (Поета)</t>
  </si>
  <si>
    <t>Про надання дозволу на розроблення проекту землеустрою щодо відведення земельної ділянки (Маснуха)</t>
  </si>
  <si>
    <t>Про надання дозволу на розроблення проекту землеустрою щодо відведення земельної ділянки (Сай)</t>
  </si>
  <si>
    <t>Про надання дозволу на розроблення проекту землеустрою щодо відведення земельної ділянки (Борсук)</t>
  </si>
  <si>
    <t>Про надання дозволу на розроблення проекту землеустрою щодо відведення земельної ділянки (Дзюба)</t>
  </si>
  <si>
    <t>Про надання дозволу на розроблення проекту землеустрою щодо відведення земельної ділянки (Сидоренко)</t>
  </si>
  <si>
    <t>Про відмову в наданні дозволу на розроблення проєкту землеустрою щодо відведення земельної ділянки (Рибальченко)</t>
  </si>
  <si>
    <t>Про затвердження проєкту землеустрою щодо відведення земельної ділянки, право оренди якої підлягає продажу на земельних торгах</t>
  </si>
  <si>
    <t>Про проведення земельних торгів у формі аукціону</t>
  </si>
  <si>
    <t>Про включення земельної ділянки несільськогосподарського призначення до переліку інвестиційно-привабливих земельних ділянок, право оренди на які підлягає продажу на земельних торгах</t>
  </si>
  <si>
    <t>Про надання згоди на здійснення будівельних робіт</t>
  </si>
  <si>
    <t>Про затвердження Положення про центр надання адміністративних послуг Варвинської селищної ради в новій редакції</t>
  </si>
  <si>
    <t>Про визнання таким, що втратило чинність, рішення Варвинської селищної ради від 22.02.2018 № 1-4/18отг</t>
  </si>
  <si>
    <t>Про прийняття у комунальну власність майна та передачу його КП «Господар»</t>
  </si>
  <si>
    <t>Відтерміновано до наступної сесії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</si>
</sst>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3" xfId="0" applyFont="1" applyBorder="1" applyAlignment="1">
      <alignment wrapText="1"/>
    </xf>
    <xf numFmtId="0" fontId="3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/>
    <xf numFmtId="0" fontId="8" fillId="0" borderId="0" xfId="0" applyFont="1"/>
    <xf numFmtId="0" fontId="6" fillId="0" borderId="11" xfId="0" applyFont="1" applyBorder="1" applyAlignment="1">
      <alignment wrapText="1"/>
    </xf>
    <xf numFmtId="0" fontId="7" fillId="0" borderId="11" xfId="0" applyFont="1" applyBorder="1" applyAlignment="1">
      <alignment horizontal="center" vertical="center" wrapText="1"/>
    </xf>
    <xf numFmtId="0" fontId="8" fillId="0" borderId="6" xfId="0" applyFont="1" applyBorder="1"/>
    <xf numFmtId="0" fontId="8" fillId="0" borderId="0" xfId="0" applyFont="1" applyBorder="1"/>
    <xf numFmtId="0" fontId="9" fillId="0" borderId="0" xfId="0" applyFont="1" applyBorder="1"/>
    <xf numFmtId="0" fontId="0" fillId="0" borderId="0" xfId="0" applyBorder="1"/>
    <xf numFmtId="0" fontId="0" fillId="0" borderId="0" xfId="0" applyAlignment="1">
      <alignment wrapText="1"/>
    </xf>
    <xf numFmtId="0" fontId="10" fillId="0" borderId="6" xfId="0" applyNumberFormat="1" applyFont="1" applyBorder="1"/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3" xfId="0" applyFont="1" applyBorder="1"/>
    <xf numFmtId="0" fontId="8" fillId="0" borderId="10" xfId="0" applyFont="1" applyBorder="1"/>
    <xf numFmtId="0" fontId="14" fillId="0" borderId="9" xfId="0" applyFont="1" applyBorder="1"/>
    <xf numFmtId="0" fontId="14" fillId="0" borderId="9" xfId="0" applyFont="1" applyBorder="1"/>
    <xf numFmtId="0" fontId="8" fillId="0" borderId="0" xfId="0" applyFont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8" fillId="0" borderId="9" xfId="0" applyFont="1" applyBorder="1"/>
    <xf numFmtId="0" fontId="4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7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9" fillId="0" borderId="9" xfId="0" applyFont="1" applyBorder="1"/>
    <xf numFmtId="0" fontId="19" fillId="0" borderId="10" xfId="0" applyFont="1" applyBorder="1"/>
    <xf numFmtId="0" fontId="16" fillId="0" borderId="5" xfId="0" applyFont="1" applyBorder="1" applyAlignment="1">
      <alignment vertical="center" wrapText="1"/>
    </xf>
    <xf numFmtId="0" fontId="21" fillId="0" borderId="0" xfId="0" applyFont="1"/>
    <xf numFmtId="0" fontId="20" fillId="0" borderId="0" xfId="0" applyFont="1"/>
    <xf numFmtId="0" fontId="13" fillId="0" borderId="6" xfId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6" xfId="1" applyBorder="1" applyAlignment="1">
      <alignment horizontal="center"/>
    </xf>
    <xf numFmtId="0" fontId="5" fillId="0" borderId="14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13" fillId="0" borderId="0" xfId="1" applyAlignment="1">
      <alignment horizontal="left" vertical="top" wrapText="1"/>
    </xf>
    <xf numFmtId="0" fontId="13" fillId="0" borderId="0" xfId="1" applyAlignment="1">
      <alignment horizontal="center" wrapText="1"/>
    </xf>
    <xf numFmtId="0" fontId="13" fillId="0" borderId="0" xfId="1" applyAlignment="1">
      <alignment horizontal="left" vertical="top"/>
    </xf>
    <xf numFmtId="0" fontId="13" fillId="0" borderId="0" xfId="1" applyAlignment="1">
      <alignment horizontal="center" vertical="top" wrapText="1"/>
    </xf>
    <xf numFmtId="0" fontId="18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22" fillId="0" borderId="0" xfId="0" applyFont="1"/>
    <xf numFmtId="0" fontId="23" fillId="0" borderId="6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47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ables/table1.xml><?xml version="1.0" encoding="utf-8"?>
<table xmlns="http://schemas.openxmlformats.org/spreadsheetml/2006/main" id="1" name="Таблица1" displayName="Таблица1" ref="A2:F30" totalsRowCount="1" tableBorderDxfId="471">
  <autoFilter ref="A2:F29"/>
  <sortState ref="A3:F29">
    <sortCondition ref="F3:F29"/>
    <sortCondition descending="1" ref="D3:D29"/>
    <sortCondition ref="C3:C29"/>
  </sortState>
  <tableColumns count="6">
    <tableColumn id="1" name="№ п/п" totalsRowLabel="Всього" dataDxfId="470" totalsRowDxfId="172">
      <calculatedColumnFormula>IF(ISBLANK(F3),"",COUNTA($F$3:F3))</calculatedColumnFormula>
    </tableColumn>
    <tableColumn id="2" name="Номер виборчого округу" dataDxfId="469" totalsRowDxfId="171"/>
    <tableColumn id="3" name="Прізвище, власне ім’я (усі власні імена), по батькові (за наявності) обраного депутата" dataDxfId="468" totalsRowDxfId="170"/>
    <tableColumn id="4" name="явка" dataDxfId="467" totalsRowDxfId="169"/>
    <tableColumn id="6" name="кількість прибувших депутатів" totalsRowFunction="custom" dataDxfId="466" totalsRowDxfId="168">
      <calculatedColumnFormula>IF(Таблица1[[#This Row],[явка]]="прибув",1,"")</calculatedColumnFormula>
      <totalsRowFormula>SUBTOTAL(109,Таблица1[кількість прибувших депутатів])-1</totalsRowFormula>
    </tableColumn>
    <tableColumn id="7" name="примітка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Таблица24567891011" displayName="Таблица24567891011" ref="A2:F30" totalsRowCount="1" headerRowDxfId="401" dataDxfId="400">
  <autoFilter ref="A2:F29"/>
  <sortState ref="A3:G28">
    <sortCondition descending="1" ref="B1:B27"/>
  </sortState>
  <tableColumns count="6">
    <tableColumn id="1" name="№ п/п" totalsRowLabel="Всього" dataDxfId="399" totalsRowDxfId="119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98" totalsRowDxfId="11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97" totalsRowDxfId="117"/>
    <tableColumn id="4" name="Проти" totalsRowFunction="sum" dataDxfId="396" totalsRowDxfId="116"/>
    <tableColumn id="5" name="Утрим" totalsRowFunction="sum" dataDxfId="395" totalsRowDxfId="115"/>
    <tableColumn id="6" name="не голосували" totalsRowFunction="sum" dataDxfId="394" totalsRowDxfId="114"/>
  </tableColumns>
  <tableStyleInfo name="TableStyleLight2" showFirstColumn="0" showLastColumn="0" showRowStripes="1" showColumnStripes="0"/>
</table>
</file>

<file path=xl/tables/table11.xml><?xml version="1.0" encoding="utf-8"?>
<table xmlns="http://schemas.openxmlformats.org/spreadsheetml/2006/main" id="16" name="Таблица2456789101117" displayName="Таблица2456789101117" ref="A2:F30" totalsRowCount="1" headerRowDxfId="393" dataDxfId="392">
  <autoFilter ref="A2:F29"/>
  <sortState ref="A3:G28">
    <sortCondition descending="1" ref="B1:B27"/>
  </sortState>
  <tableColumns count="6">
    <tableColumn id="1" name="№ п/п" totalsRowLabel="Всього" dataDxfId="391" totalsRowDxfId="113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90" totalsRowDxfId="11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89" totalsRowDxfId="111"/>
    <tableColumn id="4" name="Проти" totalsRowFunction="sum" dataDxfId="388" totalsRowDxfId="110"/>
    <tableColumn id="5" name="Утрим" totalsRowFunction="sum" dataDxfId="387" totalsRowDxfId="109"/>
    <tableColumn id="6" name="не голосували" totalsRowFunction="sum" dataDxfId="386" totalsRowDxfId="108"/>
  </tableColumns>
  <tableStyleInfo name="TableStyleLight2" showFirstColumn="0" showLastColumn="0" showRowStripes="1" showColumnStripes="0"/>
</table>
</file>

<file path=xl/tables/table12.xml><?xml version="1.0" encoding="utf-8"?>
<table xmlns="http://schemas.openxmlformats.org/spreadsheetml/2006/main" id="17" name="Таблица245678910111718" displayName="Таблица245678910111718" ref="A2:F30" totalsRowCount="1" headerRowDxfId="385" dataDxfId="384">
  <autoFilter ref="A2:F29"/>
  <sortState ref="A3:G28">
    <sortCondition descending="1" ref="B1:B27"/>
  </sortState>
  <tableColumns count="6">
    <tableColumn id="1" name="№ п/п" totalsRowLabel="Всього" dataDxfId="383" totalsRowDxfId="107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82" totalsRowDxfId="10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81" totalsRowDxfId="105"/>
    <tableColumn id="4" name="Проти" totalsRowFunction="sum" dataDxfId="380" totalsRowDxfId="104"/>
    <tableColumn id="5" name="Утрим" totalsRowFunction="sum" dataDxfId="379" totalsRowDxfId="103"/>
    <tableColumn id="6" name="не голосували" totalsRowFunction="sum" dataDxfId="378" totalsRowDxfId="102"/>
  </tableColumns>
  <tableStyleInfo name="TableStyleLight2" showFirstColumn="0" showLastColumn="0" showRowStripes="1" showColumnStripes="0"/>
</table>
</file>

<file path=xl/tables/table13.xml><?xml version="1.0" encoding="utf-8"?>
<table xmlns="http://schemas.openxmlformats.org/spreadsheetml/2006/main" id="18" name="Таблица24567891011171819" displayName="Таблица24567891011171819" ref="A2:F30" totalsRowCount="1" headerRowDxfId="377" dataDxfId="376">
  <autoFilter ref="A2:F29"/>
  <sortState ref="A3:G28">
    <sortCondition descending="1" ref="B1:B27"/>
  </sortState>
  <tableColumns count="6">
    <tableColumn id="1" name="№ п/п" totalsRowLabel="Всього" dataDxfId="375" totalsRowDxfId="101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74" totalsRowDxfId="10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73" totalsRowDxfId="99"/>
    <tableColumn id="4" name="Проти" totalsRowFunction="sum" dataDxfId="372" totalsRowDxfId="98"/>
    <tableColumn id="5" name="Утрим" totalsRowFunction="sum" dataDxfId="371" totalsRowDxfId="97"/>
    <tableColumn id="6" name="не голосували" totalsRowFunction="sum" dataDxfId="370" totalsRowDxfId="96"/>
  </tableColumns>
  <tableStyleInfo name="TableStyleLight2" showFirstColumn="0" showLastColumn="0" showRowStripes="1" showColumnStripes="0"/>
</table>
</file>

<file path=xl/tables/table14.xml><?xml version="1.0" encoding="utf-8"?>
<table xmlns="http://schemas.openxmlformats.org/spreadsheetml/2006/main" id="19" name="Таблица2456789101117181920" displayName="Таблица2456789101117181920" ref="A2:F30" totalsRowCount="1" headerRowDxfId="369" dataDxfId="368">
  <autoFilter ref="A2:F29"/>
  <sortState ref="A3:G28">
    <sortCondition descending="1" ref="B1:B27"/>
  </sortState>
  <tableColumns count="6">
    <tableColumn id="1" name="№ п/п" totalsRowLabel="Всього" dataDxfId="367" totalsRowDxfId="9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66" totalsRowDxfId="9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65" totalsRowDxfId="93"/>
    <tableColumn id="4" name="Проти" totalsRowFunction="sum" dataDxfId="364" totalsRowDxfId="92"/>
    <tableColumn id="5" name="Утрим" totalsRowFunction="sum" dataDxfId="363" totalsRowDxfId="91"/>
    <tableColumn id="6" name="не голосували" totalsRowFunction="sum" dataDxfId="362" totalsRowDxfId="90"/>
  </tableColumns>
  <tableStyleInfo name="TableStyleLight2" showFirstColumn="0" showLastColumn="0" showRowStripes="1" showColumnStripes="0"/>
</table>
</file>

<file path=xl/tables/table15.xml><?xml version="1.0" encoding="utf-8"?>
<table xmlns="http://schemas.openxmlformats.org/spreadsheetml/2006/main" id="20" name="Таблица245678910111718192021" displayName="Таблица245678910111718192021" ref="A2:F30" totalsRowCount="1" headerRowDxfId="361" dataDxfId="360">
  <autoFilter ref="A2:F29"/>
  <sortState ref="A3:G28">
    <sortCondition descending="1" ref="B1:B27"/>
  </sortState>
  <tableColumns count="6">
    <tableColumn id="1" name="№ п/п" totalsRowLabel="Всього" dataDxfId="359" totalsRowDxfId="89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58" totalsRowDxfId="8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57" totalsRowDxfId="87"/>
    <tableColumn id="4" name="Проти" totalsRowFunction="sum" dataDxfId="356" totalsRowDxfId="86"/>
    <tableColumn id="5" name="Утрим" totalsRowFunction="sum" dataDxfId="355" totalsRowDxfId="85"/>
    <tableColumn id="6" name="не голосували" totalsRowFunction="sum" dataDxfId="354" totalsRowDxfId="84"/>
  </tableColumns>
  <tableStyleInfo name="TableStyleLight2" showFirstColumn="0" showLastColumn="0" showRowStripes="1" showColumnStripes="0"/>
</table>
</file>

<file path=xl/tables/table16.xml><?xml version="1.0" encoding="utf-8"?>
<table xmlns="http://schemas.openxmlformats.org/spreadsheetml/2006/main" id="21" name="Таблица24567891011171819202122" displayName="Таблица24567891011171819202122" ref="A2:F30" totalsRowCount="1" headerRowDxfId="353" dataDxfId="352">
  <autoFilter ref="A2:F29"/>
  <sortState ref="A3:G28">
    <sortCondition descending="1" ref="B1:B27"/>
  </sortState>
  <tableColumns count="6">
    <tableColumn id="1" name="№ п/п" totalsRowLabel="Всього" dataDxfId="351" totalsRowDxfId="83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50" totalsRowDxfId="8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49" totalsRowDxfId="81"/>
    <tableColumn id="4" name="Проти" totalsRowFunction="sum" dataDxfId="348" totalsRowDxfId="80"/>
    <tableColumn id="5" name="Утрим" totalsRowFunction="sum" dataDxfId="347" totalsRowDxfId="79"/>
    <tableColumn id="6" name="не голосували" totalsRowFunction="sum" dataDxfId="346" totalsRowDxfId="78"/>
  </tableColumns>
  <tableStyleInfo name="TableStyleLight2" showFirstColumn="0" showLastColumn="0" showRowStripes="1" showColumnStripes="0"/>
</table>
</file>

<file path=xl/tables/table17.xml><?xml version="1.0" encoding="utf-8"?>
<table xmlns="http://schemas.openxmlformats.org/spreadsheetml/2006/main" id="22" name="Таблица2456789101117181920212223" displayName="Таблица2456789101117181920212223" ref="A2:F30" totalsRowCount="1" headerRowDxfId="345" dataDxfId="344">
  <autoFilter ref="A2:F29"/>
  <sortState ref="A3:G28">
    <sortCondition descending="1" ref="B1:B27"/>
  </sortState>
  <tableColumns count="6">
    <tableColumn id="1" name="№ п/п" totalsRowLabel="Всього" dataDxfId="343" totalsRowDxfId="77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42" totalsRowDxfId="7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41" totalsRowDxfId="75"/>
    <tableColumn id="4" name="Проти" totalsRowFunction="sum" dataDxfId="340" totalsRowDxfId="74"/>
    <tableColumn id="5" name="Утрим" totalsRowFunction="sum" dataDxfId="339" totalsRowDxfId="73"/>
    <tableColumn id="6" name="не голосували" dataDxfId="338" totalsRowDxfId="72"/>
  </tableColumns>
  <tableStyleInfo name="TableStyleLight2" showFirstColumn="0" showLastColumn="0" showRowStripes="1" showColumnStripes="0"/>
</table>
</file>

<file path=xl/tables/table18.xml><?xml version="1.0" encoding="utf-8"?>
<table xmlns="http://schemas.openxmlformats.org/spreadsheetml/2006/main" id="23" name="Таблица245678910111718192021222324" displayName="Таблица245678910111718192021222324" ref="A2:F30" totalsRowCount="1" headerRowDxfId="337" dataDxfId="336">
  <autoFilter ref="A2:F29"/>
  <sortState ref="A3:G28">
    <sortCondition descending="1" ref="B1:B27"/>
  </sortState>
  <tableColumns count="6">
    <tableColumn id="1" name="№ п/п" totalsRowLabel="Всього" dataDxfId="335" totalsRowDxfId="71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34" totalsRowDxfId="7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33" totalsRowDxfId="69"/>
    <tableColumn id="4" name="Проти" totalsRowFunction="sum" dataDxfId="332" totalsRowDxfId="68"/>
    <tableColumn id="5" name="Утрим" totalsRowFunction="sum" dataDxfId="331" totalsRowDxfId="67"/>
    <tableColumn id="6" name="не голосували" totalsRowFunction="sum" dataDxfId="330" totalsRowDxfId="66"/>
  </tableColumns>
  <tableStyleInfo name="TableStyleLight2" showFirstColumn="0" showLastColumn="0" showRowStripes="1" showColumnStripes="0"/>
</table>
</file>

<file path=xl/tables/table19.xml><?xml version="1.0" encoding="utf-8"?>
<table xmlns="http://schemas.openxmlformats.org/spreadsheetml/2006/main" id="24" name="Таблица24567891011171819202122232425" displayName="Таблица24567891011171819202122232425" ref="A2:F30" totalsRowCount="1" headerRowDxfId="329" dataDxfId="328">
  <autoFilter ref="A2:F29"/>
  <sortState ref="A3:G28">
    <sortCondition descending="1" ref="B1:B27"/>
  </sortState>
  <tableColumns count="6">
    <tableColumn id="1" name="№ п/п" totalsRowLabel="Всього" dataDxfId="327" totalsRowDxfId="6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26" totalsRowDxfId="6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25" totalsRowDxfId="63"/>
    <tableColumn id="4" name="Проти" totalsRowFunction="sum" dataDxfId="324" totalsRowDxfId="62"/>
    <tableColumn id="5" name="Утрим" totalsRowFunction="sum" dataDxfId="323" totalsRowDxfId="61"/>
    <tableColumn id="6" name="не голосували" totalsRowFunction="sum" dataDxfId="322" totalsRowDxfId="60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2:F30" totalsRowCount="1" headerRowDxfId="465" dataDxfId="464">
  <autoFilter ref="A2:F29"/>
  <sortState ref="A2:G27">
    <sortCondition descending="1" ref="B1:B27"/>
  </sortState>
  <tableColumns count="6">
    <tableColumn id="1" name="№ п/п" totalsRowLabel="Всього" dataDxfId="463" totalsRowDxfId="167"/>
    <tableColumn id="2" name="Прізвище, власне ім’я (усі власні імена), по батькові (за наявності) обраного депутата" dataDxfId="462" totalsRowDxfId="16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61" totalsRowDxfId="165"/>
    <tableColumn id="4" name="Проти" totalsRowFunction="sum" dataDxfId="460" totalsRowDxfId="164"/>
    <tableColumn id="5" name="Утрим" totalsRowFunction="sum" dataDxfId="459" totalsRowDxfId="163"/>
    <tableColumn id="6" name="не голосували" totalsRowFunction="sum" dataDxfId="458" totalsRowDxfId="162"/>
  </tableColumns>
  <tableStyleInfo name="TableStyleLight2" showFirstColumn="0" showLastColumn="0" showRowStripes="1" showColumnStripes="0"/>
</table>
</file>

<file path=xl/tables/table20.xml><?xml version="1.0" encoding="utf-8"?>
<table xmlns="http://schemas.openxmlformats.org/spreadsheetml/2006/main" id="25" name="Таблица2456789101117181920212223242526" displayName="Таблица2456789101117181920212223242526" ref="A2:F30" totalsRowCount="1" headerRowDxfId="321" dataDxfId="320">
  <autoFilter ref="A2:F29"/>
  <sortState ref="A3:G28">
    <sortCondition descending="1" ref="B1:B27"/>
  </sortState>
  <tableColumns count="6">
    <tableColumn id="1" name="№ п/п" totalsRowLabel="Всього" dataDxfId="319" totalsRowDxfId="59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18" totalsRowDxfId="5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17" totalsRowDxfId="57"/>
    <tableColumn id="4" name="Проти" totalsRowFunction="sum" dataDxfId="316" totalsRowDxfId="56"/>
    <tableColumn id="5" name="Утрим" totalsRowFunction="sum" dataDxfId="315" totalsRowDxfId="55"/>
    <tableColumn id="6" name="не голосували" totalsRowFunction="sum" dataDxfId="314" totalsRowDxfId="54"/>
  </tableColumns>
  <tableStyleInfo name="TableStyleLight2" showFirstColumn="0" showLastColumn="0" showRowStripes="1" showColumnStripes="0"/>
</table>
</file>

<file path=xl/tables/table21.xml><?xml version="1.0" encoding="utf-8"?>
<table xmlns="http://schemas.openxmlformats.org/spreadsheetml/2006/main" id="26" name="Таблица245678910111718192021222324252627" displayName="Таблица245678910111718192021222324252627" ref="A2:F30" totalsRowCount="1" headerRowDxfId="313" dataDxfId="312">
  <autoFilter ref="A2:F29"/>
  <sortState ref="A3:G28">
    <sortCondition descending="1" ref="B1:B27"/>
  </sortState>
  <tableColumns count="6">
    <tableColumn id="1" name="№ п/п" totalsRowLabel="Всього" dataDxfId="311" totalsRowDxfId="53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10" totalsRowDxfId="5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09" totalsRowDxfId="51"/>
    <tableColumn id="4" name="Проти" totalsRowFunction="sum" dataDxfId="308" totalsRowDxfId="50"/>
    <tableColumn id="5" name="Утрим" totalsRowFunction="sum" dataDxfId="307" totalsRowDxfId="49"/>
    <tableColumn id="6" name="не голосували" totalsRowFunction="sum" dataDxfId="306" totalsRowDxfId="48"/>
  </tableColumns>
  <tableStyleInfo name="TableStyleLight2" showFirstColumn="0" showLastColumn="0" showRowStripes="1" showColumnStripes="0"/>
</table>
</file>

<file path=xl/tables/table22.xml><?xml version="1.0" encoding="utf-8"?>
<table xmlns="http://schemas.openxmlformats.org/spreadsheetml/2006/main" id="27" name="Таблица24567891011171819202122232425262728" displayName="Таблица24567891011171819202122232425262728" ref="A2:F30" totalsRowCount="1" headerRowDxfId="305" dataDxfId="304">
  <autoFilter ref="A2:F29"/>
  <sortState ref="A3:G28">
    <sortCondition descending="1" ref="B1:B27"/>
  </sortState>
  <tableColumns count="6">
    <tableColumn id="1" name="№ п/п" totalsRowLabel="Всього" dataDxfId="303" totalsRowDxfId="47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02" totalsRowDxfId="4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01" totalsRowDxfId="45"/>
    <tableColumn id="4" name="Проти" totalsRowFunction="sum" dataDxfId="300" totalsRowDxfId="44"/>
    <tableColumn id="5" name="Утрим" totalsRowFunction="sum" dataDxfId="299" totalsRowDxfId="43"/>
    <tableColumn id="6" name="не голосували" totalsRowFunction="sum" dataDxfId="298" totalsRowDxfId="42"/>
  </tableColumns>
  <tableStyleInfo name="TableStyleLight2" showFirstColumn="0" showLastColumn="0" showRowStripes="1" showColumnStripes="0"/>
</table>
</file>

<file path=xl/tables/table23.xml><?xml version="1.0" encoding="utf-8"?>
<table xmlns="http://schemas.openxmlformats.org/spreadsheetml/2006/main" id="28" name="Таблица2456789101117181920212223242526272829" displayName="Таблица2456789101117181920212223242526272829" ref="A2:F30" totalsRowCount="1" headerRowDxfId="297" dataDxfId="296">
  <autoFilter ref="A2:F29"/>
  <sortState ref="A3:G28">
    <sortCondition descending="1" ref="B1:B27"/>
  </sortState>
  <tableColumns count="6">
    <tableColumn id="1" name="№ п/п" totalsRowLabel="Всього" dataDxfId="295" totalsRowDxfId="41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294" totalsRowDxfId="4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293" totalsRowDxfId="39"/>
    <tableColumn id="4" name="Проти" totalsRowFunction="sum" dataDxfId="292" totalsRowDxfId="38"/>
    <tableColumn id="5" name="Утрим" totalsRowFunction="sum" dataDxfId="291" totalsRowDxfId="37"/>
    <tableColumn id="6" name="не голосували" totalsRowFunction="sum" dataDxfId="290" totalsRowDxfId="36"/>
  </tableColumns>
  <tableStyleInfo name="TableStyleLight2" showFirstColumn="0" showLastColumn="0" showRowStripes="1" showColumnStripes="0"/>
</table>
</file>

<file path=xl/tables/table24.xml><?xml version="1.0" encoding="utf-8"?>
<table xmlns="http://schemas.openxmlformats.org/spreadsheetml/2006/main" id="29" name="Таблица245678910111718192021222324252627282930" displayName="Таблица245678910111718192021222324252627282930" ref="A2:F30" totalsRowCount="1" headerRowDxfId="289" dataDxfId="288">
  <autoFilter ref="A2:F29"/>
  <sortState ref="A3:G28">
    <sortCondition descending="1" ref="B1:B27"/>
  </sortState>
  <tableColumns count="6">
    <tableColumn id="1" name="№ п/п" totalsRowLabel="Всього" dataDxfId="287" totalsRowDxfId="3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286" totalsRowDxfId="3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285" totalsRowDxfId="33"/>
    <tableColumn id="4" name="Проти" totalsRowFunction="sum" dataDxfId="284" totalsRowDxfId="32"/>
    <tableColumn id="5" name="Утрим" totalsRowFunction="sum" dataDxfId="283" totalsRowDxfId="31"/>
    <tableColumn id="6" name="не голосували" totalsRowFunction="sum" dataDxfId="282" totalsRowDxfId="30"/>
  </tableColumns>
  <tableStyleInfo name="TableStyleLight2" showFirstColumn="0" showLastColumn="0" showRowStripes="1" showColumnStripes="0"/>
</table>
</file>

<file path=xl/tables/table25.xml><?xml version="1.0" encoding="utf-8"?>
<table xmlns="http://schemas.openxmlformats.org/spreadsheetml/2006/main" id="30" name="Таблица24567891011171819202122232425262728293031" displayName="Таблица24567891011171819202122232425262728293031" ref="A2:F30" totalsRowCount="1" headerRowDxfId="281" dataDxfId="280">
  <autoFilter ref="A2:F29"/>
  <sortState ref="A3:G28">
    <sortCondition descending="1" ref="B1:B27"/>
  </sortState>
  <tableColumns count="6">
    <tableColumn id="1" name="№ п/п" totalsRowLabel="Всього" dataDxfId="279" totalsRowDxfId="29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278" totalsRowDxfId="2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277" totalsRowDxfId="27"/>
    <tableColumn id="4" name="Проти" totalsRowFunction="sum" dataDxfId="276" totalsRowDxfId="26"/>
    <tableColumn id="5" name="Утрим" totalsRowFunction="sum" dataDxfId="275" totalsRowDxfId="25"/>
    <tableColumn id="6" name="не голосували" totalsRowFunction="sum" dataDxfId="274" totalsRowDxfId="24"/>
  </tableColumns>
  <tableStyleInfo name="TableStyleLight2" showFirstColumn="0" showLastColumn="0" showRowStripes="1" showColumnStripes="0"/>
</table>
</file>

<file path=xl/tables/table26.xml><?xml version="1.0" encoding="utf-8"?>
<table xmlns="http://schemas.openxmlformats.org/spreadsheetml/2006/main" id="31" name="Таблица2456789101117181920212223242526272829303132" displayName="Таблица2456789101117181920212223242526272829303132" ref="A2:F30" totalsRowCount="1" headerRowDxfId="273" dataDxfId="272">
  <autoFilter ref="A2:F29"/>
  <sortState ref="A3:G28">
    <sortCondition descending="1" ref="B1:B27"/>
  </sortState>
  <tableColumns count="6">
    <tableColumn id="1" name="№ п/п" totalsRowLabel="Всього" dataDxfId="271" totalsRowDxfId="23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270" totalsRowDxfId="2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269" totalsRowDxfId="21"/>
    <tableColumn id="4" name="Проти" totalsRowFunction="sum" dataDxfId="268" totalsRowDxfId="20"/>
    <tableColumn id="5" name="Утрим" totalsRowFunction="sum" dataDxfId="267" totalsRowDxfId="19"/>
    <tableColumn id="6" name="не голосували" totalsRowFunction="sum" dataDxfId="266" totalsRowDxfId="18"/>
  </tableColumns>
  <tableStyleInfo name="TableStyleLight2" showFirstColumn="0" showLastColumn="0" showRowStripes="1" showColumnStripes="0"/>
</table>
</file>

<file path=xl/tables/table27.xml><?xml version="1.0" encoding="utf-8"?>
<table xmlns="http://schemas.openxmlformats.org/spreadsheetml/2006/main" id="32" name="Таблица245678910111718192021222324252627282930313233" displayName="Таблица245678910111718192021222324252627282930313233" ref="A2:F30" totalsRowCount="1" headerRowDxfId="265" dataDxfId="264">
  <autoFilter ref="A2:F29"/>
  <sortState ref="A3:G28">
    <sortCondition descending="1" ref="B1:B27"/>
  </sortState>
  <tableColumns count="6">
    <tableColumn id="1" name="№ п/п" totalsRowLabel="Всього" dataDxfId="263" totalsRowDxfId="17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262" totalsRowDxfId="1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261" totalsRowDxfId="15"/>
    <tableColumn id="4" name="Проти" totalsRowFunction="sum" dataDxfId="260" totalsRowDxfId="14"/>
    <tableColumn id="5" name="Утрим" totalsRowFunction="sum" dataDxfId="259" totalsRowDxfId="13"/>
    <tableColumn id="6" name="не голосували" totalsRowFunction="sum" dataDxfId="258" totalsRowDxfId="12"/>
  </tableColumns>
  <tableStyleInfo name="TableStyleLight2" showFirstColumn="0" showLastColumn="0" showRowStripes="1" showColumnStripes="0"/>
</table>
</file>

<file path=xl/tables/table28.xml><?xml version="1.0" encoding="utf-8"?>
<table xmlns="http://schemas.openxmlformats.org/spreadsheetml/2006/main" id="33" name="Таблица24567891011171819202122232425262728293031323334" displayName="Таблица24567891011171819202122232425262728293031323334" ref="A2:F30" totalsRowCount="1" headerRowDxfId="257" dataDxfId="256">
  <autoFilter ref="A2:F29"/>
  <sortState ref="A3:G28">
    <sortCondition descending="1" ref="B1:B27"/>
  </sortState>
  <tableColumns count="6">
    <tableColumn id="1" name="№ п/п" totalsRowLabel="Всього" dataDxfId="255" totalsRowDxfId="11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254" totalsRowDxfId="1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253" totalsRowDxfId="9"/>
    <tableColumn id="4" name="Проти" totalsRowFunction="sum" dataDxfId="252" totalsRowDxfId="8"/>
    <tableColumn id="5" name="Утрим" totalsRowFunction="sum" dataDxfId="251" totalsRowDxfId="7"/>
    <tableColumn id="6" name="не голосували" totalsRowFunction="sum" dataDxfId="250" totalsRowDxfId="6"/>
  </tableColumns>
  <tableStyleInfo name="TableStyleLight2" showFirstColumn="0" showLastColumn="0" showRowStripes="1" showColumnStripes="0"/>
</table>
</file>

<file path=xl/tables/table29.xml><?xml version="1.0" encoding="utf-8"?>
<table xmlns="http://schemas.openxmlformats.org/spreadsheetml/2006/main" id="34" name="Таблица2456789101117181920212223242526272829303132333435" displayName="Таблица2456789101117181920212223242526272829303132333435" ref="A2:F30" totalsRowCount="1" headerRowDxfId="249" dataDxfId="248">
  <autoFilter ref="A2:F29"/>
  <sortState ref="A3:G28">
    <sortCondition descending="1" ref="B1:B27"/>
  </sortState>
  <tableColumns count="6">
    <tableColumn id="1" name="№ п/п" totalsRowLabel="Всього" dataDxfId="247" totalsRowDxfId="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246" totalsRowDxfId="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245" totalsRowDxfId="3"/>
    <tableColumn id="4" name="Проти" totalsRowFunction="sum" dataDxfId="244" totalsRowDxfId="2"/>
    <tableColumn id="5" name="Утрим" totalsRowFunction="sum" dataDxfId="243" totalsRowDxfId="1"/>
    <tableColumn id="6" name="не голосували" totalsRowFunction="sum" dataDxfId="242" totalsRowDxfId="0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Таблица24" displayName="Таблица24" ref="A2:F30" totalsRowCount="1" headerRowDxfId="457" dataDxfId="456">
  <autoFilter ref="A2:F29"/>
  <sortState ref="A3:G28">
    <sortCondition descending="1" ref="B1:B27"/>
  </sortState>
  <tableColumns count="6">
    <tableColumn id="1" name="№ п/п" totalsRowLabel="Всього" dataDxfId="455" totalsRowDxfId="161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454" totalsRowDxfId="16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53" totalsRowDxfId="159"/>
    <tableColumn id="4" name="Проти" totalsRowFunction="sum" dataDxfId="452" totalsRowDxfId="158"/>
    <tableColumn id="5" name="Утрим" totalsRowFunction="sum" dataDxfId="451" totalsRowDxfId="157"/>
    <tableColumn id="6" name="не голосували" totalsRowFunction="sum" dataDxfId="450" totalsRowDxfId="156"/>
  </tableColumns>
  <tableStyleInfo name="TableStyleLight2" showFirstColumn="0" showLastColumn="0" showRowStripes="1" showColumnStripes="0"/>
</table>
</file>

<file path=xl/tables/table30.xml><?xml version="1.0" encoding="utf-8"?>
<table xmlns="http://schemas.openxmlformats.org/spreadsheetml/2006/main" id="11" name="Таблица256789101112" displayName="Таблица256789101112" ref="A2:F30" totalsRowCount="1" headerRowDxfId="241" dataDxfId="240">
  <autoFilter ref="A2:F29"/>
  <sortState ref="A2:G27">
    <sortCondition descending="1" ref="B1:B27"/>
  </sortState>
  <tableColumns count="6">
    <tableColumn id="1" name="№ п/п" totalsRowLabel="Всього" dataDxfId="239" totalsRowDxfId="238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237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236" totalsRowDxfId="235"/>
    <tableColumn id="4" name="Проти" totalsRowFunction="sum" dataDxfId="234" totalsRowDxfId="233"/>
    <tableColumn id="5" name="Утрим" totalsRowFunction="sum" dataDxfId="232" totalsRowDxfId="231"/>
    <tableColumn id="6" name="не голосували" totalsRowFunction="sum" dataDxfId="230" totalsRowDxfId="229"/>
  </tableColumns>
  <tableStyleInfo name="TableStyleLight2" showFirstColumn="0" showLastColumn="0" showRowStripes="1" showColumnStripes="0"/>
</table>
</file>

<file path=xl/tables/table31.xml><?xml version="1.0" encoding="utf-8"?>
<table xmlns="http://schemas.openxmlformats.org/spreadsheetml/2006/main" id="14" name="Таблица256789101112131415" displayName="Таблица256789101112131415" ref="A2:F30" totalsRowCount="1" headerRowDxfId="228" dataDxfId="227">
  <autoFilter ref="A2:F29"/>
  <sortState ref="A2:G27">
    <sortCondition descending="1" ref="B1:B27"/>
  </sortState>
  <tableColumns count="6">
    <tableColumn id="1" name="№ п/п" totalsRowLabel="Всього" dataDxfId="226" totalsRowDxfId="22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224" totalsRowDxfId="223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222" totalsRowDxfId="221"/>
    <tableColumn id="4" name="Проти" totalsRowFunction="sum" dataDxfId="220" totalsRowDxfId="219"/>
    <tableColumn id="5" name="Утрим" totalsRowFunction="sum" dataDxfId="218" totalsRowDxfId="217"/>
    <tableColumn id="6" name="не голосували" totalsRowFunction="sum" dataDxfId="216" totalsRowDxfId="215"/>
  </tableColumns>
  <tableStyleInfo name="TableStyleLight2" showFirstColumn="0" showLastColumn="0" showRowStripes="1" showColumnStripes="0"/>
</table>
</file>

<file path=xl/tables/table32.xml><?xml version="1.0" encoding="utf-8"?>
<table xmlns="http://schemas.openxmlformats.org/spreadsheetml/2006/main" id="13" name="Таблица2567891011121314" displayName="Таблица2567891011121314" ref="A2:F30" totalsRowCount="1" headerRowDxfId="214" dataDxfId="213">
  <autoFilter ref="A2:F29"/>
  <sortState ref="A2:G27">
    <sortCondition descending="1" ref="B1:B27"/>
  </sortState>
  <tableColumns count="6">
    <tableColumn id="1" name="№ п/п" totalsRowLabel="Всього" dataDxfId="212" totalsRowDxfId="211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210" totalsRowDxfId="209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208" totalsRowDxfId="207"/>
    <tableColumn id="4" name="Проти" totalsRowFunction="sum" dataDxfId="206" totalsRowDxfId="205"/>
    <tableColumn id="5" name="Утрим" totalsRowFunction="sum" dataDxfId="204" totalsRowDxfId="203"/>
    <tableColumn id="6" name="не голосували" totalsRowFunction="sum" dataDxfId="202" totalsRowDxfId="201"/>
  </tableColumns>
  <tableStyleInfo name="TableStyleLight2" showFirstColumn="0" showLastColumn="0" showRowStripes="1" showColumnStripes="0"/>
</table>
</file>

<file path=xl/tables/table33.xml><?xml version="1.0" encoding="utf-8"?>
<table xmlns="http://schemas.openxmlformats.org/spreadsheetml/2006/main" id="15" name="Таблица2567891011121316" displayName="Таблица2567891011121316" ref="A2:F30" totalsRowCount="1" headerRowDxfId="200" dataDxfId="199">
  <autoFilter ref="A2:F29"/>
  <sortState ref="A2:G27">
    <sortCondition descending="1" ref="B1:B27"/>
  </sortState>
  <tableColumns count="6">
    <tableColumn id="1" name="№ п/п" totalsRowLabel="Всього" dataDxfId="198" totalsRowDxfId="197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196" totalsRowDxfId="195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194" totalsRowDxfId="193"/>
    <tableColumn id="4" name="Проти" totalsRowFunction="sum" dataDxfId="192" totalsRowDxfId="191"/>
    <tableColumn id="5" name="Утрим" totalsRowFunction="sum" dataDxfId="190" totalsRowDxfId="189"/>
    <tableColumn id="6" name="не голосували" totalsRowFunction="sum" dataDxfId="188" totalsRowDxfId="187"/>
  </tableColumns>
  <tableStyleInfo name="TableStyleLight2" showFirstColumn="0" showLastColumn="0" showRowStripes="1" showColumnStripes="0"/>
</table>
</file>

<file path=xl/tables/table34.xml><?xml version="1.0" encoding="utf-8"?>
<table xmlns="http://schemas.openxmlformats.org/spreadsheetml/2006/main" id="12" name="Таблица25678910111213" displayName="Таблица25678910111213" ref="A2:F30" totalsRowCount="1" headerRowDxfId="186" dataDxfId="185">
  <autoFilter ref="A2:F29"/>
  <sortState ref="A2:G27">
    <sortCondition descending="1" ref="B1:B27"/>
  </sortState>
  <tableColumns count="6">
    <tableColumn id="1" name="№ п/п" totalsRowLabel="Всього" dataDxfId="184" totalsRowDxfId="183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182" totalsRowDxfId="181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180" totalsRowDxfId="179"/>
    <tableColumn id="4" name="Проти" totalsRowFunction="sum" dataDxfId="178" totalsRowDxfId="177"/>
    <tableColumn id="5" name="Утрим" totalsRowFunction="sum" dataDxfId="176" totalsRowDxfId="175"/>
    <tableColumn id="6" name="не голосували" totalsRowFunction="sum" dataDxfId="174" totalsRowDxfId="173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4" name="Таблица245" displayName="Таблица245" ref="A2:F30" totalsRowCount="1" headerRowDxfId="449" dataDxfId="448">
  <autoFilter ref="A2:F29"/>
  <sortState ref="A3:G28">
    <sortCondition descending="1" ref="B1:B27"/>
  </sortState>
  <tableColumns count="6">
    <tableColumn id="1" name="№ п/п" totalsRowLabel="Всього" dataDxfId="447" totalsRowDxfId="15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446" totalsRowDxfId="15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45" totalsRowDxfId="153"/>
    <tableColumn id="4" name="Проти" totalsRowFunction="sum" dataDxfId="444" totalsRowDxfId="152"/>
    <tableColumn id="5" name="Утрим" totalsRowFunction="sum" dataDxfId="443" totalsRowDxfId="151"/>
    <tableColumn id="6" name="не голосували" totalsRowFunction="sum" dataDxfId="442" totalsRowDxfId="150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5" name="Таблица2456" displayName="Таблица2456" ref="A2:F30" totalsRowCount="1" headerRowDxfId="441" dataDxfId="440">
  <autoFilter ref="A2:F29"/>
  <sortState ref="A3:G28">
    <sortCondition descending="1" ref="B1:B27"/>
  </sortState>
  <tableColumns count="6">
    <tableColumn id="1" name="№ п/п" totalsRowLabel="Всього" dataDxfId="439" totalsRowDxfId="149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438" totalsRowDxfId="14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37" totalsRowDxfId="147"/>
    <tableColumn id="4" name="Проти" totalsRowFunction="sum" dataDxfId="436" totalsRowDxfId="146"/>
    <tableColumn id="5" name="Утрим" totalsRowFunction="sum" dataDxfId="435" totalsRowDxfId="145"/>
    <tableColumn id="6" name="не голосували" totalsRowFunction="sum" dataDxfId="434" totalsRowDxfId="144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6" name="Таблица24567" displayName="Таблица24567" ref="A2:F30" totalsRowCount="1" headerRowDxfId="433" dataDxfId="432">
  <autoFilter ref="A2:F29"/>
  <sortState ref="A3:G28">
    <sortCondition descending="1" ref="B1:B27"/>
  </sortState>
  <tableColumns count="6">
    <tableColumn id="1" name="№ п/п" totalsRowLabel="Всього" dataDxfId="431" totalsRowDxfId="143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430" totalsRowDxfId="14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29" totalsRowDxfId="141"/>
    <tableColumn id="4" name="Проти" totalsRowFunction="sum" dataDxfId="428" totalsRowDxfId="140"/>
    <tableColumn id="5" name="Утрим" totalsRowFunction="sum" dataDxfId="427" totalsRowDxfId="139"/>
    <tableColumn id="6" name="не голосували" totalsRowFunction="sum" dataDxfId="426" totalsRowDxfId="138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id="7" name="Таблица245678" displayName="Таблица245678" ref="A2:F30" totalsRowCount="1" headerRowDxfId="425" dataDxfId="424">
  <autoFilter ref="A2:F29"/>
  <sortState ref="A3:G28">
    <sortCondition descending="1" ref="B1:B27"/>
  </sortState>
  <tableColumns count="6">
    <tableColumn id="1" name="№ п/п" totalsRowLabel="Всього" dataDxfId="423" totalsRowDxfId="137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422" totalsRowDxfId="13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21" totalsRowDxfId="135"/>
    <tableColumn id="4" name="Проти" totalsRowFunction="sum" dataDxfId="420" totalsRowDxfId="134"/>
    <tableColumn id="5" name="Утрим" totalsRowFunction="sum" dataDxfId="419" totalsRowDxfId="133"/>
    <tableColumn id="6" name="не голосували" totalsRowFunction="sum" dataDxfId="418" totalsRowDxfId="132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id="8" name="Таблица2456789" displayName="Таблица2456789" ref="A2:F30" totalsRowCount="1" headerRowDxfId="417" dataDxfId="416">
  <autoFilter ref="A2:F29"/>
  <sortState ref="A3:G28">
    <sortCondition descending="1" ref="B1:B27"/>
  </sortState>
  <tableColumns count="6">
    <tableColumn id="1" name="№ п/п" totalsRowLabel="Всього" dataDxfId="415" totalsRowDxfId="131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414" totalsRowDxfId="13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13" totalsRowDxfId="129"/>
    <tableColumn id="4" name="Проти" totalsRowFunction="sum" dataDxfId="412" totalsRowDxfId="128"/>
    <tableColumn id="5" name="Утрим" totalsRowFunction="sum" dataDxfId="411" totalsRowDxfId="127"/>
    <tableColumn id="6" name="не голосували" totalsRowFunction="sum" dataDxfId="410" totalsRowDxfId="126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id="9" name="Таблица245678910" displayName="Таблица245678910" ref="A2:F30" totalsRowCount="1" headerRowDxfId="409" dataDxfId="408">
  <autoFilter ref="A2:F29"/>
  <sortState ref="A3:G28">
    <sortCondition descending="1" ref="B1:B27"/>
  </sortState>
  <tableColumns count="6">
    <tableColumn id="1" name="№ п/п" totalsRowLabel="Всього" dataDxfId="407" totalsRowDxfId="12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406" totalsRowDxfId="12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05" totalsRowDxfId="123"/>
    <tableColumn id="4" name="Проти" totalsRowFunction="sum" dataDxfId="404" totalsRowDxfId="122"/>
    <tableColumn id="5" name="Утрим" totalsRowFunction="sum" dataDxfId="403" totalsRowDxfId="121"/>
    <tableColumn id="6" name="не голосували" totalsRowFunction="sum" dataDxfId="402" totalsRowDxfId="12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view="pageBreakPreview" topLeftCell="A10" zoomScaleNormal="100" zoomScaleSheetLayoutView="100" workbookViewId="0">
      <selection activeCell="C21" sqref="C21"/>
    </sheetView>
  </sheetViews>
  <sheetFormatPr defaultRowHeight="15" x14ac:dyDescent="0.25"/>
  <cols>
    <col min="3" max="3" width="44.140625" customWidth="1"/>
    <col min="4" max="4" width="11.85546875" customWidth="1"/>
    <col min="5" max="5" width="11.42578125" bestFit="1" customWidth="1"/>
    <col min="6" max="6" width="25.28515625" customWidth="1"/>
  </cols>
  <sheetData>
    <row r="2" spans="1:6" ht="35.25" thickBot="1" x14ac:dyDescent="0.3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t="s">
        <v>17</v>
      </c>
    </row>
    <row r="3" spans="1:6" ht="16.5" thickBot="1" x14ac:dyDescent="0.3">
      <c r="A3" s="6">
        <f>IF(ISBLANK(F3),"",COUNTA($F$3:F3))</f>
        <v>1</v>
      </c>
      <c r="B3" s="7"/>
      <c r="C3" s="40" t="s">
        <v>15</v>
      </c>
      <c r="D3" s="8" t="s">
        <v>6</v>
      </c>
      <c r="E3" s="17">
        <f>IF(Таблица1[[#This Row],[явка]]="прибув",1,"")</f>
        <v>1</v>
      </c>
      <c r="F3" s="19" t="s">
        <v>16</v>
      </c>
    </row>
    <row r="4" spans="1:6" ht="16.5" thickBot="1" x14ac:dyDescent="0.3">
      <c r="A4" s="6">
        <f>IF(ISBLANK(B4),"",COUNTA($B$3:B4))</f>
        <v>1</v>
      </c>
      <c r="B4" s="7">
        <v>5</v>
      </c>
      <c r="C4" s="40" t="s">
        <v>30</v>
      </c>
      <c r="D4" s="8" t="s">
        <v>6</v>
      </c>
      <c r="E4" s="8">
        <f>IF(Таблица1[[#This Row],[явка]]="прибув",1,"")</f>
        <v>1</v>
      </c>
      <c r="F4" s="19"/>
    </row>
    <row r="5" spans="1:6" ht="16.5" thickBot="1" x14ac:dyDescent="0.3">
      <c r="A5" s="6">
        <f>IF(ISBLANK(B5),"",COUNTA($B$3:B5))</f>
        <v>2</v>
      </c>
      <c r="B5" s="7">
        <v>23</v>
      </c>
      <c r="C5" s="40" t="s">
        <v>46</v>
      </c>
      <c r="D5" s="8" t="s">
        <v>6</v>
      </c>
      <c r="E5" s="8">
        <f>IF(Таблица1[[#This Row],[явка]]="прибув",1,"")</f>
        <v>1</v>
      </c>
      <c r="F5" s="19"/>
    </row>
    <row r="6" spans="1:6" ht="16.5" thickBot="1" x14ac:dyDescent="0.3">
      <c r="A6" s="6">
        <f>IF(ISBLANK(B6),"",COUNTA($B$3:B6))</f>
        <v>3</v>
      </c>
      <c r="B6" s="7">
        <v>19</v>
      </c>
      <c r="C6" s="40" t="s">
        <v>42</v>
      </c>
      <c r="D6" s="8" t="s">
        <v>6</v>
      </c>
      <c r="E6" s="8">
        <f>IF(Таблица1[[#This Row],[явка]]="прибув",1,"")</f>
        <v>1</v>
      </c>
      <c r="F6" s="19"/>
    </row>
    <row r="7" spans="1:6" ht="16.5" thickBot="1" x14ac:dyDescent="0.3">
      <c r="A7" s="6">
        <f>IF(ISBLANK(B7),"",COUNTA($B$3:B7))</f>
        <v>4</v>
      </c>
      <c r="B7" s="7">
        <v>11</v>
      </c>
      <c r="C7" s="40" t="s">
        <v>34</v>
      </c>
      <c r="D7" s="8" t="s">
        <v>6</v>
      </c>
      <c r="E7" s="8">
        <f>IF(Таблица1[[#This Row],[явка]]="прибув",1,"")</f>
        <v>1</v>
      </c>
      <c r="F7" s="19"/>
    </row>
    <row r="8" spans="1:6" ht="16.5" thickBot="1" x14ac:dyDescent="0.3">
      <c r="A8" s="6">
        <f>IF(ISBLANK(B8),"",COUNTA($B$3:B8))</f>
        <v>5</v>
      </c>
      <c r="B8" s="7">
        <v>15</v>
      </c>
      <c r="C8" s="40" t="s">
        <v>38</v>
      </c>
      <c r="D8" s="8" t="s">
        <v>6</v>
      </c>
      <c r="E8" s="8">
        <f>IF(Таблица1[[#This Row],[явка]]="прибув",1,"")</f>
        <v>1</v>
      </c>
      <c r="F8" s="19"/>
    </row>
    <row r="9" spans="1:6" ht="16.5" thickBot="1" x14ac:dyDescent="0.3">
      <c r="A9" s="6">
        <f>IF(ISBLANK(B9),"",COUNTA($B$3:B9))</f>
        <v>6</v>
      </c>
      <c r="B9" s="7">
        <v>18</v>
      </c>
      <c r="C9" s="40" t="s">
        <v>41</v>
      </c>
      <c r="D9" s="8" t="s">
        <v>6</v>
      </c>
      <c r="E9" s="8">
        <f>IF(Таблица1[[#This Row],[явка]]="прибув",1,"")</f>
        <v>1</v>
      </c>
      <c r="F9" s="19"/>
    </row>
    <row r="10" spans="1:6" ht="16.5" thickBot="1" x14ac:dyDescent="0.3">
      <c r="A10" s="6">
        <f>IF(ISBLANK(B10),"",COUNTA($B$3:B10))</f>
        <v>7</v>
      </c>
      <c r="B10" s="7">
        <v>24</v>
      </c>
      <c r="C10" s="40" t="s">
        <v>47</v>
      </c>
      <c r="D10" s="8" t="s">
        <v>6</v>
      </c>
      <c r="E10" s="8">
        <f>IF(Таблица1[[#This Row],[явка]]="прибув",1,"")</f>
        <v>1</v>
      </c>
      <c r="F10" s="19"/>
    </row>
    <row r="11" spans="1:6" ht="16.5" thickBot="1" x14ac:dyDescent="0.3">
      <c r="A11" s="6">
        <f>IF(ISBLANK(B11),"",COUNTA($B$3:B11))</f>
        <v>8</v>
      </c>
      <c r="B11" s="7">
        <v>8</v>
      </c>
      <c r="C11" s="40" t="s">
        <v>32</v>
      </c>
      <c r="D11" s="8" t="s">
        <v>6</v>
      </c>
      <c r="E11" s="8">
        <f>IF(Таблица1[[#This Row],[явка]]="прибув",1,"")</f>
        <v>1</v>
      </c>
      <c r="F11" s="19"/>
    </row>
    <row r="12" spans="1:6" ht="16.5" thickBot="1" x14ac:dyDescent="0.3">
      <c r="A12" s="6">
        <f>IF(ISBLANK(B12),"",COUNTA($B$3:B12))</f>
        <v>9</v>
      </c>
      <c r="B12" s="7">
        <v>17</v>
      </c>
      <c r="C12" s="40" t="s">
        <v>40</v>
      </c>
      <c r="D12" s="8" t="s">
        <v>6</v>
      </c>
      <c r="E12" s="8">
        <f>IF(Таблица1[[#This Row],[явка]]="прибув",1,"")</f>
        <v>1</v>
      </c>
      <c r="F12" s="19"/>
    </row>
    <row r="13" spans="1:6" ht="16.5" thickBot="1" x14ac:dyDescent="0.3">
      <c r="A13" s="6">
        <f>IF(ISBLANK(B13),"",COUNTA($B$3:B13))</f>
        <v>10</v>
      </c>
      <c r="B13" s="7">
        <v>4</v>
      </c>
      <c r="C13" s="40" t="s">
        <v>29</v>
      </c>
      <c r="D13" s="8" t="s">
        <v>6</v>
      </c>
      <c r="E13" s="8">
        <f>IF(Таблица1[[#This Row],[явка]]="прибув",1,"")</f>
        <v>1</v>
      </c>
      <c r="F13" s="19"/>
    </row>
    <row r="14" spans="1:6" ht="16.5" thickBot="1" x14ac:dyDescent="0.3">
      <c r="A14" s="6">
        <f>IF(ISBLANK(B14),"",COUNTA($B$3:B14))</f>
        <v>11</v>
      </c>
      <c r="B14" s="7">
        <v>22</v>
      </c>
      <c r="C14" s="40" t="s">
        <v>45</v>
      </c>
      <c r="D14" s="8" t="s">
        <v>6</v>
      </c>
      <c r="E14" s="8">
        <f>IF(Таблица1[[#This Row],[явка]]="прибув",1,"")</f>
        <v>1</v>
      </c>
      <c r="F14" s="19"/>
    </row>
    <row r="15" spans="1:6" ht="16.5" thickBot="1" x14ac:dyDescent="0.3">
      <c r="A15" s="6">
        <f>IF(ISBLANK(B15),"",COUNTA($B$3:B15))</f>
        <v>12</v>
      </c>
      <c r="B15" s="7">
        <v>7</v>
      </c>
      <c r="C15" s="40" t="s">
        <v>31</v>
      </c>
      <c r="D15" s="8" t="s">
        <v>6</v>
      </c>
      <c r="E15" s="8">
        <f>IF(Таблица1[[#This Row],[явка]]="прибув",1,"")</f>
        <v>1</v>
      </c>
      <c r="F15" s="19"/>
    </row>
    <row r="16" spans="1:6" ht="16.5" thickBot="1" x14ac:dyDescent="0.3">
      <c r="A16" s="6">
        <f>IF(ISBLANK(B16),"",COUNTA($B$3:B16))</f>
        <v>13</v>
      </c>
      <c r="B16" s="7">
        <v>26</v>
      </c>
      <c r="C16" s="40" t="s">
        <v>49</v>
      </c>
      <c r="D16" s="8" t="s">
        <v>6</v>
      </c>
      <c r="E16" s="8">
        <f>IF(Таблица1[[#This Row],[явка]]="прибув",1,"")</f>
        <v>1</v>
      </c>
      <c r="F16" s="19"/>
    </row>
    <row r="17" spans="1:6" ht="16.5" thickBot="1" x14ac:dyDescent="0.3">
      <c r="A17" s="6">
        <f>IF(ISBLANK(B17),"",COUNTA($B$3:B17))</f>
        <v>14</v>
      </c>
      <c r="B17" s="7">
        <v>16</v>
      </c>
      <c r="C17" s="40" t="s">
        <v>39</v>
      </c>
      <c r="D17" s="8" t="s">
        <v>6</v>
      </c>
      <c r="E17" s="8">
        <f>IF(Таблица1[[#This Row],[явка]]="прибув",1,"")</f>
        <v>1</v>
      </c>
      <c r="F17" s="19"/>
    </row>
    <row r="18" spans="1:6" ht="16.5" thickBot="1" x14ac:dyDescent="0.3">
      <c r="A18" s="6">
        <f>IF(ISBLANK(B18),"",COUNTA($B$3:B18))</f>
        <v>15</v>
      </c>
      <c r="B18" s="18">
        <v>1</v>
      </c>
      <c r="C18" s="40" t="s">
        <v>5</v>
      </c>
      <c r="D18" s="8" t="s">
        <v>6</v>
      </c>
      <c r="E18" s="8">
        <f>IF(Таблица1[[#This Row],[явка]]="прибув",1,"")</f>
        <v>1</v>
      </c>
      <c r="F18" s="19"/>
    </row>
    <row r="19" spans="1:6" ht="16.5" thickBot="1" x14ac:dyDescent="0.3">
      <c r="A19" s="6">
        <f>IF(ISBLANK(B19),"",COUNTA($B$3:B19))</f>
        <v>16</v>
      </c>
      <c r="B19" s="7">
        <v>12</v>
      </c>
      <c r="C19" s="40" t="s">
        <v>35</v>
      </c>
      <c r="D19" s="8" t="s">
        <v>6</v>
      </c>
      <c r="E19" s="8">
        <f>IF(Таблица1[[#This Row],[явка]]="прибув",1,"")</f>
        <v>1</v>
      </c>
      <c r="F19" s="19"/>
    </row>
    <row r="20" spans="1:6" ht="16.5" thickBot="1" x14ac:dyDescent="0.3">
      <c r="A20" s="6">
        <f>IF(ISBLANK(B20),"",COUNTA($B$3:B20))</f>
        <v>17</v>
      </c>
      <c r="B20" s="7">
        <v>20</v>
      </c>
      <c r="C20" s="40" t="s">
        <v>43</v>
      </c>
      <c r="D20" s="8" t="s">
        <v>6</v>
      </c>
      <c r="E20" s="8">
        <f>IF(Таблица1[[#This Row],[явка]]="прибув",1,"")</f>
        <v>1</v>
      </c>
      <c r="F20" s="19"/>
    </row>
    <row r="21" spans="1:6" ht="16.5" thickBot="1" x14ac:dyDescent="0.3">
      <c r="A21" s="6">
        <f>IF(ISBLANK(B21),"",COUNTA($B$3:B21))</f>
        <v>18</v>
      </c>
      <c r="B21" s="7">
        <v>10</v>
      </c>
      <c r="C21" s="40" t="s">
        <v>8</v>
      </c>
      <c r="D21" s="8" t="s">
        <v>6</v>
      </c>
      <c r="E21" s="8">
        <f>IF(Таблица1[[#This Row],[явка]]="прибув",1,"")</f>
        <v>1</v>
      </c>
      <c r="F21" s="19"/>
    </row>
    <row r="22" spans="1:6" ht="16.5" thickBot="1" x14ac:dyDescent="0.3">
      <c r="A22" s="6">
        <f>IF(ISBLANK(B22),"",COUNTA($B$3:B22))</f>
        <v>19</v>
      </c>
      <c r="B22" s="7">
        <v>25</v>
      </c>
      <c r="C22" s="40" t="s">
        <v>48</v>
      </c>
      <c r="D22" s="8" t="s">
        <v>6</v>
      </c>
      <c r="E22" s="8">
        <f>IF(Таблица1[[#This Row],[явка]]="прибув",1,"")</f>
        <v>1</v>
      </c>
      <c r="F22" s="19"/>
    </row>
    <row r="23" spans="1:6" ht="16.5" thickBot="1" x14ac:dyDescent="0.3">
      <c r="A23" s="6">
        <f>IF(ISBLANK(B23),"",COUNTA($B$3:B23))</f>
        <v>20</v>
      </c>
      <c r="B23" s="7">
        <v>9</v>
      </c>
      <c r="C23" s="40" t="s">
        <v>33</v>
      </c>
      <c r="D23" s="8" t="s">
        <v>6</v>
      </c>
      <c r="E23" s="8">
        <f>IF(Таблица1[[#This Row],[явка]]="прибув",1,"")</f>
        <v>1</v>
      </c>
      <c r="F23" s="19"/>
    </row>
    <row r="24" spans="1:6" ht="16.5" thickBot="1" x14ac:dyDescent="0.3">
      <c r="A24" s="6">
        <f>IF(ISBLANK(B24),"",COUNTA($B$3:B24))</f>
        <v>21</v>
      </c>
      <c r="B24" s="7">
        <v>14</v>
      </c>
      <c r="C24" s="40" t="s">
        <v>37</v>
      </c>
      <c r="D24" s="8" t="s">
        <v>6</v>
      </c>
      <c r="E24" s="8">
        <f>IF(Таблица1[[#This Row],[явка]]="прибув",1,"")</f>
        <v>1</v>
      </c>
      <c r="F24" s="19"/>
    </row>
    <row r="25" spans="1:6" ht="16.5" thickBot="1" x14ac:dyDescent="0.3">
      <c r="A25" s="6">
        <f>IF(ISBLANK(B25),"",COUNTA($B$3:B25))</f>
        <v>22</v>
      </c>
      <c r="B25" s="7">
        <v>3</v>
      </c>
      <c r="C25" s="40" t="s">
        <v>28</v>
      </c>
      <c r="D25" s="8" t="s">
        <v>9</v>
      </c>
      <c r="E25" s="8" t="str">
        <f>IF(Таблица1[[#This Row],[явка]]="прибув",1,"")</f>
        <v/>
      </c>
      <c r="F25" s="19"/>
    </row>
    <row r="26" spans="1:6" ht="16.5" thickBot="1" x14ac:dyDescent="0.3">
      <c r="A26" s="6">
        <f>IF(ISBLANK(B26),"",COUNTA($B$3:B26))</f>
        <v>23</v>
      </c>
      <c r="B26" s="7">
        <v>21</v>
      </c>
      <c r="C26" s="40" t="s">
        <v>44</v>
      </c>
      <c r="D26" s="8" t="s">
        <v>9</v>
      </c>
      <c r="E26" s="8" t="str">
        <f>IF(Таблица1[[#This Row],[явка]]="прибув",1,"")</f>
        <v/>
      </c>
      <c r="F26" s="19"/>
    </row>
    <row r="27" spans="1:6" ht="16.5" thickBot="1" x14ac:dyDescent="0.3">
      <c r="A27" s="6">
        <f>IF(ISBLANK(B27),"",COUNTA($B$3:B27))</f>
        <v>24</v>
      </c>
      <c r="B27" s="7">
        <v>6</v>
      </c>
      <c r="C27" s="40" t="s">
        <v>7</v>
      </c>
      <c r="D27" s="8" t="s">
        <v>9</v>
      </c>
      <c r="E27" s="8" t="str">
        <f>IF(Таблица1[[#This Row],[явка]]="прибув",1,"")</f>
        <v/>
      </c>
      <c r="F27" s="19"/>
    </row>
    <row r="28" spans="1:6" ht="16.5" thickBot="1" x14ac:dyDescent="0.3">
      <c r="A28" s="6">
        <f>IF(ISBLANK(B28),"",COUNTA($B$3:B28))</f>
        <v>25</v>
      </c>
      <c r="B28" s="7">
        <v>13</v>
      </c>
      <c r="C28" s="40" t="s">
        <v>36</v>
      </c>
      <c r="D28" s="8" t="s">
        <v>9</v>
      </c>
      <c r="E28" s="8" t="str">
        <f>IF(Таблица1[[#This Row],[явка]]="прибув",1,"")</f>
        <v/>
      </c>
      <c r="F28" s="19"/>
    </row>
    <row r="29" spans="1:6" ht="16.5" thickBot="1" x14ac:dyDescent="0.3">
      <c r="A29" s="6">
        <f>IF(ISBLANK(B29),"",COUNTA($B$3:B29))</f>
        <v>26</v>
      </c>
      <c r="B29" s="7">
        <v>2</v>
      </c>
      <c r="C29" s="40" t="s">
        <v>10</v>
      </c>
      <c r="D29" s="8" t="s">
        <v>9</v>
      </c>
      <c r="E29" s="8" t="str">
        <f>IF(Таблица1[[#This Row],[явка]]="прибув",1,"")</f>
        <v/>
      </c>
      <c r="F29" s="19"/>
    </row>
    <row r="30" spans="1:6" ht="15.75" x14ac:dyDescent="0.25">
      <c r="A30" s="36" t="s">
        <v>11</v>
      </c>
      <c r="B30" s="36"/>
      <c r="C30" s="37"/>
      <c r="D30" s="38"/>
      <c r="E30" s="39">
        <f>SUBTOTAL(109,Таблица1[кількість прибувших депутатів])-1</f>
        <v>21</v>
      </c>
    </row>
  </sheetData>
  <sheetProtection selectLockedCells="1" selectUnlockedCells="1"/>
  <pageMargins left="0.7" right="0.7" top="0.75" bottom="0.75" header="0.3" footer="0.3"/>
  <pageSetup paperSize="9" scale="73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дані!$A$1:$A$2</xm:f>
          </x14:formula1>
          <xm:sqref>D3:D29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24" sqref="C3:C24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0" customHeight="1" x14ac:dyDescent="0.25">
      <c r="B1" s="51" t="str">
        <f>'Порядок денний '!B9</f>
        <v>Про надання дозволу на розроблення проєкту землеустрою щодо відведення земельної ділянки.(Луценко)</v>
      </c>
      <c r="C1" s="51"/>
      <c r="D1" s="51"/>
      <c r="E1" s="51"/>
      <c r="F1" s="51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SUBTOTAL(109,Таблица245678910[За])</f>
        <v>22</v>
      </c>
      <c r="D30" s="29">
        <f>SUBTOTAL(109,Таблица245678910[Проти])</f>
        <v>0</v>
      </c>
      <c r="E30" s="29">
        <f>SUBTOTAL(109,Таблица245678910[Утрим])</f>
        <v>0</v>
      </c>
      <c r="F30" s="29">
        <f>SUBTOTAL(109,Таблица245678910[не голосували])</f>
        <v>0</v>
      </c>
    </row>
    <row r="31" spans="1:7" x14ac:dyDescent="0.25">
      <c r="B31" t="str">
        <f>IF(Таблица245678910[[#Totals],[За]]&gt;13,"Рішення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4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9" t="str">
        <f>'Порядок денний '!B10</f>
        <v>Про надання дозволу на розроблення проєкту землеустрою щодо відведення земельної ділянки (Малієнко)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32" t="s">
        <v>11</v>
      </c>
      <c r="B30" s="32"/>
      <c r="C30" s="32">
        <f>SUBTOTAL(109,Таблица24567891011[За])</f>
        <v>22</v>
      </c>
      <c r="D30" s="32">
        <f>SUBTOTAL(109,Таблица24567891011[Проти])</f>
        <v>0</v>
      </c>
      <c r="E30" s="32">
        <f>SUBTOTAL(109,Таблица24567891011[Утрим])</f>
        <v>0</v>
      </c>
      <c r="F30" s="32">
        <f>SUBTOTAL(109,Таблица24567891011[не голосували])</f>
        <v>0</v>
      </c>
    </row>
    <row r="31" spans="1:7" x14ac:dyDescent="0.25">
      <c r="B31" t="str">
        <f>IF(Таблица24567891011[[#Totals],[За]]&gt;13,"Рішення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2" zoomScaleNormal="100" zoomScaleSheetLayoutView="100" workbookViewId="0">
      <selection activeCell="C3" sqref="C3:C24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0.75" customHeight="1" x14ac:dyDescent="0.25">
      <c r="B1" s="49" t="str">
        <f>'Порядок денний '!B11</f>
        <v>Про надання дозволу на розроблення проєкту землеустрою щодо відведення земельної ділянки (Лещенко)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SUBTOTAL(109,Таблица2456789101117[За])</f>
        <v>22</v>
      </c>
      <c r="D30" s="29">
        <f>SUBTOTAL(109,Таблица2456789101117[Проти])</f>
        <v>0</v>
      </c>
      <c r="E30" s="29">
        <f>SUBTOTAL(109,Таблица2456789101117[Утрим])</f>
        <v>0</v>
      </c>
      <c r="F30" s="29">
        <f>SUBTOTAL(109,Таблица2456789101117[не голосували])</f>
        <v>0</v>
      </c>
    </row>
    <row r="31" spans="1:7" x14ac:dyDescent="0.25">
      <c r="B31" t="str">
        <f>IF(Таблица2456789101117[[#Totals],[За]]&gt;13,"Рішення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4" zoomScaleNormal="100" zoomScaleSheetLayoutView="100" workbookViewId="0">
      <selection activeCell="C3" sqref="C3:C24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29.25" customHeight="1" x14ac:dyDescent="0.25">
      <c r="B1" s="49" t="str">
        <f>'Порядок денний '!B12</f>
        <v>Про надання дозволу на розроблення проекту землеустрою щодо відведення земельної ділянки (Приліпко)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32" t="s">
        <v>11</v>
      </c>
      <c r="B30" s="32"/>
      <c r="C30" s="32">
        <f>SUBTOTAL(109,Таблица245678910111718[За])</f>
        <v>22</v>
      </c>
      <c r="D30" s="32">
        <f>SUBTOTAL(109,Таблица245678910111718[Проти])</f>
        <v>0</v>
      </c>
      <c r="E30" s="32">
        <f>SUBTOTAL(109,Таблица245678910111718[Утрим])</f>
        <v>0</v>
      </c>
      <c r="F30" s="32">
        <f>SUBTOTAL(109,Таблица245678910111718[не голосували])</f>
        <v>0</v>
      </c>
    </row>
    <row r="31" spans="1:7" x14ac:dyDescent="0.25">
      <c r="B31" t="str">
        <f>IF(Таблица245678910111718[[#Totals],[За]]&gt;13,"Рішення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6" zoomScaleNormal="100" zoomScaleSheetLayoutView="100" workbookViewId="0">
      <selection activeCell="E17" sqref="E17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29.25" customHeight="1" x14ac:dyDescent="0.25">
      <c r="B1" s="49" t="str">
        <f>'Порядок денний '!B13</f>
        <v>Про надання дозволу на розроблення проекту землеустрою щодо відведення земельної ділянки (Жулай О.П.)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/>
      <c r="D6" s="12"/>
      <c r="E6" s="12">
        <v>1</v>
      </c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SUBTOTAL(109,Таблица24567891011171819[За])</f>
        <v>21</v>
      </c>
      <c r="D30" s="29">
        <f>SUBTOTAL(109,Таблица24567891011171819[Проти])</f>
        <v>0</v>
      </c>
      <c r="E30" s="29">
        <f>SUBTOTAL(109,Таблица24567891011171819[Утрим])</f>
        <v>1</v>
      </c>
      <c r="F30" s="29">
        <f>SUBTOTAL(109,Таблица24567891011171819[не голосували])</f>
        <v>0</v>
      </c>
    </row>
    <row r="31" spans="1:7" x14ac:dyDescent="0.25">
      <c r="B31" t="str">
        <f>IF(Таблица24567891011171819[[#Totals],[За]]&gt;13,"Рішення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3" zoomScaleNormal="100" zoomScaleSheetLayoutView="100" workbookViewId="0">
      <selection activeCell="B35" sqref="B35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5.25" customHeight="1" x14ac:dyDescent="0.25">
      <c r="B1" s="49" t="str">
        <f>'Порядок денний '!B14</f>
        <v>Про надання дозволу на розроблення проекту землеустрою щодо відведення земельної ділянки (Поета)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>
        <v>1</v>
      </c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/>
      <c r="D12" s="12"/>
      <c r="E12" s="12">
        <v>1</v>
      </c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/>
      <c r="D13" s="12"/>
      <c r="E13" s="12">
        <v>1</v>
      </c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/>
      <c r="D14" s="12"/>
      <c r="E14" s="12">
        <v>1</v>
      </c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/>
      <c r="D20" s="12"/>
      <c r="E20" s="12">
        <v>1</v>
      </c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SUBTOTAL(109,Таблица2456789101117181920[За])</f>
        <v>17</v>
      </c>
      <c r="D30" s="29">
        <f>SUBTOTAL(109,Таблица2456789101117181920[Проти])</f>
        <v>0</v>
      </c>
      <c r="E30" s="29">
        <f>SUBTOTAL(109,Таблица2456789101117181920[Утрим])</f>
        <v>5</v>
      </c>
      <c r="F30" s="29">
        <f>SUBTOTAL(109,Таблица2456789101117181920[не голосували])</f>
        <v>0</v>
      </c>
    </row>
    <row r="31" spans="1:7" ht="15.75" x14ac:dyDescent="0.25">
      <c r="B31" s="55" t="s">
        <v>77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4" zoomScaleNormal="100" zoomScaleSheetLayoutView="100" workbookViewId="0">
      <selection activeCell="E23" sqref="E23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0.75" customHeight="1" x14ac:dyDescent="0.25">
      <c r="B1" s="49" t="str">
        <f>'Порядок денний '!B15</f>
        <v>Про надання дозволу на розроблення проекту землеустрою щодо відведення земельної ділянки (Маснуха)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32" t="s">
        <v>11</v>
      </c>
      <c r="B30" s="32"/>
      <c r="C30" s="32">
        <f>SUBTOTAL(109,Таблица245678910111718192021[За])</f>
        <v>22</v>
      </c>
      <c r="D30" s="32">
        <f>SUBTOTAL(109,Таблица245678910111718192021[Проти])</f>
        <v>0</v>
      </c>
      <c r="E30" s="32">
        <f>SUBTOTAL(109,Таблица245678910111718192021[Утрим])</f>
        <v>0</v>
      </c>
      <c r="F30" s="32">
        <f>SUBTOTAL(109,Таблица245678910111718192021[не голосували])</f>
        <v>0</v>
      </c>
    </row>
    <row r="31" spans="1:7" x14ac:dyDescent="0.25">
      <c r="B31" t="str">
        <f>IF(Таблица245678910111718192021[[#Totals],[За]]&gt;13,"Рішення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4" zoomScaleNormal="100" zoomScaleSheetLayoutView="100" workbookViewId="0">
      <selection activeCell="C22" sqref="C22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6.75" customHeight="1" x14ac:dyDescent="0.25">
      <c r="B1" s="49" t="str">
        <f>'Порядок денний '!B16</f>
        <v>Про надання дозволу на розроблення проекту землеустрою щодо відведення земельної ділянки (Сай)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SUBTOTAL(109,Таблица24567891011171819202122[За])</f>
        <v>22</v>
      </c>
      <c r="D30" s="29">
        <f>SUBTOTAL(109,Таблица24567891011171819202122[Проти])</f>
        <v>0</v>
      </c>
      <c r="E30" s="29">
        <f>SUBTOTAL(109,Таблица24567891011171819202122[Утрим])</f>
        <v>0</v>
      </c>
      <c r="F30" s="29">
        <f>SUBTOTAL(109,Таблица24567891011171819202122[не голосували])</f>
        <v>0</v>
      </c>
    </row>
    <row r="31" spans="1:7" x14ac:dyDescent="0.25">
      <c r="B31" t="str">
        <f>IF(Таблица24567891011171819202122[[#Totals],[За]]&gt;13,"Рішення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8" zoomScaleNormal="100" zoomScaleSheetLayoutView="100" workbookViewId="0">
      <selection activeCell="B39" sqref="B39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4.5" customHeight="1" x14ac:dyDescent="0.25">
      <c r="B1" s="49" t="str">
        <f>'Порядок денний '!B17</f>
        <v>Про надання дозволу на розроблення проекту землеустрою щодо відведення земельної ділянки (Борсук)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SUBTOTAL(109,Таблица2456789101117181920212223[За])</f>
        <v>22</v>
      </c>
      <c r="D30" s="29">
        <f>SUBTOTAL(109,Таблица2456789101117181920212223[Проти])</f>
        <v>0</v>
      </c>
      <c r="E30" s="29">
        <f>SUBTOTAL(109,Таблица2456789101117181920212223[Утрим])</f>
        <v>0</v>
      </c>
      <c r="F30" s="29"/>
    </row>
    <row r="31" spans="1:7" x14ac:dyDescent="0.25">
      <c r="B31" t="str">
        <f>IF(Таблица2456789101117181920212223[[#Totals],[За]]&gt;13,"Рішення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4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3" customHeight="1" x14ac:dyDescent="0.25">
      <c r="B1" s="49" t="str">
        <f>'Порядок денний '!B18</f>
        <v>Про надання дозволу на розроблення проекту землеустрою щодо відведення земельної ділянки (Дзюба)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32" t="s">
        <v>11</v>
      </c>
      <c r="B30" s="32"/>
      <c r="C30" s="32">
        <f>SUBTOTAL(109,Таблица245678910111718192021222324[За])</f>
        <v>22</v>
      </c>
      <c r="D30" s="32">
        <f>SUBTOTAL(109,Таблица245678910111718192021222324[Проти])</f>
        <v>0</v>
      </c>
      <c r="E30" s="32">
        <f>SUBTOTAL(109,Таблица245678910111718192021222324[Утрим])</f>
        <v>0</v>
      </c>
      <c r="F30" s="32">
        <f>SUBTOTAL(109,Таблица245678910111718192021222324[не голосували])</f>
        <v>0</v>
      </c>
    </row>
    <row r="31" spans="1:7" x14ac:dyDescent="0.25">
      <c r="B31" t="str">
        <f>IF(Таблица245678910111718192021222324[[#Totals],[За]]&gt;13,"Рішення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view="pageBreakPreview" zoomScaleNormal="100" zoomScaleSheetLayoutView="100" workbookViewId="0">
      <selection activeCell="H2" sqref="H2:H29"/>
    </sheetView>
  </sheetViews>
  <sheetFormatPr defaultRowHeight="15" x14ac:dyDescent="0.25"/>
  <cols>
    <col min="1" max="1" width="7.28515625" style="30" bestFit="1" customWidth="1"/>
    <col min="2" max="2" width="75.7109375" style="16" customWidth="1"/>
    <col min="3" max="4" width="9.140625" style="21"/>
    <col min="5" max="5" width="14.85546875" style="21" customWidth="1"/>
    <col min="6" max="6" width="17.28515625" style="21" customWidth="1"/>
    <col min="7" max="7" width="23.85546875" style="35" customWidth="1"/>
    <col min="8" max="8" width="13" customWidth="1"/>
  </cols>
  <sheetData>
    <row r="1" spans="1:8" s="25" customFormat="1" ht="16.5" thickBot="1" x14ac:dyDescent="0.3">
      <c r="A1" s="31" t="s">
        <v>0</v>
      </c>
      <c r="B1" s="22" t="s">
        <v>26</v>
      </c>
      <c r="C1" s="23" t="s">
        <v>22</v>
      </c>
      <c r="D1" s="23" t="s">
        <v>23</v>
      </c>
      <c r="E1" s="24" t="s">
        <v>24</v>
      </c>
      <c r="F1" s="22" t="s">
        <v>27</v>
      </c>
      <c r="G1" s="33" t="s">
        <v>25</v>
      </c>
      <c r="H1" s="48" t="s">
        <v>50</v>
      </c>
    </row>
    <row r="2" spans="1:8" ht="32.25" thickBot="1" x14ac:dyDescent="0.35">
      <c r="A2" s="43">
        <f>IF(ISBLANK(B2),"",COUNTA($B$2:B2))</f>
        <v>1</v>
      </c>
      <c r="B2" s="46" t="s">
        <v>51</v>
      </c>
      <c r="C2" s="20">
        <f>Таблица2[[#Totals],[За]]</f>
        <v>21</v>
      </c>
      <c r="D2" s="20">
        <f>Таблица2[[#Totals],[Проти]]</f>
        <v>0</v>
      </c>
      <c r="E2" s="20">
        <f>Таблица2[[#Totals],[Утрим]]</f>
        <v>0</v>
      </c>
      <c r="F2" s="44">
        <f>Таблица2[[#Totals],[не голосували]]</f>
        <v>1</v>
      </c>
      <c r="G2" s="34" t="str">
        <f>'1'!$B$31</f>
        <v>Рішення прийнято</v>
      </c>
      <c r="H2" s="56">
        <v>1</v>
      </c>
    </row>
    <row r="3" spans="1:8" ht="48" thickBot="1" x14ac:dyDescent="0.35">
      <c r="A3" s="43">
        <f>IF(ISBLANK(B3),"",COUNTA($B$2:B3))</f>
        <v>2</v>
      </c>
      <c r="B3" s="47" t="s">
        <v>52</v>
      </c>
      <c r="C3" s="20">
        <f>Таблица24[[#Totals],[За]]</f>
        <v>21</v>
      </c>
      <c r="D3" s="20">
        <f>Таблица24[[#Totals],[Проти]]</f>
        <v>0</v>
      </c>
      <c r="E3" s="20">
        <f>Таблица24[[#Totals],[Утрим]]</f>
        <v>0</v>
      </c>
      <c r="F3" s="44">
        <f>Таблица24[[#Totals],[не голосували]]</f>
        <v>1</v>
      </c>
      <c r="G3" s="34" t="str">
        <f>'2'!$B$31</f>
        <v>Рішення прийнято</v>
      </c>
      <c r="H3" s="56">
        <v>2</v>
      </c>
    </row>
    <row r="4" spans="1:8" ht="48" thickBot="1" x14ac:dyDescent="0.35">
      <c r="A4" s="43">
        <f>IF(ISBLANK(B4),"",COUNTA($B$2:B4))</f>
        <v>3</v>
      </c>
      <c r="B4" s="47" t="s">
        <v>53</v>
      </c>
      <c r="C4" s="20">
        <f>Таблица245[[#Totals],[За]]</f>
        <v>22</v>
      </c>
      <c r="D4" s="20">
        <f>Таблица245[[#Totals],[Проти]]</f>
        <v>0</v>
      </c>
      <c r="E4" s="20">
        <f>Таблица245[[#Totals],[Утрим]]</f>
        <v>0</v>
      </c>
      <c r="F4" s="44">
        <f>Таблица245[[#Totals],[не голосували]]</f>
        <v>0</v>
      </c>
      <c r="G4" s="34" t="str">
        <f>'3'!$B$31</f>
        <v>Рішення прийнято</v>
      </c>
      <c r="H4" s="56">
        <v>3</v>
      </c>
    </row>
    <row r="5" spans="1:8" ht="19.5" thickBot="1" x14ac:dyDescent="0.35">
      <c r="A5" s="43">
        <f>IF(ISBLANK(B5),"",COUNTA($B$2:B5))</f>
        <v>4</v>
      </c>
      <c r="B5" s="47" t="s">
        <v>54</v>
      </c>
      <c r="C5" s="20">
        <f>Таблица2456[[#Totals],[За]]</f>
        <v>22</v>
      </c>
      <c r="D5" s="20">
        <f>Таблица2456[[#Totals],[Проти]]</f>
        <v>0</v>
      </c>
      <c r="E5" s="20">
        <f>Таблица2456[[#Totals],[Утрим]]</f>
        <v>0</v>
      </c>
      <c r="F5" s="44">
        <f>Таблица2456[[#Totals],[не голосували]]</f>
        <v>0</v>
      </c>
      <c r="G5" s="34" t="str">
        <f>'4'!$B$31</f>
        <v>Рішення прийнято</v>
      </c>
      <c r="H5" s="56">
        <v>4</v>
      </c>
    </row>
    <row r="6" spans="1:8" ht="32.25" thickBot="1" x14ac:dyDescent="0.35">
      <c r="A6" s="43">
        <f>IF(ISBLANK(B6),"",COUNTA($B$2:B6))</f>
        <v>5</v>
      </c>
      <c r="B6" s="47" t="s">
        <v>55</v>
      </c>
      <c r="C6" s="20">
        <f>Таблица24567[[#Totals],[За]]</f>
        <v>22</v>
      </c>
      <c r="D6" s="20">
        <f>Таблица24567[[#Totals],[Проти]]</f>
        <v>0</v>
      </c>
      <c r="E6" s="20">
        <f>Таблица24567[[#Totals],[Утрим]]</f>
        <v>0</v>
      </c>
      <c r="F6" s="44">
        <f>Таблица24567[[#Totals],[не голосували]]</f>
        <v>0</v>
      </c>
      <c r="G6" s="34" t="str">
        <f>'5'!$B$31</f>
        <v>Рішення прийнято</v>
      </c>
      <c r="H6" s="56">
        <v>5</v>
      </c>
    </row>
    <row r="7" spans="1:8" ht="32.25" thickBot="1" x14ac:dyDescent="0.35">
      <c r="A7" s="43">
        <f>IF(ISBLANK(B7),"",COUNTA($B$2:B7))</f>
        <v>6</v>
      </c>
      <c r="B7" s="47" t="s">
        <v>56</v>
      </c>
      <c r="C7" s="20">
        <f>Таблица245678[[#Totals],[За]]</f>
        <v>22</v>
      </c>
      <c r="D7" s="20">
        <f>Таблица245678[[#Totals],[Проти]]</f>
        <v>0</v>
      </c>
      <c r="E7" s="20">
        <f>Таблица245678[[#Totals],[Утрим]]</f>
        <v>0</v>
      </c>
      <c r="F7" s="44">
        <f>Таблица245678[[#Totals],[не голосували]]</f>
        <v>0</v>
      </c>
      <c r="G7" s="34" t="str">
        <f>'6'!$B$31</f>
        <v>Рішення прийнято</v>
      </c>
      <c r="H7" s="56">
        <v>6</v>
      </c>
    </row>
    <row r="8" spans="1:8" ht="32.25" thickBot="1" x14ac:dyDescent="0.35">
      <c r="A8" s="43">
        <f>IF(ISBLANK(B8),"",COUNTA($B$2:B8))</f>
        <v>7</v>
      </c>
      <c r="B8" s="47" t="s">
        <v>57</v>
      </c>
      <c r="C8" s="20">
        <f>Таблица2456789[[#Totals],[За]]</f>
        <v>22</v>
      </c>
      <c r="D8" s="20">
        <f>Таблица2456789[[#Totals],[Проти]]</f>
        <v>0</v>
      </c>
      <c r="E8" s="20">
        <f>Таблица2456789[[#Totals],[Утрим]]</f>
        <v>0</v>
      </c>
      <c r="F8" s="44">
        <f>Таблица2456789[[#Totals],[не голосували]]</f>
        <v>0</v>
      </c>
      <c r="G8" s="34" t="str">
        <f>'7'!$B$31</f>
        <v>Рішення прийнято</v>
      </c>
      <c r="H8" s="56">
        <v>7</v>
      </c>
    </row>
    <row r="9" spans="1:8" ht="32.25" thickBot="1" x14ac:dyDescent="0.35">
      <c r="A9" s="43">
        <f>IF(ISBLANK(B9),"",COUNTA($B$2:B9))</f>
        <v>8</v>
      </c>
      <c r="B9" s="47" t="s">
        <v>58</v>
      </c>
      <c r="C9" s="20">
        <f>Таблица245678910[[#Totals],[За]]</f>
        <v>22</v>
      </c>
      <c r="D9" s="20">
        <f>Таблица245678910[[#Totals],[Проти]]</f>
        <v>0</v>
      </c>
      <c r="E9" s="20">
        <f>Таблица245678910[[#Totals],[Утрим]]</f>
        <v>0</v>
      </c>
      <c r="F9" s="44">
        <f>Таблица245678910[[#Totals],[не голосували]]</f>
        <v>0</v>
      </c>
      <c r="G9" s="34" t="str">
        <f>'8'!$B$31</f>
        <v>Рішення прийнято</v>
      </c>
      <c r="H9" s="56">
        <v>8</v>
      </c>
    </row>
    <row r="10" spans="1:8" ht="32.25" thickBot="1" x14ac:dyDescent="0.35">
      <c r="A10" s="43">
        <f>IF(ISBLANK(B10),"",COUNTA($B$2:B10))</f>
        <v>9</v>
      </c>
      <c r="B10" s="53" t="s">
        <v>59</v>
      </c>
      <c r="C10" s="20">
        <f>Таблица24567891011[[#Totals],[За]]</f>
        <v>22</v>
      </c>
      <c r="D10" s="20">
        <f>Таблица24567891011[[#Totals],[Проти]]</f>
        <v>0</v>
      </c>
      <c r="E10" s="20">
        <f>Таблица24567891011[[#Totals],[Утрим]]</f>
        <v>0</v>
      </c>
      <c r="F10" s="44">
        <f>Таблица24567891011[[#Totals],[не голосували]]</f>
        <v>0</v>
      </c>
      <c r="G10" s="34" t="str">
        <f>'9'!$B$31</f>
        <v>Рішення прийнято</v>
      </c>
      <c r="H10" s="56">
        <v>9</v>
      </c>
    </row>
    <row r="11" spans="1:8" ht="32.25" thickBot="1" x14ac:dyDescent="0.35">
      <c r="A11" s="43">
        <f>IF(ISBLANK(B11),"",COUNTA($B$2:B11))</f>
        <v>10</v>
      </c>
      <c r="B11" s="53" t="s">
        <v>60</v>
      </c>
      <c r="C11" s="20">
        <f>Таблица2456789101117[[#Totals],[За]]</f>
        <v>22</v>
      </c>
      <c r="D11" s="20">
        <f>Таблица2456789101117[[#Totals],[Проти]]</f>
        <v>0</v>
      </c>
      <c r="E11" s="20">
        <f>Таблица2456789101117[[#Totals],[Утрим]]</f>
        <v>0</v>
      </c>
      <c r="F11" s="44">
        <f>Таблица2456789101117[[#Totals],[не голосували]]</f>
        <v>0</v>
      </c>
      <c r="G11" s="34" t="str">
        <f>'10'!$B$31</f>
        <v>Рішення прийнято</v>
      </c>
      <c r="H11" s="56">
        <v>10</v>
      </c>
    </row>
    <row r="12" spans="1:8" ht="32.25" thickBot="1" x14ac:dyDescent="0.35">
      <c r="A12" s="43">
        <f>IF(ISBLANK(B12),"",COUNTA($B$2:B12))</f>
        <v>11</v>
      </c>
      <c r="B12" s="53" t="s">
        <v>61</v>
      </c>
      <c r="C12" s="20">
        <f>Таблица245678910111718[[#Totals],[За]]</f>
        <v>22</v>
      </c>
      <c r="D12" s="20">
        <f>Таблица245678910111718[[#Totals],[Проти]]</f>
        <v>0</v>
      </c>
      <c r="E12" s="20">
        <f>Таблица245678910111718[[#Totals],[Утрим]]</f>
        <v>0</v>
      </c>
      <c r="F12" s="44">
        <f>Таблица245678910111718[[#Totals],[не голосували]]</f>
        <v>0</v>
      </c>
      <c r="G12" s="34" t="str">
        <f>'11'!$B$31</f>
        <v>Рішення прийнято</v>
      </c>
      <c r="H12" s="56">
        <v>11</v>
      </c>
    </row>
    <row r="13" spans="1:8" ht="32.25" thickBot="1" x14ac:dyDescent="0.35">
      <c r="A13" s="43">
        <f>IF(ISBLANK(B13),"",COUNTA($B$2:B13))</f>
        <v>12</v>
      </c>
      <c r="B13" s="53" t="s">
        <v>62</v>
      </c>
      <c r="C13" s="20">
        <f>Таблица24567891011171819[[#Totals],[За]]</f>
        <v>21</v>
      </c>
      <c r="D13" s="20">
        <f>Таблица24567891011171819[[#Totals],[Проти]]</f>
        <v>0</v>
      </c>
      <c r="E13" s="20">
        <f>Таблица24567891011171819[[#Totals],[Утрим]]</f>
        <v>1</v>
      </c>
      <c r="F13" s="44">
        <f>Таблица24567891011171819[[#Totals],[не голосували]]</f>
        <v>0</v>
      </c>
      <c r="G13" s="34" t="str">
        <f>'12'!$B$31</f>
        <v>Рішення прийнято</v>
      </c>
      <c r="H13" s="56">
        <v>12</v>
      </c>
    </row>
    <row r="14" spans="1:8" ht="32.25" thickBot="1" x14ac:dyDescent="0.35">
      <c r="A14" s="43">
        <f>IF(ISBLANK(B14),"",COUNTA($B$2:B14))</f>
        <v>13</v>
      </c>
      <c r="B14" s="53" t="s">
        <v>63</v>
      </c>
      <c r="C14" s="20">
        <f>Таблица2456789101117181920[[#Totals],[За]]</f>
        <v>17</v>
      </c>
      <c r="D14" s="20">
        <f>Таблица2456789101117181920[[#Totals],[Проти]]</f>
        <v>0</v>
      </c>
      <c r="E14" s="20">
        <f>Таблица2456789101117181920[[#Totals],[Утрим]]</f>
        <v>5</v>
      </c>
      <c r="F14" s="44">
        <f>Таблица2456789101117181920[[#Totals],[не голосували]]</f>
        <v>0</v>
      </c>
      <c r="G14" s="34" t="str">
        <f>'13'!$B$31</f>
        <v>Відтерміновано до наступної сесії</v>
      </c>
      <c r="H14" s="56"/>
    </row>
    <row r="15" spans="1:8" ht="32.25" thickBot="1" x14ac:dyDescent="0.35">
      <c r="A15" s="43">
        <f>IF(ISBLANK(B15),"",COUNTA($B$2:B15))</f>
        <v>14</v>
      </c>
      <c r="B15" s="53" t="s">
        <v>64</v>
      </c>
      <c r="C15" s="20">
        <f>Таблица245678910111718192021[[#Totals],[За]]</f>
        <v>22</v>
      </c>
      <c r="D15" s="20">
        <f>Таблица245678910111718192021[[#Totals],[Проти]]</f>
        <v>0</v>
      </c>
      <c r="E15" s="20">
        <f>Таблица245678910111718192021[[#Totals],[Утрим]]</f>
        <v>0</v>
      </c>
      <c r="F15" s="44">
        <f>Таблица245678910111718192021[[#Totals],[не голосували]]</f>
        <v>0</v>
      </c>
      <c r="G15" s="34" t="str">
        <f>'14'!$B$31</f>
        <v>Рішення прийнято</v>
      </c>
      <c r="H15" s="56">
        <v>13</v>
      </c>
    </row>
    <row r="16" spans="1:8" ht="32.25" thickBot="1" x14ac:dyDescent="0.35">
      <c r="A16" s="43">
        <f>IF(ISBLANK(B16),"",COUNTA($B$2:B16))</f>
        <v>15</v>
      </c>
      <c r="B16" s="54" t="s">
        <v>65</v>
      </c>
      <c r="C16" s="20">
        <f>Таблица24567891011171819202122[[#Totals],[За]]</f>
        <v>22</v>
      </c>
      <c r="D16" s="20">
        <f>Таблица24567891011171819202122[[#Totals],[Проти]]</f>
        <v>0</v>
      </c>
      <c r="E16" s="20">
        <f>Таблица24567891011171819202122[[#Totals],[Утрим]]</f>
        <v>0</v>
      </c>
      <c r="F16" s="44">
        <f>Таблица24567891011171819202122[[#Totals],[не голосували]]</f>
        <v>0</v>
      </c>
      <c r="G16" s="34" t="str">
        <f>'15'!$B$31</f>
        <v>Рішення прийнято</v>
      </c>
      <c r="H16" s="56">
        <v>14</v>
      </c>
    </row>
    <row r="17" spans="1:8" ht="32.25" thickBot="1" x14ac:dyDescent="0.35">
      <c r="A17" s="43">
        <f>IF(ISBLANK(B17),"",COUNTA($B$2:B17))</f>
        <v>16</v>
      </c>
      <c r="B17" s="54" t="s">
        <v>66</v>
      </c>
      <c r="C17" s="20">
        <f>Таблица2456789101117181920212223[[#Totals],[За]]</f>
        <v>22</v>
      </c>
      <c r="D17" s="20">
        <f>Таблица2456789101117181920212223[[#Totals],[Проти]]</f>
        <v>0</v>
      </c>
      <c r="E17" s="20">
        <f>Таблица2456789101117181920212223[[#Totals],[Утрим]]</f>
        <v>0</v>
      </c>
      <c r="F17" s="44">
        <f>Таблица2456789101117181920212223[[#Totals],[не голосували]]</f>
        <v>0</v>
      </c>
      <c r="G17" s="34" t="str">
        <f>'16'!$B$31</f>
        <v>Рішення прийнято</v>
      </c>
      <c r="H17" s="56">
        <v>15</v>
      </c>
    </row>
    <row r="18" spans="1:8" ht="32.25" thickBot="1" x14ac:dyDescent="0.35">
      <c r="A18" s="43">
        <f>IF(ISBLANK(B18),"",COUNTA($B$2:B18))</f>
        <v>17</v>
      </c>
      <c r="B18" s="54" t="s">
        <v>67</v>
      </c>
      <c r="C18" s="20">
        <f>Таблица245678910111718192021222324[[#Totals],[За]]</f>
        <v>22</v>
      </c>
      <c r="D18" s="20">
        <f>Таблица245678910111718192021222324[[#Totals],[Проти]]</f>
        <v>0</v>
      </c>
      <c r="E18" s="20">
        <f>Таблица245678910111718192021222324[[#Totals],[Утрим]]</f>
        <v>0</v>
      </c>
      <c r="F18" s="44">
        <f>Таблица245678910111718192021222324[[#Totals],[не голосували]]</f>
        <v>0</v>
      </c>
      <c r="G18" s="34" t="str">
        <f>'17'!$B$31</f>
        <v>Рішення прийнято</v>
      </c>
      <c r="H18" s="56">
        <v>16</v>
      </c>
    </row>
    <row r="19" spans="1:8" ht="32.25" thickBot="1" x14ac:dyDescent="0.35">
      <c r="A19" s="43">
        <f>IF(ISBLANK(B19),"",COUNTA($B$2:B19))</f>
        <v>18</v>
      </c>
      <c r="B19" s="54" t="s">
        <v>68</v>
      </c>
      <c r="C19" s="20">
        <f>Таблица24567891011171819202122232425[[#Totals],[За]]</f>
        <v>22</v>
      </c>
      <c r="D19" s="20">
        <f>Таблица24567891011171819202122232425[[#Totals],[Проти]]</f>
        <v>0</v>
      </c>
      <c r="E19" s="20">
        <f>Таблица24567891011171819202122232425[[#Totals],[Утрим]]</f>
        <v>0</v>
      </c>
      <c r="F19" s="44">
        <f>Таблица24567891011171819202122232425[[#Totals],[не голосували]]</f>
        <v>0</v>
      </c>
      <c r="G19" s="34" t="str">
        <f>'18'!$B$31</f>
        <v>Рішення прийнято</v>
      </c>
      <c r="H19" s="56">
        <v>17</v>
      </c>
    </row>
    <row r="20" spans="1:8" ht="32.25" thickBot="1" x14ac:dyDescent="0.35">
      <c r="A20" s="43">
        <f>IF(ISBLANK(B20),"",COUNTA($B$2:B20))</f>
        <v>19</v>
      </c>
      <c r="B20" s="54" t="s">
        <v>69</v>
      </c>
      <c r="C20" s="20">
        <f>Таблица2456789101117181920212223242526[[#Totals],[За]]</f>
        <v>22</v>
      </c>
      <c r="D20" s="20">
        <f>Таблица2456789101117181920212223242526[[#Totals],[Проти]]</f>
        <v>0</v>
      </c>
      <c r="E20" s="20">
        <f>Таблица2456789101117181920212223242526[[#Totals],[Утрим]]</f>
        <v>0</v>
      </c>
      <c r="F20" s="44">
        <f>Таблица2456789101117181920212223242526[[#Totals],[не голосували]]</f>
        <v>0</v>
      </c>
      <c r="G20" s="34" t="str">
        <f>'19'!$B$31</f>
        <v>Рішення прийнято</v>
      </c>
      <c r="H20" s="56">
        <v>18</v>
      </c>
    </row>
    <row r="21" spans="1:8" ht="32.25" thickBot="1" x14ac:dyDescent="0.35">
      <c r="A21" s="43">
        <f>IF(ISBLANK(B21),"",COUNTA($B$2:B21))</f>
        <v>20</v>
      </c>
      <c r="B21" s="54" t="s">
        <v>70</v>
      </c>
      <c r="C21" s="20">
        <f>Таблица245678910111718192021222324252627[[#Totals],[За]]</f>
        <v>22</v>
      </c>
      <c r="D21" s="20">
        <f>Таблица245678910111718192021222324252627[[#Totals],[Проти]]</f>
        <v>0</v>
      </c>
      <c r="E21" s="20">
        <f>Таблица245678910111718192021222324252627[[#Totals],[Утрим]]</f>
        <v>0</v>
      </c>
      <c r="F21" s="44">
        <f>Таблица245678910111718192021222324252627[[#Totals],[не голосували]]</f>
        <v>0</v>
      </c>
      <c r="G21" s="34" t="str">
        <f>'20'!$B$31</f>
        <v>Рішення прийнято</v>
      </c>
      <c r="H21" s="56">
        <v>19</v>
      </c>
    </row>
    <row r="22" spans="1:8" ht="32.25" thickBot="1" x14ac:dyDescent="0.35">
      <c r="A22" s="43">
        <f>IF(ISBLANK(B22),"",COUNTA($B$2:B22))</f>
        <v>21</v>
      </c>
      <c r="B22" s="54" t="s">
        <v>70</v>
      </c>
      <c r="C22" s="20">
        <f>Таблица24567891011171819202122232425262728[[#Totals],[За]]</f>
        <v>22</v>
      </c>
      <c r="D22" s="20">
        <f>Таблица24567891011171819202122232425262728[[#Totals],[Проти]]</f>
        <v>0</v>
      </c>
      <c r="E22" s="20">
        <f>Таблица24567891011171819202122232425262728[[#Totals],[Утрим]]</f>
        <v>0</v>
      </c>
      <c r="F22" s="44">
        <f>Таблица24567891011171819202122232425262728[[#Totals],[не голосували]]</f>
        <v>0</v>
      </c>
      <c r="G22" s="34" t="str">
        <f>'21'!$B$31</f>
        <v>Рішення прийнято</v>
      </c>
      <c r="H22" s="56">
        <v>20</v>
      </c>
    </row>
    <row r="23" spans="1:8" ht="19.5" thickBot="1" x14ac:dyDescent="0.35">
      <c r="A23" s="43">
        <f>IF(ISBLANK(B23),"",COUNTA($B$2:B23))</f>
        <v>22</v>
      </c>
      <c r="B23" s="54" t="s">
        <v>71</v>
      </c>
      <c r="C23" s="20">
        <f>Таблица2456789101117181920212223242526272829[[#Totals],[За]]</f>
        <v>22</v>
      </c>
      <c r="D23" s="20">
        <f>Таблица2456789101117181920212223242526272829[[#Totals],[Проти]]</f>
        <v>0</v>
      </c>
      <c r="E23" s="20">
        <f>Таблица2456789101117181920212223242526272829[[#Totals],[Утрим]]</f>
        <v>0</v>
      </c>
      <c r="F23" s="44">
        <f>Таблица2456789101117181920212223242526272829[[#Totals],[не голосували]]</f>
        <v>0</v>
      </c>
      <c r="G23" s="34" t="str">
        <f>'22'!$B$31</f>
        <v>Рішення прийнято</v>
      </c>
      <c r="H23" s="56">
        <v>21</v>
      </c>
    </row>
    <row r="24" spans="1:8" ht="19.5" thickBot="1" x14ac:dyDescent="0.35">
      <c r="A24" s="43">
        <f>IF(ISBLANK(B24),"",COUNTA($B$2:B24))</f>
        <v>23</v>
      </c>
      <c r="B24" s="54" t="s">
        <v>71</v>
      </c>
      <c r="C24" s="20">
        <f>Таблица245678910111718192021222324252627282930[[#Totals],[За]]</f>
        <v>22</v>
      </c>
      <c r="D24" s="20">
        <f>Таблица245678910111718192021222324252627282930[[#Totals],[Проти]]</f>
        <v>0</v>
      </c>
      <c r="E24" s="20">
        <f>Таблица245678910111718192021222324252627282930[[#Totals],[Утрим]]</f>
        <v>0</v>
      </c>
      <c r="F24" s="44">
        <f>Таблица245678910111718192021222324252627282930[[#Totals],[не голосували]]</f>
        <v>0</v>
      </c>
      <c r="G24" s="34" t="str">
        <f>'23'!$B$31</f>
        <v>Рішення прийнято</v>
      </c>
      <c r="H24" s="56">
        <v>22</v>
      </c>
    </row>
    <row r="25" spans="1:8" ht="48" thickBot="1" x14ac:dyDescent="0.35">
      <c r="A25" s="43">
        <f>IF(ISBLANK(B25),"",COUNTA($B$2:B25))</f>
        <v>24</v>
      </c>
      <c r="B25" s="54" t="s">
        <v>72</v>
      </c>
      <c r="C25" s="20">
        <f>Таблица24567891011171819202122232425262728293031[[#Totals],[За]]</f>
        <v>22</v>
      </c>
      <c r="D25" s="20">
        <f>Таблица24567891011171819202122232425262728293031[[#Totals],[Проти]]</f>
        <v>0</v>
      </c>
      <c r="E25" s="20">
        <f>Таблица24567891011171819202122232425262728293031[[#Totals],[Утрим]]</f>
        <v>0</v>
      </c>
      <c r="F25" s="44">
        <f>Таблица24567891011171819202122232425262728293031[[#Totals],[не голосували]]</f>
        <v>0</v>
      </c>
      <c r="G25" s="34" t="str">
        <f>'24'!$B$31</f>
        <v>Рішення прийнято</v>
      </c>
      <c r="H25" s="56">
        <v>23</v>
      </c>
    </row>
    <row r="26" spans="1:8" ht="19.5" thickBot="1" x14ac:dyDescent="0.35">
      <c r="A26" s="43">
        <f>IF(ISBLANK(B26),"",COUNTA($B$2:B26))</f>
        <v>25</v>
      </c>
      <c r="B26" s="54" t="s">
        <v>73</v>
      </c>
      <c r="C26" s="20">
        <f>Таблица2456789101117181920212223242526272829303132[[#Totals],[За]]</f>
        <v>22</v>
      </c>
      <c r="D26" s="20">
        <f>Таблица2456789101117181920212223242526272829303132[[#Totals],[Проти]]</f>
        <v>0</v>
      </c>
      <c r="E26" s="20">
        <f>Таблица2456789101117181920212223242526272829303132[[#Totals],[Утрим]]</f>
        <v>0</v>
      </c>
      <c r="F26" s="44">
        <f>Таблица2456789101117181920212223242526272829303132[[#Totals],[не голосували]]</f>
        <v>0</v>
      </c>
      <c r="G26" s="34" t="str">
        <f>'25'!$B$31</f>
        <v>Рішення прийнято</v>
      </c>
      <c r="H26" s="56">
        <v>24</v>
      </c>
    </row>
    <row r="27" spans="1:8" ht="32.25" thickBot="1" x14ac:dyDescent="0.35">
      <c r="A27" s="43">
        <f>IF(ISBLANK(B27),"",COUNTA($B$2:B27))</f>
        <v>26</v>
      </c>
      <c r="B27" s="54" t="s">
        <v>74</v>
      </c>
      <c r="C27" s="20">
        <f>Таблица245678910111718192021222324252627282930313233[[#Totals],[За]]</f>
        <v>21</v>
      </c>
      <c r="D27" s="20">
        <f>Таблица245678910111718192021222324252627282930313233[[#Totals],[Проти]]</f>
        <v>0</v>
      </c>
      <c r="E27" s="20">
        <f>Таблица245678910111718192021222324252627282930313233[[#Totals],[Утрим]]</f>
        <v>1</v>
      </c>
      <c r="F27" s="44">
        <f>Таблица245678910111718192021222324252627282930313233[[#Totals],[не голосували]]</f>
        <v>0</v>
      </c>
      <c r="G27" s="34" t="str">
        <f>'26'!$B$31</f>
        <v>Рішення прийнято</v>
      </c>
      <c r="H27" s="56">
        <v>25</v>
      </c>
    </row>
    <row r="28" spans="1:8" ht="32.25" thickBot="1" x14ac:dyDescent="0.35">
      <c r="A28" s="43">
        <f>IF(ISBLANK(B28),"",COUNTA($B$2:B28))</f>
        <v>27</v>
      </c>
      <c r="B28" s="54" t="s">
        <v>75</v>
      </c>
      <c r="C28" s="20">
        <f>Таблица24567891011171819202122232425262728293031323334[[#Totals],[За]]</f>
        <v>22</v>
      </c>
      <c r="D28" s="20">
        <f>Таблица24567891011171819202122232425262728293031323334[[#Totals],[Проти]]</f>
        <v>0</v>
      </c>
      <c r="E28" s="20">
        <f>Таблица24567891011171819202122232425262728293031323334[[#Totals],[Утрим]]</f>
        <v>0</v>
      </c>
      <c r="F28" s="44">
        <f>Таблица24567891011171819202122232425262728293031323334[[#Totals],[не голосували]]</f>
        <v>0</v>
      </c>
      <c r="G28" s="34" t="str">
        <f>'27'!$B$31</f>
        <v>Рішення прийнято</v>
      </c>
      <c r="H28" s="56">
        <v>26</v>
      </c>
    </row>
    <row r="29" spans="1:8" ht="32.25" thickBot="1" x14ac:dyDescent="0.35">
      <c r="A29" s="43">
        <f>IF(ISBLANK(B29),"",COUNTA($B$2:B29))</f>
        <v>28</v>
      </c>
      <c r="B29" s="53" t="s">
        <v>76</v>
      </c>
      <c r="C29" s="20">
        <f>Таблица2456789101117181920212223242526272829303132333435[[#Totals],[За]]</f>
        <v>22</v>
      </c>
      <c r="D29" s="20">
        <f>Таблица2456789101117181920212223242526272829303132333435[[#Totals],[Проти]]</f>
        <v>0</v>
      </c>
      <c r="E29" s="20">
        <f>Таблица2456789101117181920212223242526272829303132333435[[#Totals],[Утрим]]</f>
        <v>0</v>
      </c>
      <c r="F29" s="44">
        <f>Таблица2456789101117181920212223242526272829303132333435[[#Totals],[не голосували]]</f>
        <v>0</v>
      </c>
      <c r="G29" s="34" t="str">
        <f>'28'!$B$31</f>
        <v>Рішення прийнято</v>
      </c>
      <c r="H29" s="56">
        <v>27</v>
      </c>
    </row>
    <row r="30" spans="1:8" ht="16.5" hidden="1" thickBot="1" x14ac:dyDescent="0.3">
      <c r="A30" s="43" t="str">
        <f>IF(ISBLANK(B30),"",COUNTA($B$2:B30))</f>
        <v/>
      </c>
      <c r="B30" s="46"/>
      <c r="C30" s="20" t="e">
        <f>#REF!</f>
        <v>#REF!</v>
      </c>
      <c r="D30" s="20" t="e">
        <f>#REF!</f>
        <v>#REF!</v>
      </c>
      <c r="E30" s="20" t="e">
        <f>#REF!</f>
        <v>#REF!</v>
      </c>
      <c r="F30" s="44" t="e">
        <f>#REF!</f>
        <v>#REF!</v>
      </c>
      <c r="G30" s="34" t="e">
        <f>#REF!</f>
        <v>#REF!</v>
      </c>
    </row>
    <row r="31" spans="1:8" ht="16.5" hidden="1" thickBot="1" x14ac:dyDescent="0.3">
      <c r="A31" s="43" t="str">
        <f>IF(ISBLANK(B31),"",COUNTA($B$2:B31))</f>
        <v/>
      </c>
      <c r="B31" s="47"/>
      <c r="C31" s="20" t="e">
        <f>#REF!</f>
        <v>#REF!</v>
      </c>
      <c r="D31" s="20" t="e">
        <f>#REF!</f>
        <v>#REF!</v>
      </c>
      <c r="E31" s="20" t="e">
        <f>#REF!</f>
        <v>#REF!</v>
      </c>
      <c r="F31" s="44" t="e">
        <f>#REF!</f>
        <v>#REF!</v>
      </c>
      <c r="G31" s="34" t="e">
        <f>#REF!</f>
        <v>#REF!</v>
      </c>
    </row>
    <row r="32" spans="1:8" ht="16.5" hidden="1" thickBot="1" x14ac:dyDescent="0.3">
      <c r="A32" s="43" t="str">
        <f>IF(ISBLANK(B32),"",COUNTA($B$2:B32))</f>
        <v/>
      </c>
      <c r="B32" s="46"/>
      <c r="C32" s="20" t="e">
        <f>#REF!</f>
        <v>#REF!</v>
      </c>
      <c r="D32" s="20" t="e">
        <f>#REF!</f>
        <v>#REF!</v>
      </c>
      <c r="E32" s="20" t="e">
        <f>#REF!</f>
        <v>#REF!</v>
      </c>
      <c r="F32" s="44" t="e">
        <f>#REF!</f>
        <v>#REF!</v>
      </c>
      <c r="G32" s="34" t="e">
        <f>#REF!</f>
        <v>#REF!</v>
      </c>
    </row>
    <row r="33" spans="1:7" ht="16.5" hidden="1" thickBot="1" x14ac:dyDescent="0.3">
      <c r="A33" s="43" t="str">
        <f>IF(ISBLANK(B33),"",COUNTA($B$2:B33))</f>
        <v/>
      </c>
      <c r="B33" s="47"/>
      <c r="C33" s="20" t="e">
        <f>#REF!</f>
        <v>#REF!</v>
      </c>
      <c r="D33" s="20" t="e">
        <f>#REF!</f>
        <v>#REF!</v>
      </c>
      <c r="E33" s="20" t="e">
        <f>#REF!</f>
        <v>#REF!</v>
      </c>
      <c r="F33" s="44" t="e">
        <f>#REF!</f>
        <v>#REF!</v>
      </c>
      <c r="G33" s="34" t="e">
        <f>#REF!</f>
        <v>#REF!</v>
      </c>
    </row>
    <row r="34" spans="1:7" ht="16.5" hidden="1" thickBot="1" x14ac:dyDescent="0.3">
      <c r="A34" s="43" t="str">
        <f>IF(ISBLANK(B34),"",COUNTA($B$2:B34))</f>
        <v/>
      </c>
      <c r="B34" s="46"/>
      <c r="C34" s="20" t="e">
        <f>#REF!</f>
        <v>#REF!</v>
      </c>
      <c r="D34" s="20" t="e">
        <f>#REF!</f>
        <v>#REF!</v>
      </c>
      <c r="E34" s="20" t="e">
        <f>#REF!</f>
        <v>#REF!</v>
      </c>
      <c r="F34" s="44" t="e">
        <f>#REF!</f>
        <v>#REF!</v>
      </c>
      <c r="G34" s="34" t="e">
        <f>#REF!</f>
        <v>#REF!</v>
      </c>
    </row>
    <row r="35" spans="1:7" ht="16.5" hidden="1" thickBot="1" x14ac:dyDescent="0.3">
      <c r="A35" s="43" t="str">
        <f>IF(ISBLANK(B35),"",COUNTA($B$2:B35))</f>
        <v/>
      </c>
      <c r="B35" s="47"/>
      <c r="C35" s="20" t="e">
        <f>#REF!</f>
        <v>#REF!</v>
      </c>
      <c r="D35" s="20" t="e">
        <f>#REF!</f>
        <v>#REF!</v>
      </c>
      <c r="E35" s="20" t="e">
        <f>#REF!</f>
        <v>#REF!</v>
      </c>
      <c r="F35" s="44" t="e">
        <f>#REF!</f>
        <v>#REF!</v>
      </c>
      <c r="G35" s="34" t="e">
        <f>#REF!</f>
        <v>#REF!</v>
      </c>
    </row>
    <row r="36" spans="1:7" ht="16.5" hidden="1" thickBot="1" x14ac:dyDescent="0.3">
      <c r="A36" s="43" t="str">
        <f>IF(ISBLANK(B36),"",COUNTA($B$2:B36))</f>
        <v/>
      </c>
      <c r="B36" s="46"/>
      <c r="C36" s="20" t="e">
        <f>#REF!</f>
        <v>#REF!</v>
      </c>
      <c r="D36" s="20" t="e">
        <f>#REF!</f>
        <v>#REF!</v>
      </c>
      <c r="E36" s="20" t="e">
        <f>#REF!</f>
        <v>#REF!</v>
      </c>
      <c r="F36" s="44" t="e">
        <f>#REF!</f>
        <v>#REF!</v>
      </c>
      <c r="G36" s="34" t="e">
        <f>#REF!</f>
        <v>#REF!</v>
      </c>
    </row>
    <row r="37" spans="1:7" ht="16.5" hidden="1" thickBot="1" x14ac:dyDescent="0.3">
      <c r="A37" s="43" t="str">
        <f>IF(ISBLANK(B37),"",COUNTA($B$2:B37))</f>
        <v/>
      </c>
      <c r="B37" s="47"/>
      <c r="C37" s="20" t="e">
        <f>#REF!</f>
        <v>#REF!</v>
      </c>
      <c r="D37" s="20" t="e">
        <f>#REF!</f>
        <v>#REF!</v>
      </c>
      <c r="E37" s="20" t="e">
        <f>#REF!</f>
        <v>#REF!</v>
      </c>
      <c r="F37" s="44" t="e">
        <f>#REF!</f>
        <v>#REF!</v>
      </c>
      <c r="G37" s="34" t="e">
        <f>#REF!</f>
        <v>#REF!</v>
      </c>
    </row>
    <row r="38" spans="1:7" ht="16.5" hidden="1" thickBot="1" x14ac:dyDescent="0.3">
      <c r="A38" s="43" t="str">
        <f>IF(ISBLANK(B38),"",COUNTA($B$2:B38))</f>
        <v/>
      </c>
      <c r="B38" s="46"/>
      <c r="C38" s="20" t="e">
        <f>#REF!</f>
        <v>#REF!</v>
      </c>
      <c r="D38" s="20" t="e">
        <f>#REF!</f>
        <v>#REF!</v>
      </c>
      <c r="E38" s="20" t="e">
        <f>#REF!</f>
        <v>#REF!</v>
      </c>
      <c r="F38" s="44" t="e">
        <f>#REF!</f>
        <v>#REF!</v>
      </c>
      <c r="G38" s="34" t="e">
        <f>#REF!</f>
        <v>#REF!</v>
      </c>
    </row>
    <row r="39" spans="1:7" ht="16.5" hidden="1" thickBot="1" x14ac:dyDescent="0.3">
      <c r="A39" s="43" t="str">
        <f>IF(ISBLANK(B39),"",COUNTA($B$2:B39))</f>
        <v/>
      </c>
      <c r="B39" s="47"/>
      <c r="C39" s="20" t="e">
        <f>#REF!</f>
        <v>#REF!</v>
      </c>
      <c r="D39" s="20" t="e">
        <f>#REF!</f>
        <v>#REF!</v>
      </c>
      <c r="E39" s="20" t="e">
        <f>#REF!</f>
        <v>#REF!</v>
      </c>
      <c r="F39" s="44" t="e">
        <f>#REF!</f>
        <v>#REF!</v>
      </c>
      <c r="G39" s="34" t="e">
        <f>#REF!</f>
        <v>#REF!</v>
      </c>
    </row>
    <row r="40" spans="1:7" ht="16.5" hidden="1" thickBot="1" x14ac:dyDescent="0.3">
      <c r="A40" s="43" t="str">
        <f>IF(ISBLANK(B40),"",COUNTA($B$2:B40))</f>
        <v/>
      </c>
      <c r="B40" s="46"/>
      <c r="C40" s="20" t="e">
        <f>#REF!</f>
        <v>#REF!</v>
      </c>
      <c r="D40" s="20" t="e">
        <f>#REF!</f>
        <v>#REF!</v>
      </c>
      <c r="E40" s="20" t="e">
        <f>#REF!</f>
        <v>#REF!</v>
      </c>
      <c r="F40" s="44" t="e">
        <f>#REF!</f>
        <v>#REF!</v>
      </c>
      <c r="G40" s="34" t="e">
        <f>#REF!</f>
        <v>#REF!</v>
      </c>
    </row>
    <row r="41" spans="1:7" ht="16.5" hidden="1" thickBot="1" x14ac:dyDescent="0.3">
      <c r="A41" s="43" t="str">
        <f>IF(ISBLANK(B41),"",COUNTA($B$2:B41))</f>
        <v/>
      </c>
      <c r="B41" s="47"/>
      <c r="C41" s="20" t="e">
        <f>#REF!</f>
        <v>#REF!</v>
      </c>
      <c r="D41" s="20" t="e">
        <f>#REF!</f>
        <v>#REF!</v>
      </c>
      <c r="E41" s="20" t="e">
        <f>#REF!</f>
        <v>#REF!</v>
      </c>
      <c r="F41" s="44" t="e">
        <f>#REF!</f>
        <v>#REF!</v>
      </c>
      <c r="G41" s="34" t="e">
        <f>#REF!</f>
        <v>#REF!</v>
      </c>
    </row>
    <row r="42" spans="1:7" ht="16.5" hidden="1" thickBot="1" x14ac:dyDescent="0.3">
      <c r="A42" s="43" t="str">
        <f>IF(ISBLANK(B42),"",COUNTA($B$2:B42))</f>
        <v/>
      </c>
      <c r="B42" s="46"/>
      <c r="C42" s="20" t="e">
        <f>#REF!</f>
        <v>#REF!</v>
      </c>
      <c r="D42" s="20" t="e">
        <f>#REF!</f>
        <v>#REF!</v>
      </c>
      <c r="E42" s="20" t="e">
        <f>#REF!</f>
        <v>#REF!</v>
      </c>
      <c r="F42" s="20" t="e">
        <f>#REF!</f>
        <v>#REF!</v>
      </c>
      <c r="G42" s="34" t="e">
        <f>#REF!</f>
        <v>#REF!</v>
      </c>
    </row>
    <row r="43" spans="1:7" ht="16.5" hidden="1" thickBot="1" x14ac:dyDescent="0.3">
      <c r="A43" s="43" t="str">
        <f>IF(ISBLANK(B43),"",COUNTA($B$2:B43))</f>
        <v/>
      </c>
      <c r="B43" s="47"/>
      <c r="C43" s="20" t="e">
        <f>#REF!</f>
        <v>#REF!</v>
      </c>
      <c r="D43" s="20" t="e">
        <f>#REF!</f>
        <v>#REF!</v>
      </c>
      <c r="E43" s="20" t="e">
        <f>#REF!</f>
        <v>#REF!</v>
      </c>
      <c r="F43" s="20" t="e">
        <f>#REF!</f>
        <v>#REF!</v>
      </c>
      <c r="G43" s="34" t="e">
        <f>#REF!</f>
        <v>#REF!</v>
      </c>
    </row>
    <row r="44" spans="1:7" ht="16.5" hidden="1" thickBot="1" x14ac:dyDescent="0.3">
      <c r="A44" s="43" t="str">
        <f>IF(ISBLANK(B44),"",COUNTA($B$2:B44))</f>
        <v/>
      </c>
      <c r="B44" s="46"/>
      <c r="C44" s="20" t="e">
        <f>#REF!</f>
        <v>#REF!</v>
      </c>
      <c r="D44" s="20" t="e">
        <f>#REF!</f>
        <v>#REF!</v>
      </c>
      <c r="E44" s="20" t="e">
        <f>#REF!</f>
        <v>#REF!</v>
      </c>
      <c r="F44" s="20" t="e">
        <f>#REF!</f>
        <v>#REF!</v>
      </c>
      <c r="G44" s="34" t="e">
        <f>#REF!</f>
        <v>#REF!</v>
      </c>
    </row>
    <row r="45" spans="1:7" ht="16.5" hidden="1" thickBot="1" x14ac:dyDescent="0.3">
      <c r="A45" s="43" t="str">
        <f>IF(ISBLANK(B45),"",COUNTA($B$2:B45))</f>
        <v/>
      </c>
      <c r="B45" s="47"/>
      <c r="C45" s="20" t="e">
        <f>#REF!</f>
        <v>#REF!</v>
      </c>
      <c r="D45" s="20" t="e">
        <f>#REF!</f>
        <v>#REF!</v>
      </c>
      <c r="E45" s="20" t="e">
        <f>#REF!</f>
        <v>#REF!</v>
      </c>
      <c r="F45" s="20" t="e">
        <f>#REF!</f>
        <v>#REF!</v>
      </c>
      <c r="G45" s="34" t="e">
        <f>#REF!</f>
        <v>#REF!</v>
      </c>
    </row>
    <row r="46" spans="1:7" ht="16.5" hidden="1" thickBot="1" x14ac:dyDescent="0.3">
      <c r="A46" s="43" t="str">
        <f>IF(ISBLANK(B46),"",COUNTA($B$2:B46))</f>
        <v/>
      </c>
      <c r="B46" s="46"/>
      <c r="C46" s="20" t="e">
        <f>#REF!</f>
        <v>#REF!</v>
      </c>
      <c r="D46" s="20" t="e">
        <f>#REF!</f>
        <v>#REF!</v>
      </c>
      <c r="E46" s="20" t="e">
        <f>#REF!</f>
        <v>#REF!</v>
      </c>
      <c r="F46" s="20" t="e">
        <f>#REF!</f>
        <v>#REF!</v>
      </c>
      <c r="G46" s="34" t="e">
        <f>#REF!</f>
        <v>#REF!</v>
      </c>
    </row>
    <row r="47" spans="1:7" ht="16.5" hidden="1" thickBot="1" x14ac:dyDescent="0.3">
      <c r="A47" s="43" t="str">
        <f>IF(ISBLANK(B47),"",COUNTA($B$2:B47))</f>
        <v/>
      </c>
      <c r="B47" s="47"/>
      <c r="C47" s="20" t="e">
        <f>#REF!</f>
        <v>#REF!</v>
      </c>
      <c r="D47" s="20" t="e">
        <f>#REF!</f>
        <v>#REF!</v>
      </c>
      <c r="E47" s="20" t="e">
        <f>#REF!</f>
        <v>#REF!</v>
      </c>
      <c r="F47" s="20" t="e">
        <f>#REF!</f>
        <v>#REF!</v>
      </c>
      <c r="G47" s="34" t="e">
        <f>#REF!</f>
        <v>#REF!</v>
      </c>
    </row>
    <row r="48" spans="1:7" ht="16.5" hidden="1" thickBot="1" x14ac:dyDescent="0.3">
      <c r="A48" s="43" t="str">
        <f>IF(ISBLANK(B48),"",COUNTA($B$2:B48))</f>
        <v/>
      </c>
      <c r="B48" s="46"/>
      <c r="C48" s="20" t="e">
        <f>#REF!</f>
        <v>#REF!</v>
      </c>
      <c r="D48" s="20" t="e">
        <f>#REF!</f>
        <v>#REF!</v>
      </c>
      <c r="E48" s="20" t="e">
        <f>#REF!</f>
        <v>#REF!</v>
      </c>
      <c r="F48" s="20" t="e">
        <f>#REF!</f>
        <v>#REF!</v>
      </c>
      <c r="G48" s="34" t="e">
        <f>#REF!</f>
        <v>#REF!</v>
      </c>
    </row>
    <row r="49" spans="1:7" ht="16.5" hidden="1" thickBot="1" x14ac:dyDescent="0.3">
      <c r="A49" s="43" t="str">
        <f>IF(ISBLANK(B49),"",COUNTA($B$2:B49))</f>
        <v/>
      </c>
      <c r="B49" s="47"/>
      <c r="C49" s="20" t="e">
        <f>#REF!</f>
        <v>#REF!</v>
      </c>
      <c r="D49" s="20" t="e">
        <f>#REF!</f>
        <v>#REF!</v>
      </c>
      <c r="E49" s="20" t="e">
        <f>#REF!</f>
        <v>#REF!</v>
      </c>
      <c r="F49" s="20" t="e">
        <f>#REF!</f>
        <v>#REF!</v>
      </c>
      <c r="G49" s="34" t="e">
        <f>#REF!</f>
        <v>#REF!</v>
      </c>
    </row>
    <row r="50" spans="1:7" ht="16.5" hidden="1" thickBot="1" x14ac:dyDescent="0.3">
      <c r="A50" s="43" t="str">
        <f>IF(ISBLANK(B50),"",COUNTA($B$2:B50))</f>
        <v/>
      </c>
      <c r="B50" s="46"/>
      <c r="C50" s="20" t="e">
        <f>#REF!</f>
        <v>#REF!</v>
      </c>
      <c r="D50" s="20" t="e">
        <f>#REF!</f>
        <v>#REF!</v>
      </c>
      <c r="E50" s="20" t="e">
        <f>#REF!</f>
        <v>#REF!</v>
      </c>
      <c r="F50" s="20" t="e">
        <f>#REF!</f>
        <v>#REF!</v>
      </c>
      <c r="G50" s="34" t="e">
        <f>#REF!</f>
        <v>#REF!</v>
      </c>
    </row>
    <row r="51" spans="1:7" ht="16.5" hidden="1" thickBot="1" x14ac:dyDescent="0.3">
      <c r="A51" s="43" t="str">
        <f>IF(ISBLANK(B51),"",COUNTA($B$2:B51))</f>
        <v/>
      </c>
      <c r="B51" s="47"/>
      <c r="C51" s="20" t="e">
        <f>#REF!</f>
        <v>#REF!</v>
      </c>
      <c r="D51" s="20" t="e">
        <f>#REF!</f>
        <v>#REF!</v>
      </c>
      <c r="E51" s="20" t="e">
        <f>#REF!</f>
        <v>#REF!</v>
      </c>
      <c r="F51" s="20" t="e">
        <f>#REF!</f>
        <v>#REF!</v>
      </c>
      <c r="G51" s="34" t="e">
        <f>#REF!</f>
        <v>#REF!</v>
      </c>
    </row>
    <row r="52" spans="1:7" ht="16.5" hidden="1" thickBot="1" x14ac:dyDescent="0.3">
      <c r="A52" s="43" t="str">
        <f>IF(ISBLANK(B52),"",COUNTA($B$2:B52))</f>
        <v/>
      </c>
      <c r="B52" s="46"/>
      <c r="C52" s="20" t="e">
        <f>#REF!</f>
        <v>#REF!</v>
      </c>
      <c r="D52" s="20" t="e">
        <f>#REF!</f>
        <v>#REF!</v>
      </c>
      <c r="E52" s="20" t="e">
        <f>#REF!</f>
        <v>#REF!</v>
      </c>
      <c r="F52" s="20" t="e">
        <f>#REF!</f>
        <v>#REF!</v>
      </c>
      <c r="G52" s="34" t="e">
        <f>#REF!</f>
        <v>#REF!</v>
      </c>
    </row>
    <row r="53" spans="1:7" ht="16.5" hidden="1" thickBot="1" x14ac:dyDescent="0.3">
      <c r="A53" s="43" t="str">
        <f>IF(ISBLANK(B53),"",COUNTA($B$2:B53))</f>
        <v/>
      </c>
      <c r="B53" s="47"/>
      <c r="C53" s="20" t="e">
        <f>#REF!</f>
        <v>#REF!</v>
      </c>
      <c r="D53" s="20" t="e">
        <f>#REF!</f>
        <v>#REF!</v>
      </c>
      <c r="E53" s="20" t="e">
        <f>#REF!</f>
        <v>#REF!</v>
      </c>
      <c r="F53" s="20" t="e">
        <f>#REF!</f>
        <v>#REF!</v>
      </c>
      <c r="G53" s="34" t="e">
        <f>#REF!</f>
        <v>#REF!</v>
      </c>
    </row>
    <row r="54" spans="1:7" ht="16.5" hidden="1" thickBot="1" x14ac:dyDescent="0.3">
      <c r="A54" s="43" t="str">
        <f>IF(ISBLANK(B54),"",COUNTA($B$2:B54))</f>
        <v/>
      </c>
      <c r="B54" s="46"/>
      <c r="C54" s="20" t="e">
        <f>#REF!</f>
        <v>#REF!</v>
      </c>
      <c r="D54" s="20" t="e">
        <f>#REF!</f>
        <v>#REF!</v>
      </c>
      <c r="E54" s="20" t="e">
        <f>#REF!</f>
        <v>#REF!</v>
      </c>
      <c r="F54" s="20" t="e">
        <f>#REF!</f>
        <v>#REF!</v>
      </c>
      <c r="G54" s="34" t="e">
        <f>#REF!</f>
        <v>#REF!</v>
      </c>
    </row>
    <row r="55" spans="1:7" ht="16.5" hidden="1" thickBot="1" x14ac:dyDescent="0.3">
      <c r="A55" s="43" t="str">
        <f>IF(ISBLANK(B55),"",COUNTA($B$2:B55))</f>
        <v/>
      </c>
      <c r="B55" s="47"/>
      <c r="C55" s="20" t="e">
        <f>#REF!</f>
        <v>#REF!</v>
      </c>
      <c r="D55" s="20" t="e">
        <f>#REF!</f>
        <v>#REF!</v>
      </c>
      <c r="E55" s="20" t="e">
        <f>#REF!</f>
        <v>#REF!</v>
      </c>
      <c r="F55" s="20" t="e">
        <f>#REF!</f>
        <v>#REF!</v>
      </c>
      <c r="G55" s="34" t="e">
        <f>#REF!</f>
        <v>#REF!</v>
      </c>
    </row>
    <row r="56" spans="1:7" ht="16.5" hidden="1" thickBot="1" x14ac:dyDescent="0.3">
      <c r="A56" s="45" t="str">
        <f>IF(ISBLANK(B56),"",COUNTA($B$2:B56))</f>
        <v/>
      </c>
      <c r="B56" s="46"/>
      <c r="C56" s="20" t="e">
        <f>#REF!</f>
        <v>#REF!</v>
      </c>
      <c r="D56" s="20" t="e">
        <f>#REF!</f>
        <v>#REF!</v>
      </c>
      <c r="E56" s="20" t="e">
        <f>#REF!</f>
        <v>#REF!</v>
      </c>
      <c r="F56" s="20" t="e">
        <f>#REF!</f>
        <v>#REF!</v>
      </c>
      <c r="G56" s="34" t="e">
        <f>#REF!</f>
        <v>#REF!</v>
      </c>
    </row>
    <row r="57" spans="1:7" ht="16.5" hidden="1" thickBot="1" x14ac:dyDescent="0.3">
      <c r="A57" s="45" t="str">
        <f>IF(ISBLANK(B57),"",COUNTA($B$2:B57))</f>
        <v/>
      </c>
      <c r="B57" s="47"/>
      <c r="C57" s="20" t="e">
        <f>#REF!</f>
        <v>#REF!</v>
      </c>
      <c r="D57" s="20" t="e">
        <f>#REF!</f>
        <v>#REF!</v>
      </c>
      <c r="E57" s="20" t="e">
        <f>#REF!</f>
        <v>#REF!</v>
      </c>
      <c r="F57" s="20" t="e">
        <f>#REF!</f>
        <v>#REF!</v>
      </c>
      <c r="G57" s="34" t="e">
        <f>#REF!</f>
        <v>#REF!</v>
      </c>
    </row>
    <row r="58" spans="1:7" ht="16.5" hidden="1" thickBot="1" x14ac:dyDescent="0.3">
      <c r="A58" s="45" t="str">
        <f>IF(ISBLANK(B58),"",COUNTA($B$2:B58))</f>
        <v/>
      </c>
      <c r="B58" s="46"/>
      <c r="C58" s="20" t="e">
        <f>#REF!</f>
        <v>#REF!</v>
      </c>
      <c r="D58" s="20" t="e">
        <f>#REF!</f>
        <v>#REF!</v>
      </c>
      <c r="E58" s="20" t="e">
        <f>#REF!</f>
        <v>#REF!</v>
      </c>
      <c r="F58" s="20" t="e">
        <f>#REF!</f>
        <v>#REF!</v>
      </c>
      <c r="G58" s="34" t="e">
        <f>#REF!</f>
        <v>#REF!</v>
      </c>
    </row>
    <row r="59" spans="1:7" ht="16.5" hidden="1" thickBot="1" x14ac:dyDescent="0.3">
      <c r="A59" s="45" t="str">
        <f>IF(ISBLANK(B59),"",COUNTA($B$2:B59))</f>
        <v/>
      </c>
      <c r="B59" s="47"/>
      <c r="C59" s="20" t="e">
        <f>#REF!</f>
        <v>#REF!</v>
      </c>
      <c r="D59" s="20" t="e">
        <f>#REF!</f>
        <v>#REF!</v>
      </c>
      <c r="E59" s="20" t="e">
        <f>#REF!</f>
        <v>#REF!</v>
      </c>
      <c r="F59" s="20" t="e">
        <f>#REF!</f>
        <v>#REF!</v>
      </c>
      <c r="G59" s="34" t="e">
        <f>#REF!</f>
        <v>#REF!</v>
      </c>
    </row>
    <row r="60" spans="1:7" ht="16.5" hidden="1" thickBot="1" x14ac:dyDescent="0.3">
      <c r="A60" s="45" t="str">
        <f>IF(ISBLANK(B60),"",COUNTA($B$2:B60))</f>
        <v/>
      </c>
      <c r="B60" s="46"/>
      <c r="C60" s="20" t="e">
        <f>#REF!</f>
        <v>#REF!</v>
      </c>
      <c r="D60" s="20" t="e">
        <f>#REF!</f>
        <v>#REF!</v>
      </c>
      <c r="E60" s="20" t="e">
        <f>#REF!</f>
        <v>#REF!</v>
      </c>
      <c r="F60" s="20" t="e">
        <f>#REF!</f>
        <v>#REF!</v>
      </c>
      <c r="G60" s="34" t="e">
        <f>#REF!</f>
        <v>#REF!</v>
      </c>
    </row>
    <row r="61" spans="1:7" ht="16.5" hidden="1" thickBot="1" x14ac:dyDescent="0.3">
      <c r="A61" s="45" t="str">
        <f>IF(ISBLANK(B61),"",COUNTA($B$2:B61))</f>
        <v/>
      </c>
      <c r="B61" s="47"/>
      <c r="C61" s="20" t="e">
        <f>#REF!</f>
        <v>#REF!</v>
      </c>
      <c r="D61" s="20" t="e">
        <f>#REF!</f>
        <v>#REF!</v>
      </c>
      <c r="E61" s="20" t="e">
        <f>#REF!</f>
        <v>#REF!</v>
      </c>
      <c r="F61" s="20" t="e">
        <f>#REF!</f>
        <v>#REF!</v>
      </c>
      <c r="G61" s="34" t="e">
        <f>#REF!</f>
        <v>#REF!</v>
      </c>
    </row>
    <row r="62" spans="1:7" ht="16.5" hidden="1" thickBot="1" x14ac:dyDescent="0.3">
      <c r="A62" s="45" t="str">
        <f>IF(ISBLANK(B62),"",COUNTA($B$2:B62))</f>
        <v/>
      </c>
      <c r="B62" s="46"/>
      <c r="C62" s="20" t="e">
        <f>#REF!</f>
        <v>#REF!</v>
      </c>
      <c r="D62" s="20" t="e">
        <f>#REF!</f>
        <v>#REF!</v>
      </c>
      <c r="E62" s="20" t="e">
        <f>#REF!</f>
        <v>#REF!</v>
      </c>
      <c r="F62" s="20" t="e">
        <f>#REF!</f>
        <v>#REF!</v>
      </c>
      <c r="G62" s="34" t="e">
        <f>#REF!</f>
        <v>#REF!</v>
      </c>
    </row>
    <row r="63" spans="1:7" ht="16.5" hidden="1" thickBot="1" x14ac:dyDescent="0.3">
      <c r="A63" s="45" t="str">
        <f>IF(ISBLANK(B63),"",COUNTA($B$2:B63))</f>
        <v/>
      </c>
      <c r="B63" s="47"/>
      <c r="C63" s="20" t="e">
        <f>#REF!</f>
        <v>#REF!</v>
      </c>
      <c r="D63" s="20" t="e">
        <f>#REF!</f>
        <v>#REF!</v>
      </c>
      <c r="E63" s="20" t="e">
        <f>#REF!</f>
        <v>#REF!</v>
      </c>
      <c r="F63" s="20" t="e">
        <f>#REF!</f>
        <v>#REF!</v>
      </c>
      <c r="G63" s="34" t="e">
        <f>#REF!</f>
        <v>#REF!</v>
      </c>
    </row>
    <row r="64" spans="1:7" ht="16.5" hidden="1" thickBot="1" x14ac:dyDescent="0.3">
      <c r="A64" s="45" t="str">
        <f>IF(ISBLANK(B64),"",COUNTA($B$2:B64))</f>
        <v/>
      </c>
      <c r="B64" s="46"/>
      <c r="C64" s="20" t="e">
        <f>#REF!</f>
        <v>#REF!</v>
      </c>
      <c r="D64" s="20" t="e">
        <f>#REF!</f>
        <v>#REF!</v>
      </c>
      <c r="E64" s="20" t="e">
        <f>#REF!</f>
        <v>#REF!</v>
      </c>
      <c r="F64" s="20" t="e">
        <f>#REF!</f>
        <v>#REF!</v>
      </c>
      <c r="G64" s="34" t="e">
        <f>#REF!</f>
        <v>#REF!</v>
      </c>
    </row>
    <row r="65" spans="1:7" ht="16.5" hidden="1" thickBot="1" x14ac:dyDescent="0.3">
      <c r="A65" s="45" t="str">
        <f>IF(ISBLANK(B65),"",COUNTA($B$2:B65))</f>
        <v/>
      </c>
      <c r="B65" s="47"/>
      <c r="C65" s="20" t="e">
        <f>#REF!</f>
        <v>#REF!</v>
      </c>
      <c r="D65" s="20" t="e">
        <f>#REF!</f>
        <v>#REF!</v>
      </c>
      <c r="E65" s="20" t="e">
        <f>#REF!</f>
        <v>#REF!</v>
      </c>
      <c r="F65" s="20" t="e">
        <f>#REF!</f>
        <v>#REF!</v>
      </c>
      <c r="G65" s="34" t="e">
        <f>#REF!</f>
        <v>#REF!</v>
      </c>
    </row>
    <row r="66" spans="1:7" ht="16.5" hidden="1" thickBot="1" x14ac:dyDescent="0.3">
      <c r="A66" s="45" t="str">
        <f>IF(ISBLANK(B66),"",COUNTA($B$2:B66))</f>
        <v/>
      </c>
      <c r="B66" s="46"/>
      <c r="C66" s="20" t="e">
        <f>#REF!</f>
        <v>#REF!</v>
      </c>
      <c r="D66" s="20" t="e">
        <f>#REF!</f>
        <v>#REF!</v>
      </c>
      <c r="E66" s="20" t="e">
        <f>#REF!</f>
        <v>#REF!</v>
      </c>
      <c r="F66" s="20" t="e">
        <f>#REF!</f>
        <v>#REF!</v>
      </c>
      <c r="G66" s="34" t="e">
        <f>#REF!</f>
        <v>#REF!</v>
      </c>
    </row>
    <row r="67" spans="1:7" ht="16.5" hidden="1" thickBot="1" x14ac:dyDescent="0.3">
      <c r="A67" s="45" t="str">
        <f>IF(ISBLANK(B67),"",COUNTA($B$2:B67))</f>
        <v/>
      </c>
      <c r="B67" s="47"/>
      <c r="C67" s="20" t="e">
        <f>#REF!</f>
        <v>#REF!</v>
      </c>
      <c r="D67" s="20" t="e">
        <f>#REF!</f>
        <v>#REF!</v>
      </c>
      <c r="E67" s="20" t="e">
        <f>#REF!</f>
        <v>#REF!</v>
      </c>
      <c r="F67" s="20" t="e">
        <f>#REF!</f>
        <v>#REF!</v>
      </c>
      <c r="G67" s="34" t="e">
        <f>#REF!</f>
        <v>#REF!</v>
      </c>
    </row>
    <row r="68" spans="1:7" ht="16.5" hidden="1" thickBot="1" x14ac:dyDescent="0.3">
      <c r="A68" s="45" t="str">
        <f>IF(ISBLANK(B68),"",COUNTA($B$2:B68))</f>
        <v/>
      </c>
      <c r="B68" s="47"/>
      <c r="C68" s="20" t="e">
        <f>#REF!</f>
        <v>#REF!</v>
      </c>
      <c r="D68" s="20" t="e">
        <f>#REF!</f>
        <v>#REF!</v>
      </c>
      <c r="E68" s="20" t="e">
        <f>#REF!</f>
        <v>#REF!</v>
      </c>
      <c r="F68" s="20" t="e">
        <f>#REF!</f>
        <v>#REF!</v>
      </c>
      <c r="G68" s="34" t="e">
        <f>#REF!</f>
        <v>#REF!</v>
      </c>
    </row>
    <row r="69" spans="1:7" ht="16.5" hidden="1" thickBot="1" x14ac:dyDescent="0.3">
      <c r="A69" s="45" t="str">
        <f>IF(ISBLANK(B69),"",COUNTA($B$2:B69))</f>
        <v/>
      </c>
      <c r="B69" s="47"/>
      <c r="C69" s="20" t="e">
        <f>#REF!</f>
        <v>#REF!</v>
      </c>
      <c r="D69" s="20" t="e">
        <f>#REF!</f>
        <v>#REF!</v>
      </c>
      <c r="E69" s="20" t="e">
        <f>#REF!</f>
        <v>#REF!</v>
      </c>
      <c r="F69" s="20" t="e">
        <f>#REF!</f>
        <v>#REF!</v>
      </c>
      <c r="G69" s="34" t="e">
        <f>#REF!</f>
        <v>#REF!</v>
      </c>
    </row>
    <row r="70" spans="1:7" ht="16.5" hidden="1" thickBot="1" x14ac:dyDescent="0.3">
      <c r="A70" s="45" t="str">
        <f>IF(ISBLANK(B70),"",COUNTA($B$2:B70))</f>
        <v/>
      </c>
      <c r="B70" s="47"/>
      <c r="C70" s="20" t="e">
        <f>#REF!</f>
        <v>#REF!</v>
      </c>
      <c r="D70" s="20" t="e">
        <f>#REF!</f>
        <v>#REF!</v>
      </c>
      <c r="E70" s="20" t="e">
        <f>#REF!</f>
        <v>#REF!</v>
      </c>
      <c r="F70" s="20" t="e">
        <f>#REF!</f>
        <v>#REF!</v>
      </c>
      <c r="G70" s="34" t="e">
        <f>#REF!</f>
        <v>#REF!</v>
      </c>
    </row>
    <row r="71" spans="1:7" ht="16.5" hidden="1" thickBot="1" x14ac:dyDescent="0.3">
      <c r="A71" s="45" t="str">
        <f>IF(ISBLANK(B71),"",COUNTA($B$2:B71))</f>
        <v/>
      </c>
      <c r="B71" s="47"/>
      <c r="C71" s="20" t="e">
        <f>#REF!</f>
        <v>#REF!</v>
      </c>
      <c r="D71" s="20" t="e">
        <f>#REF!</f>
        <v>#REF!</v>
      </c>
      <c r="E71" s="20" t="e">
        <f>#REF!</f>
        <v>#REF!</v>
      </c>
      <c r="F71" s="20" t="e">
        <f>#REF!</f>
        <v>#REF!</v>
      </c>
      <c r="G71" s="34" t="e">
        <f>#REF!</f>
        <v>#REF!</v>
      </c>
    </row>
  </sheetData>
  <hyperlinks>
    <hyperlink ref="A3:A55" location="'1'!A1" display="'1'!A1"/>
    <hyperlink ref="A4" location="'3'!A1" display="'3'!A1"/>
    <hyperlink ref="A3" location="'2'!A1" display="'2'!A1"/>
    <hyperlink ref="A5" location="'4'!A1" display="'4'!A1"/>
    <hyperlink ref="A6" location="'5'!A1" display="'5'!A1"/>
    <hyperlink ref="A7" location="'6'!A1" display="'6'!A1"/>
    <hyperlink ref="A8" location="'7'!A1" display="'7'!A1"/>
    <hyperlink ref="A9" location="'8'!A1" display="'8'!A1"/>
    <hyperlink ref="A10" location="'9'!A1" display="'9'!A1"/>
    <hyperlink ref="A11" location="'10'!A1" display="'10'!A1"/>
    <hyperlink ref="A12" location="'11'!A1" display="'11'!A1"/>
    <hyperlink ref="A13" location="'12'!A1" display="'12'!A1"/>
    <hyperlink ref="A14" location="'13'!A1" display="'13'!A1"/>
    <hyperlink ref="A15" location="'14'!A1" display="'14'!A1"/>
    <hyperlink ref="A16" location="'15'!A1" display="'15'!A1"/>
    <hyperlink ref="A17" location="'16'!A1" display="'16'!A1"/>
    <hyperlink ref="A18" location="'17'!A1" display="'17'!A1"/>
    <hyperlink ref="A19" location="'18'!A1" display="'18'!A1"/>
    <hyperlink ref="A20" location="'19'!A1" display="'19'!A1"/>
    <hyperlink ref="A21" location="'20'!A1" display="'20'!A1"/>
    <hyperlink ref="A22" location="'21'!A1" display="'21'!A1"/>
    <hyperlink ref="A23" location="'22'!A1" display="'22'!A1"/>
    <hyperlink ref="A24" location="'23'!A1" display="'23'!A1"/>
    <hyperlink ref="A25" location="'24'!A1" display="'24'!A1"/>
    <hyperlink ref="A26" location="'25'!A1" display="'25'!A1"/>
    <hyperlink ref="A27" location="'26'!A1" display="'26'!A1"/>
    <hyperlink ref="A28" location="'27'!A1" display="'27'!A1"/>
    <hyperlink ref="A29" location="'28'!A1" display="'28'!A1"/>
    <hyperlink ref="A30" location="'29'!A1" display="'29'!A1"/>
    <hyperlink ref="A31" location="'30'!A1" display="'30'!A1"/>
    <hyperlink ref="A32" location="'31'!A1" display="'31'!A1"/>
    <hyperlink ref="A33" location="'32'!A1" display="'32'!A1"/>
    <hyperlink ref="A34" location="'33'!A1" display="'33'!A1"/>
    <hyperlink ref="A35" location="'34'!A1" display="'34'!A1"/>
    <hyperlink ref="A36" location="'35'!A1" display="'35'!A1"/>
    <hyperlink ref="A37" location="'36'!A1" display="'36'!A1"/>
    <hyperlink ref="A38" location="'37'!A1" display="'37'!A1"/>
    <hyperlink ref="A39" location="'38'!A1" display="'38'!A1"/>
    <hyperlink ref="A40" location="'39'!A1" display="'39'!A1"/>
    <hyperlink ref="A41" location="'41'!A1" display="'41'!A1"/>
    <hyperlink ref="A42" location="'41'!A1" display="'41'!A1"/>
    <hyperlink ref="A43" location="'42'!A1" display="'42'!A1"/>
    <hyperlink ref="A44" location="'43'!A1" display="'43'!A1"/>
    <hyperlink ref="A45" location="'44'!A1" display="'44'!A1"/>
    <hyperlink ref="A46" location="'45'!A1" display="'45'!A1"/>
    <hyperlink ref="A47" location="'46'!A1" display="'46'!A1"/>
    <hyperlink ref="A48" location="'47'!A1" display="'47'!A1"/>
    <hyperlink ref="A49" location="'48'!A1" display="'48'!A1"/>
    <hyperlink ref="A50" location="'49'!A1" display="'49'!A1"/>
    <hyperlink ref="A51" location="'50'!A1" display="'50'!A1"/>
    <hyperlink ref="A52" location="'51'!A1" display="'51'!A1"/>
    <hyperlink ref="A53" location="'52'!A1" display="'52'!A1"/>
    <hyperlink ref="A54" location="'53'!A1" display="'53'!A1"/>
    <hyperlink ref="A55" location="'54'!A1" display="'54'!A1"/>
    <hyperlink ref="A56" location="'55'!Область_печати" display="'55'!Область_печати"/>
    <hyperlink ref="A57" location="'56'!Область_печати" display="'56'!Область_печати"/>
    <hyperlink ref="A58" location="'57'!Область_печати" display="'57'!Область_печати"/>
    <hyperlink ref="A59" location="'58'!Область_печати" display="'58'!Область_печати"/>
    <hyperlink ref="A60" location="'59'!Область_печати" display="'59'!Область_печати"/>
    <hyperlink ref="A61" location="'60'!Область_печати" display="'60'!Область_печати"/>
    <hyperlink ref="A62" location="'61'!Область_печати" display="'61'!Область_печати"/>
    <hyperlink ref="A63" location="'62'!Область_печати" display="'62'!Область_печати"/>
    <hyperlink ref="A64" location="'63'!Область_печати" display="'63'!Область_печати"/>
    <hyperlink ref="A65" location="'64'!Область_печати" display="'64'!Область_печати"/>
    <hyperlink ref="A66" location="'65'!Область_печати" display="'65'!Область_печати"/>
    <hyperlink ref="A67" location="'66'!Область_печати" display="'66'!Область_печати"/>
    <hyperlink ref="A68:A71" location="'66'!Область_печати" display="'66'!Область_печати"/>
    <hyperlink ref="A67:A71" location="'67'!Область_печати" display="'67'!Область_печати"/>
    <hyperlink ref="A2" location="'1'!A1" display="'1'!A1"/>
  </hyperlinks>
  <pageMargins left="0.7" right="0.7" top="0.75" bottom="0.75" header="0.3" footer="0.3"/>
  <pageSetup paperSize="9" scale="4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6" zoomScaleNormal="100" zoomScaleSheetLayoutView="100" workbookViewId="0">
      <selection activeCell="C17" sqref="C17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0" customHeight="1" x14ac:dyDescent="0.25">
      <c r="B1" s="52" t="str">
        <f>'Порядок денний '!B19</f>
        <v>Про надання дозволу на розроблення проекту землеустрою щодо відведення земельної ділянки (Сидоренко)</v>
      </c>
      <c r="C1" s="52"/>
      <c r="D1" s="52"/>
      <c r="E1" s="52"/>
      <c r="F1" s="5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SUBTOTAL(109,Таблица24567891011171819202122232425[За])</f>
        <v>22</v>
      </c>
      <c r="D30" s="29">
        <f>SUBTOTAL(109,Таблица24567891011171819202122232425[Проти])</f>
        <v>0</v>
      </c>
      <c r="E30" s="29">
        <f>SUBTOTAL(109,Таблица24567891011171819202122232425[Утрим])</f>
        <v>0</v>
      </c>
      <c r="F30" s="29">
        <f>SUBTOTAL(109,Таблица24567891011171819202122232425[не голосували])</f>
        <v>0</v>
      </c>
    </row>
    <row r="31" spans="1:7" x14ac:dyDescent="0.25">
      <c r="B31" t="str">
        <f>IF(Таблица24567891011171819202122232425[[#Totals],[За]]&gt;13,"Рішення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6" zoomScaleNormal="100" zoomScaleSheetLayoutView="100" workbookViewId="0">
      <selection activeCell="C19" sqref="C19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29.25" customHeight="1" x14ac:dyDescent="0.25">
      <c r="B1" s="49" t="str">
        <f>'Порядок денний '!B20</f>
        <v>Про відмову в наданні дозволу на розроблення проєкту землеустрою щодо відведення земельної ділянки (Рибальченко)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SUBTOTAL(109,Таблица2456789101117181920212223242526[За])</f>
        <v>22</v>
      </c>
      <c r="D30" s="29">
        <f>SUBTOTAL(109,Таблица2456789101117181920212223242526[Проти])</f>
        <v>0</v>
      </c>
      <c r="E30" s="29">
        <f>SUBTOTAL(109,Таблица2456789101117181920212223242526[Утрим])</f>
        <v>0</v>
      </c>
      <c r="F30" s="29">
        <f>SUBTOTAL(109,Таблица2456789101117181920212223242526[не голосували])</f>
        <v>0</v>
      </c>
    </row>
    <row r="31" spans="1:7" x14ac:dyDescent="0.25">
      <c r="B31" t="str">
        <f>IF(Таблица2456789101117181920212223242526[[#Totals],[За]]&gt;13,"Рішення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3" zoomScaleNormal="100" zoomScaleSheetLayoutView="100" workbookViewId="0">
      <selection activeCell="C15" sqref="C15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29.25" customHeight="1" x14ac:dyDescent="0.25">
      <c r="B1" s="49" t="str">
        <f>'Порядок денний '!B21</f>
        <v>Про затвердження проєкту землеустрою щодо відведення земельної ділянки, право оренди якої підлягає продажу на земельних торгах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SUBTOTAL(109,Таблица245678910111718192021222324252627[За])</f>
        <v>22</v>
      </c>
      <c r="D30" s="29">
        <f>SUBTOTAL(109,Таблица245678910111718192021222324252627[Проти])</f>
        <v>0</v>
      </c>
      <c r="E30" s="29">
        <f>SUBTOTAL(109,Таблица245678910111718192021222324252627[Утрим])</f>
        <v>0</v>
      </c>
      <c r="F30" s="29">
        <f>SUBTOTAL(109,Таблица245678910111718192021222324252627[не голосували])</f>
        <v>0</v>
      </c>
    </row>
    <row r="31" spans="1:7" x14ac:dyDescent="0.25">
      <c r="B31" t="str">
        <f>IF(Таблица245678910111718192021222324252627[[#Totals],[За]]&gt;13,"Рішення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6" zoomScaleNormal="100" zoomScaleSheetLayoutView="100" workbookViewId="0">
      <selection activeCell="C16" sqref="C16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28.5" customHeight="1" x14ac:dyDescent="0.25">
      <c r="B1" s="49" t="str">
        <f>'Порядок денний '!B22</f>
        <v>Про затвердження проєкту землеустрою щодо відведення земельної ділянки, право оренди якої підлягає продажу на земельних торгах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SUBTOTAL(109,Таблица24567891011171819202122232425262728[За])</f>
        <v>22</v>
      </c>
      <c r="D30" s="29">
        <f>SUBTOTAL(109,Таблица24567891011171819202122232425262728[Проти])</f>
        <v>0</v>
      </c>
      <c r="E30" s="29">
        <f>SUBTOTAL(109,Таблица24567891011171819202122232425262728[Утрим])</f>
        <v>0</v>
      </c>
      <c r="F30" s="29">
        <f>SUBTOTAL(109,Таблица24567891011171819202122232425262728[не голосували])</f>
        <v>0</v>
      </c>
    </row>
    <row r="31" spans="1:7" x14ac:dyDescent="0.25">
      <c r="B31" t="str">
        <f>IF(Таблица24567891011171819202122232425262728[[#Totals],[За]]&gt;13,"Рішення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2" zoomScaleNormal="100" zoomScaleSheetLayoutView="100" workbookViewId="0">
      <selection activeCell="D14" sqref="D14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9" t="str">
        <f>'Порядок денний '!B23</f>
        <v>Про проведення земельних торгів у формі аукціону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SUBTOTAL(109,Таблица2456789101117181920212223242526272829[За])</f>
        <v>22</v>
      </c>
      <c r="D30" s="29">
        <f>SUBTOTAL(109,Таблица2456789101117181920212223242526272829[Проти])</f>
        <v>0</v>
      </c>
      <c r="E30" s="29">
        <f>SUBTOTAL(109,Таблица2456789101117181920212223242526272829[Утрим])</f>
        <v>0</v>
      </c>
      <c r="F30" s="29">
        <f>SUBTOTAL(109,Таблица2456789101117181920212223242526272829[не голосували])</f>
        <v>0</v>
      </c>
    </row>
    <row r="31" spans="1:7" x14ac:dyDescent="0.25">
      <c r="B31" t="str">
        <f>IF(Таблица2456789101117181920212223242526272829[[#Totals],[За]]&gt;13,"Рішення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7" zoomScaleNormal="100" zoomScaleSheetLayoutView="100" workbookViewId="0">
      <selection activeCell="C19" sqref="C19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9" t="str">
        <f>'Порядок денний '!B24</f>
        <v>Про проведення земельних торгів у формі аукціону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SUBTOTAL(109,Таблица245678910111718192021222324252627282930[За])</f>
        <v>22</v>
      </c>
      <c r="D30" s="29">
        <f>SUBTOTAL(109,Таблица245678910111718192021222324252627282930[Проти])</f>
        <v>0</v>
      </c>
      <c r="E30" s="29">
        <f>SUBTOTAL(109,Таблица245678910111718192021222324252627282930[Утрим])</f>
        <v>0</v>
      </c>
      <c r="F30" s="29">
        <f>SUBTOTAL(109,Таблица245678910111718192021222324252627282930[не голосували])</f>
        <v>0</v>
      </c>
    </row>
    <row r="31" spans="1:7" x14ac:dyDescent="0.25">
      <c r="B31" t="str">
        <f>IF(Таблица245678910111718192021222324252627282930[[#Totals],[За]]&gt;13,"Рішення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4" zoomScaleNormal="100" zoomScaleSheetLayoutView="100" workbookViewId="0">
      <selection activeCell="C17" sqref="C17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48.75" customHeight="1" x14ac:dyDescent="0.25">
      <c r="B1" s="49" t="str">
        <f>'Порядок денний '!B25</f>
        <v>Про включення земельної ділянки несільськогосподарського призначення до переліку інвестиційно-привабливих земельних ділянок, право оренди на які підлягає продажу на земельних торгах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SUBTOTAL(109,Таблица24567891011171819202122232425262728293031[За])</f>
        <v>22</v>
      </c>
      <c r="D30" s="29">
        <f>SUBTOTAL(109,Таблица24567891011171819202122232425262728293031[Проти])</f>
        <v>0</v>
      </c>
      <c r="E30" s="29">
        <f>SUBTOTAL(109,Таблица24567891011171819202122232425262728293031[Утрим])</f>
        <v>0</v>
      </c>
      <c r="F30" s="29">
        <f>SUBTOTAL(109,Таблица24567891011171819202122232425262728293031[не голосували])</f>
        <v>0</v>
      </c>
    </row>
    <row r="31" spans="1:7" x14ac:dyDescent="0.25">
      <c r="B31" t="str">
        <f>IF(Таблица24567891011171819202122232425262728293031[[#Totals],[За]]&gt;13,"Рішення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6" zoomScaleNormal="100" zoomScaleSheetLayoutView="100" workbookViewId="0">
      <selection activeCell="C18" sqref="C1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9" t="str">
        <f>'Порядок денний '!B26</f>
        <v>Про надання згоди на здійснення будівельних робіт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SUBTOTAL(109,Таблица2456789101117181920212223242526272829303132[За])</f>
        <v>22</v>
      </c>
      <c r="D30" s="29">
        <f>SUBTOTAL(109,Таблица2456789101117181920212223242526272829303132[Проти])</f>
        <v>0</v>
      </c>
      <c r="E30" s="29">
        <f>SUBTOTAL(109,Таблица2456789101117181920212223242526272829303132[Утрим])</f>
        <v>0</v>
      </c>
      <c r="F30" s="29">
        <f>SUBTOTAL(109,Таблица2456789101117181920212223242526272829303132[не голосували])</f>
        <v>0</v>
      </c>
    </row>
    <row r="31" spans="1:7" x14ac:dyDescent="0.25">
      <c r="B31" t="str">
        <f>IF(Таблица2456789101117181920212223242526272829303132[[#Totals],[За]]&gt;13,"Рішення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4" zoomScaleNormal="100" zoomScaleSheetLayoutView="100" workbookViewId="0">
      <selection activeCell="C22" sqref="C22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3.75" customHeight="1" x14ac:dyDescent="0.25">
      <c r="B1" s="49" t="str">
        <f>'Порядок денний '!B27</f>
        <v>Про затвердження Положення про центр надання адміністративних послуг Варвинської селищної ради в новій редакції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/>
      <c r="D23" s="12"/>
      <c r="E23" s="12">
        <v>1</v>
      </c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SUBTOTAL(109,Таблица245678910111718192021222324252627282930313233[За])</f>
        <v>21</v>
      </c>
      <c r="D30" s="29">
        <f>SUBTOTAL(109,Таблица245678910111718192021222324252627282930313233[Проти])</f>
        <v>0</v>
      </c>
      <c r="E30" s="29">
        <f>SUBTOTAL(109,Таблица245678910111718192021222324252627282930313233[Утрим])</f>
        <v>1</v>
      </c>
      <c r="F30" s="29">
        <f>SUBTOTAL(109,Таблица245678910111718192021222324252627282930313233[не голосували])</f>
        <v>0</v>
      </c>
    </row>
    <row r="31" spans="1:7" x14ac:dyDescent="0.25">
      <c r="B31" t="str">
        <f>IF(Таблица245678910111718192021222324252627282930313233[[#Totals],[За]]&gt;13,"Рішення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5.25" customHeight="1" x14ac:dyDescent="0.25">
      <c r="B1" s="49" t="str">
        <f>'Порядок денний '!B28</f>
        <v>Про визнання таким, що втратило чинність, рішення Варвинської селищної ради від 22.02.2018 № 1-4/18отг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SUBTOTAL(109,Таблица24567891011171819202122232425262728293031323334[За])</f>
        <v>22</v>
      </c>
      <c r="D30" s="29">
        <f>SUBTOTAL(109,Таблица24567891011171819202122232425262728293031323334[Проти])</f>
        <v>0</v>
      </c>
      <c r="E30" s="29">
        <f>SUBTOTAL(109,Таблица24567891011171819202122232425262728293031323334[Утрим])</f>
        <v>0</v>
      </c>
      <c r="F30" s="29">
        <f>SUBTOTAL(109,Таблица24567891011171819202122232425262728293031323334[не голосували])</f>
        <v>0</v>
      </c>
    </row>
    <row r="31" spans="1:7" x14ac:dyDescent="0.25">
      <c r="B31" t="str">
        <f>IF(Таблица24567891011171819202122232425262728293031323334[[#Totals],[За]]&gt;13,"Рішення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3" zoomScale="85" zoomScaleNormal="100" zoomScaleSheetLayoutView="85" workbookViewId="0">
      <selection activeCell="C18" sqref="C1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8.25" customHeight="1" x14ac:dyDescent="0.25">
      <c r="B1" s="49" t="str">
        <f>'Порядок денний '!B2</f>
        <v>Про затвердження проектів землеустрою щодо відведення земельних ділянок та передачу їх у власність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>
        <v>1</v>
      </c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32" t="s">
        <v>11</v>
      </c>
      <c r="B30" s="32"/>
      <c r="C30" s="32">
        <f>SUBTOTAL(109,Таблица2[За])</f>
        <v>21</v>
      </c>
      <c r="D30" s="32">
        <f>SUBTOTAL(109,Таблица2[Проти])</f>
        <v>0</v>
      </c>
      <c r="E30" s="32">
        <f>SUBTOTAL(109,Таблица2[Утрим])</f>
        <v>0</v>
      </c>
      <c r="F30" s="32">
        <f>SUBTOTAL(109,Таблица2[не голосували])</f>
        <v>1</v>
      </c>
    </row>
    <row r="31" spans="1:7" x14ac:dyDescent="0.25">
      <c r="B31" t="str">
        <f>IF(Таблица2[[#Totals],[За]]&gt;13,"Рішення прийнято","Рішення не прийнято")</f>
        <v>Рішення прийнято</v>
      </c>
    </row>
    <row r="33" spans="1:2" x14ac:dyDescent="0.25">
      <c r="B33" s="42">
        <f>'лічильна комісія'!B33</f>
        <v>0</v>
      </c>
    </row>
    <row r="34" spans="1:2" ht="18.75" x14ac:dyDescent="0.3">
      <c r="A34" s="41">
        <f>'лічильна комісія'!A34</f>
        <v>0</v>
      </c>
      <c r="B34" s="41">
        <f>'лічильна комісія'!B34</f>
        <v>0</v>
      </c>
    </row>
    <row r="35" spans="1:2" ht="18.75" x14ac:dyDescent="0.3">
      <c r="A35" s="41">
        <f>'лічильна комісія'!A35</f>
        <v>0</v>
      </c>
      <c r="B35" s="41"/>
    </row>
    <row r="36" spans="1:2" ht="18.75" x14ac:dyDescent="0.3">
      <c r="A36" s="41">
        <f>'лічильна комісія'!A36</f>
        <v>0</v>
      </c>
      <c r="B36" s="41">
        <f>'лічильна комісія'!B36</f>
        <v>0</v>
      </c>
    </row>
    <row r="37" spans="1:2" ht="18.75" x14ac:dyDescent="0.3">
      <c r="A37" s="41">
        <f>'лічильна комісія'!A37</f>
        <v>0</v>
      </c>
      <c r="B37" s="41"/>
    </row>
    <row r="38" spans="1:2" ht="18.75" x14ac:dyDescent="0.3">
      <c r="A38" s="41">
        <f>'лічильна комісія'!A38</f>
        <v>0</v>
      </c>
      <c r="B38" s="41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21" sqref="C2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9" t="str">
        <f>'Порядок денний '!B29</f>
        <v>Про прийняття у комунальну власність майна та передачу його КП «Господар»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SUBTOTAL(109,Таблица2456789101117181920212223242526272829303132333435[За])</f>
        <v>22</v>
      </c>
      <c r="D30" s="29">
        <f>SUBTOTAL(109,Таблица2456789101117181920212223242526272829303132333435[Проти])</f>
        <v>0</v>
      </c>
      <c r="E30" s="29">
        <f>SUBTOTAL(109,Таблица2456789101117181920212223242526272829303132333435[Утрим])</f>
        <v>0</v>
      </c>
      <c r="F30" s="29">
        <f>SUBTOTAL(109,Таблица2456789101117181920212223242526272829303132333435[не голосували])</f>
        <v>0</v>
      </c>
    </row>
    <row r="31" spans="1:7" x14ac:dyDescent="0.25">
      <c r="B31" t="str">
        <f>IF(Таблица2456789101117181920212223242526272829303132333435[[#Totals],[За]]&gt;13,"Рішення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3" sqref="B3"/>
    </sheetView>
  </sheetViews>
  <sheetFormatPr defaultRowHeight="15" x14ac:dyDescent="0.25"/>
  <cols>
    <col min="2" max="2" width="35.85546875" customWidth="1"/>
    <col min="3" max="5" width="10.7109375" customWidth="1"/>
    <col min="6" max="6" width="16.42578125" style="15" bestFit="1" customWidth="1"/>
    <col min="7" max="7" width="11.85546875" style="15" customWidth="1"/>
  </cols>
  <sheetData>
    <row r="1" spans="1:7" x14ac:dyDescent="0.25">
      <c r="B1" t="s">
        <v>18</v>
      </c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C30" s="29">
        <f>SUBTOTAL(109,Таблица256789101112[За])</f>
        <v>0</v>
      </c>
      <c r="D30" s="29">
        <f>SUBTOTAL(109,Таблица256789101112[Проти])</f>
        <v>0</v>
      </c>
      <c r="E30" s="29">
        <f>SUBTOTAL(109,Таблица256789101112[Утрим])</f>
        <v>0</v>
      </c>
      <c r="F30" s="29">
        <f>SUBTOTAL(109,Таблица256789101112[не голосували])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25" workbookViewId="0">
      <selection activeCell="B33" sqref="A33:B38"/>
    </sheetView>
  </sheetViews>
  <sheetFormatPr defaultRowHeight="15" x14ac:dyDescent="0.25"/>
  <cols>
    <col min="2" max="2" width="39.7109375" bestFit="1" customWidth="1"/>
    <col min="3" max="5" width="10.7109375" customWidth="1"/>
    <col min="6" max="7" width="11.85546875" style="15" customWidth="1"/>
  </cols>
  <sheetData>
    <row r="1" spans="1:7" x14ac:dyDescent="0.25">
      <c r="B1" t="s">
        <v>19</v>
      </c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SUBTOTAL(109,Таблица256789101112131415[За])</f>
        <v>0</v>
      </c>
      <c r="D30" s="29">
        <f>SUBTOTAL(109,Таблица256789101112131415[Проти])</f>
        <v>0</v>
      </c>
      <c r="E30" s="29">
        <f>SUBTOTAL(109,Таблица256789101112131415[Утрим])</f>
        <v>0</v>
      </c>
      <c r="F30" s="29">
        <f>SUBTOTAL(109,Таблица256789101112131415[не голосували])</f>
        <v>0</v>
      </c>
    </row>
    <row r="34" spans="2:2" ht="18.75" x14ac:dyDescent="0.3">
      <c r="B34" s="41"/>
    </row>
    <row r="35" spans="2:2" ht="18.75" x14ac:dyDescent="0.3">
      <c r="B35" s="41"/>
    </row>
    <row r="36" spans="2:2" ht="18.75" x14ac:dyDescent="0.3">
      <c r="B36" s="41"/>
    </row>
    <row r="37" spans="2:2" ht="18.75" x14ac:dyDescent="0.3">
      <c r="B37" s="41"/>
    </row>
    <row r="38" spans="2:2" ht="18.75" x14ac:dyDescent="0.3">
      <c r="B38" s="4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3" sqref="B3"/>
    </sheetView>
  </sheetViews>
  <sheetFormatPr defaultRowHeight="15" x14ac:dyDescent="0.25"/>
  <cols>
    <col min="2" max="2" width="35.85546875" customWidth="1"/>
    <col min="3" max="5" width="10.7109375" customWidth="1"/>
    <col min="6" max="7" width="11.85546875" style="15" customWidth="1"/>
  </cols>
  <sheetData>
    <row r="1" spans="1:7" x14ac:dyDescent="0.25">
      <c r="B1" t="s">
        <v>20</v>
      </c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SUBTOTAL(109,Таблица2567891011121314[За])</f>
        <v>0</v>
      </c>
      <c r="D30" s="29">
        <f>SUBTOTAL(109,Таблица2567891011121314[Проти])</f>
        <v>0</v>
      </c>
      <c r="E30" s="29">
        <f>SUBTOTAL(109,Таблица2567891011121314[Утрим])</f>
        <v>0</v>
      </c>
      <c r="F30" s="29">
        <f>SUBTOTAL(109,Таблица2567891011121314[не голосували])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workbookViewId="0">
      <selection activeCell="B3" sqref="B3"/>
    </sheetView>
  </sheetViews>
  <sheetFormatPr defaultRowHeight="15" x14ac:dyDescent="0.25"/>
  <cols>
    <col min="2" max="2" width="35.85546875" customWidth="1"/>
    <col min="3" max="5" width="10.7109375" customWidth="1"/>
    <col min="6" max="7" width="11.85546875" style="15" customWidth="1"/>
  </cols>
  <sheetData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26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/>
      <c r="D5" s="12"/>
      <c r="E5" s="12"/>
      <c r="F5" s="26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/>
      <c r="D6" s="12"/>
      <c r="E6" s="12"/>
      <c r="F6" s="26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/>
      <c r="D7" s="12"/>
      <c r="E7" s="12"/>
      <c r="F7" s="26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/>
      <c r="D8" s="12"/>
      <c r="E8" s="12"/>
      <c r="F8" s="26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/>
      <c r="D9" s="12"/>
      <c r="E9" s="12"/>
      <c r="F9" s="26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26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26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/>
      <c r="D12" s="12"/>
      <c r="E12" s="12"/>
      <c r="F12" s="26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/>
      <c r="D13" s="12"/>
      <c r="E13" s="12"/>
      <c r="F13" s="26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/>
      <c r="D14" s="12"/>
      <c r="E14" s="12"/>
      <c r="F14" s="26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/>
      <c r="D15" s="12"/>
      <c r="E15" s="12"/>
      <c r="F15" s="26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/>
      <c r="D16" s="12"/>
      <c r="E16" s="12"/>
      <c r="F16" s="26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/>
      <c r="D17" s="12"/>
      <c r="E17" s="12"/>
      <c r="F17" s="26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SUBTOTAL(109,Таблица2567891011121316[За])</f>
        <v>0</v>
      </c>
      <c r="D30" s="29">
        <f>SUBTOTAL(109,Таблица2567891011121316[Проти])</f>
        <v>0</v>
      </c>
      <c r="E30" s="29">
        <f>SUBTOTAL(109,Таблица2567891011121316[Утрим])</f>
        <v>0</v>
      </c>
      <c r="F30" s="29">
        <f>SUBTOTAL(109,Таблица2567891011121316[не голосували])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3" sqref="B3"/>
    </sheetView>
  </sheetViews>
  <sheetFormatPr defaultRowHeight="15" x14ac:dyDescent="0.25"/>
  <cols>
    <col min="2" max="2" width="35.85546875" customWidth="1"/>
    <col min="3" max="5" width="10.7109375" customWidth="1"/>
    <col min="6" max="7" width="11.85546875" style="15" customWidth="1"/>
  </cols>
  <sheetData>
    <row r="1" spans="1:7" x14ac:dyDescent="0.25">
      <c r="B1" t="s">
        <v>21</v>
      </c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SUBTOTAL(109,Таблица25678910111213[За])</f>
        <v>0</v>
      </c>
      <c r="D30" s="29">
        <f>SUBTOTAL(109,Таблица25678910111213[Проти])</f>
        <v>0</v>
      </c>
      <c r="E30" s="29">
        <f>SUBTOTAL(109,Таблица25678910111213[Утрим])</f>
        <v>0</v>
      </c>
      <c r="F30" s="29">
        <f>SUBTOTAL(109,Таблица25678910111213[не голосували])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3" sqref="L23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3" zoomScale="85" zoomScaleNormal="100" zoomScaleSheetLayoutView="85" workbookViewId="0">
      <selection activeCell="C20" sqref="C20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0" customHeight="1" x14ac:dyDescent="0.25">
      <c r="B1" s="50" t="str">
        <f>'Порядок денний '!B3</f>
        <v>Про затвердження технічних документацій із землеустрою щодо встановлення (відновлення) меж земельних ділянок в натурі (на місцевості)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>
        <v>1</v>
      </c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32" t="s">
        <v>11</v>
      </c>
      <c r="B30" s="32"/>
      <c r="C30" s="32">
        <f>SUBTOTAL(109,Таблица24[За])</f>
        <v>21</v>
      </c>
      <c r="D30" s="32">
        <f>SUBTOTAL(109,Таблица24[Проти])</f>
        <v>0</v>
      </c>
      <c r="E30" s="32">
        <f>SUBTOTAL(109,Таблица24[Утрим])</f>
        <v>0</v>
      </c>
      <c r="F30" s="32">
        <f>SUBTOTAL(109,Таблица24[не голосували])</f>
        <v>1</v>
      </c>
    </row>
    <row r="31" spans="1:7" x14ac:dyDescent="0.25">
      <c r="B31" t="str">
        <f>IF(Таблица24[[#Totals],[За]]&gt;13,"Рішення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9" zoomScaleNormal="100" zoomScaleSheetLayoutView="100" workbookViewId="0">
      <selection activeCell="F19" sqref="F19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7.5" customHeight="1" x14ac:dyDescent="0.25">
      <c r="B1" s="49" t="str">
        <f>'Порядок денний '!B4</f>
        <v>Про надання дозволів на розроблення технічних документацій із землеустрою щодо встановлення (відновлення) меж земельних ділянок в натурі (на місцевості)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32" t="s">
        <v>11</v>
      </c>
      <c r="B30" s="32"/>
      <c r="C30" s="32">
        <f>SUBTOTAL(109,Таблица245[За])</f>
        <v>22</v>
      </c>
      <c r="D30" s="32">
        <f>SUBTOTAL(109,Таблица245[Проти])</f>
        <v>0</v>
      </c>
      <c r="E30" s="32">
        <f>SUBTOTAL(109,Таблица245[Утрим])</f>
        <v>0</v>
      </c>
      <c r="F30" s="32">
        <f>SUBTOTAL(109,Таблица245[не голосували])</f>
        <v>0</v>
      </c>
    </row>
    <row r="31" spans="1:7" x14ac:dyDescent="0.25">
      <c r="B31" t="str">
        <f>IF(Таблица245[[#Totals],[За]]&gt;13,"Рішення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4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9" t="str">
        <f>'Порядок денний '!B5</f>
        <v>Про припинення права користування земельними ділянками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32" t="s">
        <v>11</v>
      </c>
      <c r="B30" s="32"/>
      <c r="C30" s="32">
        <f>SUBTOTAL(109,Таблица2456[За])</f>
        <v>22</v>
      </c>
      <c r="D30" s="32">
        <f>SUBTOTAL(109,Таблица2456[Проти])</f>
        <v>0</v>
      </c>
      <c r="E30" s="32">
        <f>SUBTOTAL(109,Таблица2456[Утрим])</f>
        <v>0</v>
      </c>
      <c r="F30" s="32">
        <f>SUBTOTAL(109,Таблица2456[не голосували])</f>
        <v>0</v>
      </c>
    </row>
    <row r="31" spans="1:7" x14ac:dyDescent="0.25">
      <c r="B31" t="str">
        <f>IF(Таблица2456[[#Totals],[За]]&gt;13,"Рішення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4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0" customHeight="1" x14ac:dyDescent="0.25">
      <c r="B1" s="49" t="str">
        <f>'Порядок денний '!B6</f>
        <v>Про надання дозволів на розроблення проєктів землеустрою щодо відведення земельних ділянок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32" t="s">
        <v>11</v>
      </c>
      <c r="B30" s="32"/>
      <c r="C30" s="32">
        <f>SUBTOTAL(109,Таблица24567[За])</f>
        <v>22</v>
      </c>
      <c r="D30" s="32">
        <f>SUBTOTAL(109,Таблица24567[Проти])</f>
        <v>0</v>
      </c>
      <c r="E30" s="32">
        <f>SUBTOTAL(109,Таблица24567[Утрим])</f>
        <v>0</v>
      </c>
      <c r="F30" s="32">
        <f>SUBTOTAL(109,Таблица24567[не голосували])</f>
        <v>0</v>
      </c>
    </row>
    <row r="31" spans="1:7" x14ac:dyDescent="0.25">
      <c r="B31" t="str">
        <f>IF(Таблица24567[[#Totals],[За]]&gt;13,"Рішення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3" zoomScaleNormal="100" zoomScaleSheetLayoutView="100" workbookViewId="0">
      <selection activeCell="C3" sqref="C3:C24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3" customHeight="1" x14ac:dyDescent="0.25">
      <c r="B1" s="49" t="str">
        <f>'Порядок денний '!B7</f>
        <v>Про надання дозволу на розроблення технічної документації із землеустрою щодо поділу земельної ділянки комунальної власності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32" t="s">
        <v>11</v>
      </c>
      <c r="B30" s="32"/>
      <c r="C30" s="32">
        <f>SUBTOTAL(109,Таблица245678[За])</f>
        <v>22</v>
      </c>
      <c r="D30" s="32">
        <f>SUBTOTAL(109,Таблица245678[Проти])</f>
        <v>0</v>
      </c>
      <c r="E30" s="32">
        <f>SUBTOTAL(109,Таблица245678[Утрим])</f>
        <v>0</v>
      </c>
      <c r="F30" s="32">
        <f>SUBTOTAL(109,Таблица245678[не голосували])</f>
        <v>0</v>
      </c>
    </row>
    <row r="31" spans="1:7" x14ac:dyDescent="0.25">
      <c r="B31" t="str">
        <f>IF(Таблица245678[[#Totals],[За]]&gt;13,"Рішення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8" zoomScaleNormal="100" zoomScaleSheetLayoutView="100" workbookViewId="0">
      <selection activeCell="D20" sqref="D20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20.25" customHeight="1" x14ac:dyDescent="0.25">
      <c r="B1" s="49" t="str">
        <f>'Порядок денний '!B8</f>
        <v>Про розірвання договору оренди на земельну ділянку та передачу її в оренду</v>
      </c>
      <c r="C1" s="49"/>
      <c r="D1" s="49"/>
      <c r="E1" s="49"/>
      <c r="F1" s="49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8" t="s">
        <v>11</v>
      </c>
      <c r="B30" s="28"/>
      <c r="C30" s="28">
        <f>SUBTOTAL(109,Таблица2456789[За])</f>
        <v>22</v>
      </c>
      <c r="D30" s="28">
        <f>SUBTOTAL(109,Таблица2456789[Проти])</f>
        <v>0</v>
      </c>
      <c r="E30" s="28">
        <f>SUBTOTAL(109,Таблица2456789[Утрим])</f>
        <v>0</v>
      </c>
      <c r="F30" s="28">
        <f>SUBTOTAL(109,Таблица2456789[не голосували])</f>
        <v>0</v>
      </c>
    </row>
    <row r="31" spans="1:7" x14ac:dyDescent="0.25">
      <c r="B31" t="str">
        <f>IF(Таблица2456789[[#Totals],[За]]&gt;13,"Рішення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>
        <f>'лічильна комісія'!A34</f>
        <v>0</v>
      </c>
      <c r="B34">
        <f>'лічильна комісія'!B34</f>
        <v>0</v>
      </c>
    </row>
    <row r="35" spans="1:2" x14ac:dyDescent="0.25">
      <c r="A35">
        <f>'лічильна комісія'!A35</f>
        <v>0</v>
      </c>
    </row>
    <row r="36" spans="1:2" x14ac:dyDescent="0.25">
      <c r="A36">
        <f>'лічильна комісія'!A36</f>
        <v>0</v>
      </c>
      <c r="B36">
        <f>'лічильна комісія'!B36</f>
        <v>0</v>
      </c>
    </row>
    <row r="37" spans="1:2" x14ac:dyDescent="0.25">
      <c r="A37">
        <f>'лічильна комісія'!A37</f>
        <v>0</v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36</vt:i4>
      </vt:variant>
      <vt:variant>
        <vt:lpstr>Именованные диапазоны</vt:lpstr>
      </vt:variant>
      <vt:variant>
        <vt:i4>29</vt:i4>
      </vt:variant>
    </vt:vector>
  </HeadingPairs>
  <TitlesOfParts>
    <vt:vector size="65" baseType="lpstr">
      <vt:lpstr>явка</vt:lpstr>
      <vt:lpstr>Порядок денний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регламент</vt:lpstr>
      <vt:lpstr>лічильна комісія</vt:lpstr>
      <vt:lpstr>Секретар</vt:lpstr>
      <vt:lpstr>резерв</vt:lpstr>
      <vt:lpstr>За порядок денний</vt:lpstr>
      <vt:lpstr>дані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'2'!Область_печати</vt:lpstr>
      <vt:lpstr>'20'!Область_печати</vt:lpstr>
      <vt:lpstr>'21'!Область_печати</vt:lpstr>
      <vt:lpstr>'22'!Область_печати</vt:lpstr>
      <vt:lpstr>'23'!Область_печати</vt:lpstr>
      <vt:lpstr>'24'!Область_печати</vt:lpstr>
      <vt:lpstr>'25'!Область_печати</vt:lpstr>
      <vt:lpstr>'26'!Область_печати</vt:lpstr>
      <vt:lpstr>'27'!Область_печати</vt:lpstr>
      <vt:lpstr>'28'!Область_печати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  <vt:lpstr>'Порядок денний 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2018-03-19T10:37:51Z</cp:lastPrinted>
  <dcterms:created xsi:type="dcterms:W3CDTF">2016-01-11T09:21:51Z</dcterms:created>
  <dcterms:modified xsi:type="dcterms:W3CDTF">2020-01-23T12:55:54Z</dcterms:modified>
</cp:coreProperties>
</file>