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Sheet1!$A$1:$K$86</definedName>
  </definedNames>
  <calcPr calcId="125725"/>
</workbook>
</file>

<file path=xl/calcChain.xml><?xml version="1.0" encoding="utf-8"?>
<calcChain xmlns="http://schemas.openxmlformats.org/spreadsheetml/2006/main">
  <c r="H86" i="1"/>
  <c r="J86"/>
  <c r="J85"/>
  <c r="J82"/>
  <c r="J80"/>
  <c r="J77"/>
  <c r="J75"/>
  <c r="J32"/>
  <c r="I32"/>
  <c r="J36"/>
  <c r="J40"/>
  <c r="J35"/>
  <c r="J34"/>
  <c r="J33"/>
  <c r="J31"/>
  <c r="J30"/>
  <c r="J29"/>
  <c r="J28"/>
  <c r="J27"/>
  <c r="J21"/>
  <c r="J20"/>
  <c r="J19"/>
  <c r="I19"/>
  <c r="J18"/>
  <c r="J17"/>
  <c r="J15"/>
  <c r="J13"/>
  <c r="J12"/>
  <c r="I17"/>
  <c r="I40" l="1"/>
  <c r="I39"/>
  <c r="I78"/>
  <c r="I85" s="1"/>
  <c r="J78"/>
  <c r="K78"/>
  <c r="I75"/>
  <c r="I80" s="1"/>
  <c r="J43"/>
  <c r="K43"/>
  <c r="J42"/>
  <c r="K42"/>
  <c r="J41"/>
  <c r="K41"/>
  <c r="I36"/>
  <c r="I35"/>
  <c r="I34"/>
  <c r="I33"/>
  <c r="I31"/>
  <c r="I30"/>
  <c r="I29"/>
  <c r="I28"/>
  <c r="I42" s="1"/>
  <c r="I27"/>
  <c r="I41" s="1"/>
  <c r="J24"/>
  <c r="K24"/>
  <c r="J23"/>
  <c r="K23"/>
  <c r="J22"/>
  <c r="K22"/>
  <c r="I18"/>
  <c r="I20"/>
  <c r="I15"/>
  <c r="I13"/>
  <c r="H21"/>
  <c r="H24" s="1"/>
  <c r="H36"/>
  <c r="H41" s="1"/>
  <c r="H12"/>
  <c r="I12" s="1"/>
  <c r="H80"/>
  <c r="H78"/>
  <c r="H77"/>
  <c r="H42"/>
  <c r="H85" s="1"/>
  <c r="I23" l="1"/>
  <c r="I22"/>
  <c r="I21"/>
  <c r="I24" s="1"/>
  <c r="I43"/>
  <c r="I86" s="1"/>
  <c r="H82"/>
  <c r="I77"/>
  <c r="I82" s="1"/>
  <c r="H22"/>
  <c r="H43"/>
  <c r="H23"/>
</calcChain>
</file>

<file path=xl/sharedStrings.xml><?xml version="1.0" encoding="utf-8"?>
<sst xmlns="http://schemas.openxmlformats.org/spreadsheetml/2006/main" count="136" uniqueCount="89">
  <si>
    <t>№ з/п</t>
  </si>
  <si>
    <t>Назва напрямку діяльності (пріоритетні завдання)</t>
  </si>
  <si>
    <t>Перелік заходів програми</t>
  </si>
  <si>
    <t>Строк виконання заходу</t>
  </si>
  <si>
    <t>Джерела</t>
  </si>
  <si>
    <t>фінансування</t>
  </si>
  <si>
    <t>Орієнтовні обсяги фінансування (вартість), тис. гривень, у тому числі:</t>
  </si>
  <si>
    <t>рік</t>
  </si>
  <si>
    <t>ДОХОДИ ПІДПРИЄМСТВА, у тому числі:</t>
  </si>
  <si>
    <t>1.</t>
  </si>
  <si>
    <t>Надходження коштів міського бюджету</t>
  </si>
  <si>
    <t xml:space="preserve">Фінансування за рахунок коштів місцевого бюджету </t>
  </si>
  <si>
    <t>Міський бюджет</t>
  </si>
  <si>
    <t>2.</t>
  </si>
  <si>
    <t>Надходження коштів по обслуговуванню населення на первинному рівні</t>
  </si>
  <si>
    <t xml:space="preserve">Оплата медичних послуг за Програмою державних гарантій медичного обслуговування населення </t>
  </si>
  <si>
    <t>Власні кошти</t>
  </si>
  <si>
    <t>3.</t>
  </si>
  <si>
    <t>Медичні послуги за договорами зі страховими компаніями</t>
  </si>
  <si>
    <t>Надання послуг відповідно до договорів зі страховими компаніями</t>
  </si>
  <si>
    <t>Страхові компанії</t>
  </si>
  <si>
    <t>4.</t>
  </si>
  <si>
    <t>Медичні послуги за договорами з юридичними особами</t>
  </si>
  <si>
    <t>Надання послуг відповідно договорів  з іншими юридичними особами</t>
  </si>
  <si>
    <t>Юридичні особи</t>
  </si>
  <si>
    <t>5.</t>
  </si>
  <si>
    <t>Проведення періодичних та передрейсових медичних оглядів</t>
  </si>
  <si>
    <t>Проведення періодичних та передрейсових медичних оглядів працівникам підприємств м. Кременчук</t>
  </si>
  <si>
    <t>Фізичні та юридичні особи</t>
  </si>
  <si>
    <t>6.</t>
  </si>
  <si>
    <t>Медичні послуги фізичним особам</t>
  </si>
  <si>
    <t>Розширення видів надання послуг за самостійними зверненнями громадян</t>
  </si>
  <si>
    <t>Фізичні особи</t>
  </si>
  <si>
    <t>7.</t>
  </si>
  <si>
    <t>Надання орендних послуг</t>
  </si>
  <si>
    <t>Здача приміщень та обладнання в оренду</t>
  </si>
  <si>
    <t>8.</t>
  </si>
  <si>
    <t>Надання інших послуг підприємством</t>
  </si>
  <si>
    <t>Організація паркування транспорту, діяльність санаторно-курортних закладів, роздрібна торгівля  фармацевтичними, медичними та згідно з угодами, надання допомоги хворим  вдома, інші види діяльності згідно Статуту КМП «Лікарня Придніпровська»</t>
  </si>
  <si>
    <t>Інші джерела фінансування</t>
  </si>
  <si>
    <t>Всього доходів</t>
  </si>
  <si>
    <t>у тому числі:</t>
  </si>
  <si>
    <t>Власні кошти підприємства</t>
  </si>
  <si>
    <t>ПОТОЧНІ ВИДАТКИ ПІДПРИЄМСТВА,  у тому числі</t>
  </si>
  <si>
    <t xml:space="preserve"> 1.</t>
  </si>
  <si>
    <t>Поточні видатки, у тому числі:</t>
  </si>
  <si>
    <t>Придбання предметів, матеріалів, обладнання та інвентарю</t>
  </si>
  <si>
    <t>Придбання медикаментів та перев’язувальних матеріалів</t>
  </si>
  <si>
    <t>2 208,8</t>
  </si>
  <si>
    <t>6 805,1</t>
  </si>
  <si>
    <t>Продукти харчування</t>
  </si>
  <si>
    <t>Оплата послуг (крім комунальних):</t>
  </si>
  <si>
    <t>Оплата комунальних послуг та енергоносіїв</t>
  </si>
  <si>
    <t>Видатки на оплату праці з нарахуваннями</t>
  </si>
  <si>
    <t>11 350,4</t>
  </si>
  <si>
    <t>Оплата післядипломної підготовки (перепідготовки) кадрів, видатки на відрядження</t>
  </si>
  <si>
    <t>Сплата податків, зборів, обов’язкових платежів, штрафів, пені тощо</t>
  </si>
  <si>
    <t>Всього поточні видатки</t>
  </si>
  <si>
    <t>у тому числі</t>
  </si>
  <si>
    <t>Капітальні видатки</t>
  </si>
  <si>
    <t xml:space="preserve">Реконструкція  патологоанатомічного відділення КМП «Лкарня Придніпровська» , розташованого в патологоанатомічному корпусі за адресою: вулиця лікаря О.Богаєвського, буд.60/1(площа 314.6 кв.м.)                       </t>
  </si>
  <si>
    <r>
      <t>Придбання обладнання для патологоанатомічного відділення (</t>
    </r>
    <r>
      <rPr>
        <sz val="10"/>
        <color theme="1"/>
        <rFont val="Times New Roman"/>
        <family val="1"/>
        <charset val="204"/>
      </rPr>
      <t>2019</t>
    </r>
    <r>
      <rPr>
        <sz val="12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стіл лабораторний анатомічний RD-3456, апарат гістологічної обробки тканин, станція заливки парафіном</t>
    </r>
    <r>
      <rPr>
        <sz val="12"/>
        <color theme="1"/>
        <rFont val="Times New Roman"/>
        <family val="1"/>
        <charset val="204"/>
      </rPr>
      <t xml:space="preserve">. </t>
    </r>
    <r>
      <rPr>
        <sz val="10"/>
        <color theme="1"/>
        <rFont val="Times New Roman"/>
        <family val="1"/>
        <charset val="204"/>
      </rPr>
      <t xml:space="preserve">мікротом ротаційний, робоча станція патолога,  архіватори патологогістологічного  матеріалу, холодильна камера, лампа хірургічна стельова, стіл секційний </t>
    </r>
    <r>
      <rPr>
        <sz val="10"/>
        <color rgb="FF000000"/>
        <rFont val="Times New Roman"/>
        <family val="1"/>
        <charset val="204"/>
      </rPr>
      <t xml:space="preserve">RD-A02, </t>
    </r>
    <r>
      <rPr>
        <sz val="10"/>
        <color theme="1"/>
        <rFont val="Times New Roman"/>
        <family val="1"/>
        <charset val="204"/>
      </rPr>
      <t xml:space="preserve">мийка анатомічно-лабораторна RD-1525, стіл для автопсій пересувний </t>
    </r>
    <r>
      <rPr>
        <sz val="10"/>
        <color rgb="FF000000"/>
        <rFont val="Times New Roman"/>
        <family val="1"/>
        <charset val="204"/>
      </rPr>
      <t xml:space="preserve">RD-SQ2, </t>
    </r>
    <r>
      <rPr>
        <sz val="10"/>
        <color theme="1"/>
        <rFont val="Times New Roman"/>
        <family val="1"/>
        <charset val="204"/>
      </rPr>
      <t xml:space="preserve">шафа для високотоксичних реактивів RD-G2424, шафа для зберігання біопсійного матеріалу RD-G1836, водяна баня, шафа витяжна «Віола»; 2020 - мікротом ротаційний, архіватори патологогістологічного  матеріалу, муфельна піч, лампа хірургічна стельова, стіл секційний </t>
    </r>
    <r>
      <rPr>
        <sz val="10"/>
        <color rgb="FF000000"/>
        <rFont val="Times New Roman"/>
        <family val="1"/>
        <charset val="204"/>
      </rPr>
      <t xml:space="preserve">RD-A02, </t>
    </r>
    <r>
      <rPr>
        <sz val="10"/>
        <color theme="1"/>
        <rFont val="Times New Roman"/>
        <family val="1"/>
        <charset val="204"/>
      </rPr>
      <t xml:space="preserve">стіл для автопсій пересувний </t>
    </r>
    <r>
      <rPr>
        <sz val="10"/>
        <color rgb="FF000000"/>
        <rFont val="Times New Roman"/>
        <family val="1"/>
        <charset val="204"/>
      </rPr>
      <t xml:space="preserve">RD-SQ2, </t>
    </r>
    <r>
      <rPr>
        <sz val="10"/>
        <color theme="1"/>
        <rFont val="Times New Roman"/>
        <family val="1"/>
        <charset val="204"/>
      </rPr>
      <t>водяна баня; 2021 - кондиціонер з бакочисткою)</t>
    </r>
  </si>
  <si>
    <t>Придбання комп’ютерної техніки та програмного забезпечення</t>
  </si>
  <si>
    <t xml:space="preserve">Проектування та встановлення автоматичної пожежної сигналізації та мовного оповіщення </t>
  </si>
  <si>
    <r>
      <t>Придбання предметів довгострокового використання для забезпечення робіт по програмам міста (ОМВК) (</t>
    </r>
    <r>
      <rPr>
        <sz val="10"/>
        <color theme="1"/>
        <rFont val="Times New Roman"/>
        <family val="1"/>
        <charset val="204"/>
      </rPr>
      <t>2019</t>
    </r>
    <r>
      <rPr>
        <sz val="12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система для прибирання</t>
    </r>
    <r>
      <rPr>
        <sz val="12"/>
        <color theme="1"/>
        <rFont val="Times New Roman"/>
        <family val="1"/>
        <charset val="204"/>
      </rPr>
      <t>, т</t>
    </r>
    <r>
      <rPr>
        <sz val="10"/>
        <color theme="1"/>
        <rFont val="Times New Roman"/>
        <family val="1"/>
        <charset val="204"/>
      </rPr>
      <t>умба медична</t>
    </r>
    <r>
      <rPr>
        <sz val="12"/>
        <color theme="1"/>
        <rFont val="Times New Roman"/>
        <family val="1"/>
        <charset val="204"/>
      </rPr>
      <t>)</t>
    </r>
  </si>
  <si>
    <t>Проектування та монтаж аварійної системи енергозабезпечення</t>
  </si>
  <si>
    <t xml:space="preserve">Виготовлення проектно-кошторисної документації по заміні ліфта в головному корпусі лікарні </t>
  </si>
  <si>
    <t xml:space="preserve">Заміна кабіни ліфта </t>
  </si>
  <si>
    <r>
      <t>Придбання предметів довгострокового використання  за програмою профілактики ВІЛ по спеціалізованому кабінету «Довіра» (</t>
    </r>
    <r>
      <rPr>
        <sz val="10"/>
        <color theme="1"/>
        <rFont val="Times New Roman"/>
        <family val="1"/>
        <charset val="204"/>
      </rPr>
      <t>2019</t>
    </r>
    <r>
      <rPr>
        <sz val="12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система для прибирання</t>
    </r>
    <r>
      <rPr>
        <sz val="12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кондиціонер з біофільтрацією</t>
    </r>
    <r>
      <rPr>
        <sz val="12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шафа для зберігання ліків, стіл маніпуляційний, центрифуга лабораторна, комп’ютер з принтером, термоконтейнер медичний;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2020 </t>
    </r>
    <r>
      <rPr>
        <sz val="12"/>
        <color theme="1"/>
        <rFont val="Times New Roman"/>
        <family val="1"/>
        <charset val="204"/>
      </rPr>
      <t xml:space="preserve">- </t>
    </r>
    <r>
      <rPr>
        <sz val="10"/>
        <color theme="1"/>
        <rFont val="Times New Roman"/>
        <family val="1"/>
        <charset val="204"/>
      </rPr>
      <t>кондиціонер з біофільтрацією, стіл маніпуляційний, комп’ютер з принтером; 2021 - кондиціонер з біофільтрацією</t>
    </r>
    <r>
      <rPr>
        <sz val="12"/>
        <color theme="1"/>
        <rFont val="Times New Roman"/>
        <family val="1"/>
        <charset val="204"/>
      </rPr>
      <t>)</t>
    </r>
  </si>
  <si>
    <t>Придбання предметів довгострокового використання  за програмою запобігання та лікування остеопорозу та його ускладнень «Легка хода» для дооблаштування хірургічного відділення (2019 - апарат ультразвукової діагностики з набором датчиків, рентгенівській апарат палатний, апарат штучної вентиляції легенів; апарат  «С-арм», інструменти довготривалого використання),апарат ударно-волнової терапії.</t>
  </si>
  <si>
    <t>Придбання предметів довгострокового використання  за програмою запобігання та лікування остеопорозу та його ускладнень «Легка хода» для впровадження денситометрії (2019 - апарат ультразвукової денситометрії, біохімічний аналізатор, 2020 - апарат рентгенологічної денситометрії)</t>
  </si>
  <si>
    <t>Капітальний ремонт хірургічного відділення з дооснащенням медичним та іншим обладнанням (площа  317,64 кв.м.)</t>
  </si>
  <si>
    <t xml:space="preserve"> Капітальний ремонт терапевтичного відділення з оснащенням медичним та іншим обладнанням (площа 534,9 кв.м.)</t>
  </si>
  <si>
    <t>Капітальний ремонт амбулаторно-поліклінічного відділення з переоблаштуванням покрівлі  (площа 1543,7 кв.м.)</t>
  </si>
  <si>
    <r>
      <t>Придбання предметів довгострокового використання для лікування хворих на катаракту (2020 - автоматичний рефрактометр /кератометр, ультразвуковий А-скан, лампа щілинна</t>
    </r>
    <r>
      <rPr>
        <sz val="11"/>
        <color rgb="FF000000"/>
        <rFont val="Times New Roman"/>
        <family val="1"/>
        <charset val="204"/>
      </rPr>
      <t>,</t>
    </r>
    <r>
      <rPr>
        <sz val="12"/>
        <color rgb="FF000000"/>
        <rFont val="Times New Roman"/>
        <family val="1"/>
        <charset val="204"/>
      </rPr>
      <t xml:space="preserve"> автоклав офтальмологічний, 2021 - </t>
    </r>
    <r>
      <rPr>
        <sz val="11"/>
        <color rgb="FF000000"/>
        <rFont val="Times New Roman"/>
        <family val="1"/>
        <charset val="204"/>
      </rPr>
      <t>мікроскоп операційний</t>
    </r>
    <r>
      <rPr>
        <sz val="12"/>
        <color rgb="FF000000"/>
        <rFont val="Times New Roman"/>
        <family val="1"/>
        <charset val="204"/>
      </rPr>
      <t>)</t>
    </r>
  </si>
  <si>
    <t>Придбання інструментів довготривалого використання</t>
  </si>
  <si>
    <t>Всього капітальні видатки</t>
  </si>
  <si>
    <t>Всього видатки</t>
  </si>
  <si>
    <t>І кв</t>
  </si>
  <si>
    <t>ІІ кв</t>
  </si>
  <si>
    <t>ІІІкв</t>
  </si>
  <si>
    <t>IV кв</t>
  </si>
  <si>
    <t>Додаток</t>
  </si>
  <si>
    <t>до  комплексної програми розвитку</t>
  </si>
  <si>
    <t>комунального медичного підприємства</t>
  </si>
  <si>
    <t>«Лікарня Придніпровська» на 2019 - 2021 роки</t>
  </si>
  <si>
    <t>Виконання</t>
  </si>
  <si>
    <t>комплексної програми розвитку комунального медичного підприємства</t>
  </si>
  <si>
    <t xml:space="preserve"> «Лікарня Придніпровська» на 2019-2021 роки станом на 01.10.2019 р.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</si>
</sst>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right" wrapText="1"/>
    </xf>
    <xf numFmtId="0" fontId="2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" fillId="0" borderId="14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6" fillId="0" borderId="9" xfId="0" applyNumberFormat="1" applyFont="1" applyBorder="1" applyAlignment="1">
      <alignment horizontal="right" wrapText="1"/>
    </xf>
    <xf numFmtId="164" fontId="12" fillId="0" borderId="9" xfId="0" applyNumberFormat="1" applyFont="1" applyBorder="1" applyAlignment="1">
      <alignment horizontal="center" wrapText="1"/>
    </xf>
    <xf numFmtId="164" fontId="0" fillId="0" borderId="0" xfId="0" applyNumberFormat="1"/>
    <xf numFmtId="2" fontId="3" fillId="0" borderId="9" xfId="0" applyNumberFormat="1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 wrapText="1"/>
    </xf>
    <xf numFmtId="164" fontId="14" fillId="0" borderId="0" xfId="0" applyNumberFormat="1" applyFont="1"/>
    <xf numFmtId="164" fontId="6" fillId="0" borderId="0" xfId="0" applyNumberFormat="1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2" fontId="7" fillId="0" borderId="15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wrapText="1"/>
    </xf>
    <xf numFmtId="4" fontId="7" fillId="0" borderId="15" xfId="0" applyNumberFormat="1" applyFont="1" applyBorder="1" applyAlignment="1">
      <alignment horizontal="center" wrapText="1"/>
    </xf>
    <xf numFmtId="4" fontId="7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wrapText="1"/>
    </xf>
    <xf numFmtId="164" fontId="7" fillId="0" borderId="15" xfId="0" applyNumberFormat="1" applyFont="1" applyBorder="1" applyAlignment="1">
      <alignment horizontal="center" vertical="top" wrapText="1"/>
    </xf>
    <xf numFmtId="164" fontId="7" fillId="0" borderId="15" xfId="0" applyNumberFormat="1" applyFont="1" applyBorder="1" applyAlignment="1">
      <alignment horizontal="center" wrapText="1"/>
    </xf>
    <xf numFmtId="165" fontId="7" fillId="0" borderId="15" xfId="0" applyNumberFormat="1" applyFont="1" applyBorder="1" applyAlignment="1">
      <alignment horizontal="center" vertical="top" wrapText="1"/>
    </xf>
    <xf numFmtId="165" fontId="7" fillId="0" borderId="15" xfId="0" applyNumberFormat="1" applyFont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right" wrapText="1"/>
    </xf>
    <xf numFmtId="0" fontId="1" fillId="0" borderId="1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2" fillId="0" borderId="1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right" vertical="top" wrapText="1"/>
    </xf>
    <xf numFmtId="0" fontId="9" fillId="0" borderId="14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2" fillId="0" borderId="1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4" fillId="0" borderId="1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164" fontId="12" fillId="0" borderId="1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wrapText="1"/>
    </xf>
    <xf numFmtId="164" fontId="12" fillId="0" borderId="3" xfId="0" applyNumberFormat="1" applyFont="1" applyBorder="1" applyAlignment="1">
      <alignment horizontal="center"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abSelected="1" view="pageBreakPreview" topLeftCell="A74" zoomScale="60" zoomScaleNormal="70" workbookViewId="0">
      <selection activeCell="H92" sqref="H92"/>
    </sheetView>
  </sheetViews>
  <sheetFormatPr defaultRowHeight="15"/>
  <cols>
    <col min="2" max="2" width="17.5703125" customWidth="1"/>
    <col min="3" max="3" width="16.140625" customWidth="1"/>
    <col min="4" max="4" width="15.140625" customWidth="1"/>
    <col min="5" max="5" width="18.85546875" customWidth="1"/>
    <col min="6" max="6" width="17.140625" customWidth="1"/>
    <col min="7" max="7" width="15.28515625" customWidth="1"/>
    <col min="8" max="8" width="14.42578125" customWidth="1"/>
    <col min="9" max="9" width="15" customWidth="1"/>
    <col min="10" max="11" width="15.85546875" customWidth="1"/>
    <col min="13" max="13" width="10.140625" bestFit="1" customWidth="1"/>
  </cols>
  <sheetData>
    <row r="1" spans="1:12" ht="15.75">
      <c r="A1" s="143" t="s">
        <v>82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5.75">
      <c r="A2" s="143" t="s">
        <v>83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5.75">
      <c r="A3" s="143" t="s">
        <v>84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ht="15.75">
      <c r="A4" s="143" t="s">
        <v>85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15.75">
      <c r="A5" s="143" t="s">
        <v>86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12" ht="15.75">
      <c r="A6" s="143" t="s">
        <v>87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2" ht="16.5" thickBot="1">
      <c r="A7" s="143" t="s">
        <v>88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47.25" customHeight="1" thickBot="1">
      <c r="A8" s="49" t="s">
        <v>0</v>
      </c>
      <c r="B8" s="51" t="s">
        <v>1</v>
      </c>
      <c r="C8" s="52"/>
      <c r="D8" s="66" t="s">
        <v>2</v>
      </c>
      <c r="E8" s="49" t="s">
        <v>3</v>
      </c>
      <c r="F8" s="1" t="s">
        <v>4</v>
      </c>
      <c r="G8" s="22" t="s">
        <v>6</v>
      </c>
      <c r="H8" s="23"/>
      <c r="I8" s="23"/>
      <c r="J8" s="24"/>
      <c r="K8" s="24"/>
    </row>
    <row r="9" spans="1:12" ht="15.75" customHeight="1">
      <c r="A9" s="63"/>
      <c r="B9" s="64"/>
      <c r="C9" s="65"/>
      <c r="D9" s="67"/>
      <c r="E9" s="63"/>
      <c r="F9" s="2" t="s">
        <v>5</v>
      </c>
      <c r="G9" s="5">
        <v>2019</v>
      </c>
      <c r="H9" s="5" t="s">
        <v>78</v>
      </c>
      <c r="I9" s="5" t="s">
        <v>79</v>
      </c>
      <c r="J9" s="5" t="s">
        <v>80</v>
      </c>
      <c r="K9" s="5" t="s">
        <v>81</v>
      </c>
    </row>
    <row r="10" spans="1:12" ht="16.5" thickBot="1">
      <c r="A10" s="50"/>
      <c r="B10" s="53"/>
      <c r="C10" s="54"/>
      <c r="D10" s="68"/>
      <c r="E10" s="50"/>
      <c r="F10" s="3"/>
      <c r="G10" s="6" t="s">
        <v>7</v>
      </c>
      <c r="H10" s="6"/>
      <c r="I10" s="6"/>
      <c r="J10" s="6"/>
      <c r="K10" s="6"/>
    </row>
    <row r="11" spans="1:12" ht="16.5" customHeight="1" thickBot="1">
      <c r="A11" s="69" t="s">
        <v>8</v>
      </c>
      <c r="B11" s="70"/>
      <c r="C11" s="70"/>
      <c r="D11" s="70"/>
      <c r="E11" s="71"/>
      <c r="F11" s="4"/>
      <c r="G11" s="4"/>
      <c r="H11" s="4"/>
      <c r="I11" s="4"/>
      <c r="J11" s="4"/>
      <c r="K11" s="4"/>
    </row>
    <row r="12" spans="1:12" ht="30" customHeight="1" thickBot="1">
      <c r="A12" s="7" t="s">
        <v>9</v>
      </c>
      <c r="B12" s="47" t="s">
        <v>10</v>
      </c>
      <c r="C12" s="48"/>
      <c r="D12" s="8" t="s">
        <v>11</v>
      </c>
      <c r="E12" s="25">
        <v>2019</v>
      </c>
      <c r="F12" s="8" t="s">
        <v>12</v>
      </c>
      <c r="G12" s="9">
        <v>20909.400000000001</v>
      </c>
      <c r="H12" s="9">
        <f>3609.6+190</f>
        <v>3799.6</v>
      </c>
      <c r="I12" s="26">
        <f>5217.6+190-H12</f>
        <v>1608.0000000000005</v>
      </c>
      <c r="J12" s="26">
        <f>6479.1-I12-H12+190</f>
        <v>1261.5000000000005</v>
      </c>
      <c r="K12" s="9"/>
      <c r="L12" s="32"/>
    </row>
    <row r="13" spans="1:12" ht="30" customHeight="1" thickBot="1">
      <c r="A13" s="49" t="s">
        <v>13</v>
      </c>
      <c r="B13" s="51" t="s">
        <v>14</v>
      </c>
      <c r="C13" s="52"/>
      <c r="D13" s="55" t="s">
        <v>15</v>
      </c>
      <c r="E13" s="25">
        <v>2019</v>
      </c>
      <c r="F13" s="55" t="s">
        <v>16</v>
      </c>
      <c r="G13" s="57">
        <v>1640</v>
      </c>
      <c r="H13" s="57">
        <v>386.2</v>
      </c>
      <c r="I13" s="57">
        <f>838.6-H13</f>
        <v>452.40000000000003</v>
      </c>
      <c r="J13" s="57">
        <f>479.9</f>
        <v>479.9</v>
      </c>
      <c r="K13" s="57"/>
      <c r="L13" s="32"/>
    </row>
    <row r="14" spans="1:12" ht="35.25" customHeight="1" thickBot="1">
      <c r="A14" s="50"/>
      <c r="B14" s="53"/>
      <c r="C14" s="54"/>
      <c r="D14" s="56"/>
      <c r="E14" s="25">
        <v>2019</v>
      </c>
      <c r="F14" s="56"/>
      <c r="G14" s="58"/>
      <c r="H14" s="58"/>
      <c r="I14" s="58"/>
      <c r="J14" s="58"/>
      <c r="K14" s="58"/>
      <c r="L14" s="32"/>
    </row>
    <row r="15" spans="1:12" ht="30" customHeight="1" thickBot="1">
      <c r="A15" s="49" t="s">
        <v>17</v>
      </c>
      <c r="B15" s="51" t="s">
        <v>18</v>
      </c>
      <c r="C15" s="52"/>
      <c r="D15" s="55" t="s">
        <v>19</v>
      </c>
      <c r="E15" s="25">
        <v>2019</v>
      </c>
      <c r="F15" s="55" t="s">
        <v>20</v>
      </c>
      <c r="G15" s="57">
        <v>11298.6</v>
      </c>
      <c r="H15" s="57">
        <v>1210.5999999999999</v>
      </c>
      <c r="I15" s="59">
        <f>(979679.5+1381888.41)/1000-H15</f>
        <v>1150.9679100000003</v>
      </c>
      <c r="J15" s="61">
        <f>(1314737.16+1908350.84)/1000-I15-H15</f>
        <v>861.52008999999998</v>
      </c>
      <c r="K15" s="57"/>
      <c r="L15" s="32"/>
    </row>
    <row r="16" spans="1:12" ht="30" customHeight="1" thickBot="1">
      <c r="A16" s="50"/>
      <c r="B16" s="53"/>
      <c r="C16" s="54"/>
      <c r="D16" s="56"/>
      <c r="E16" s="25">
        <v>2019</v>
      </c>
      <c r="F16" s="56"/>
      <c r="G16" s="58"/>
      <c r="H16" s="58"/>
      <c r="I16" s="60"/>
      <c r="J16" s="62"/>
      <c r="K16" s="58"/>
      <c r="L16" s="32"/>
    </row>
    <row r="17" spans="1:13" ht="30" customHeight="1" thickBot="1">
      <c r="A17" s="11" t="s">
        <v>21</v>
      </c>
      <c r="B17" s="72" t="s">
        <v>22</v>
      </c>
      <c r="C17" s="73"/>
      <c r="D17" s="10" t="s">
        <v>23</v>
      </c>
      <c r="E17" s="25">
        <v>2019</v>
      </c>
      <c r="F17" s="10" t="s">
        <v>24</v>
      </c>
      <c r="G17" s="9">
        <v>530.1</v>
      </c>
      <c r="H17" s="9">
        <v>74.8</v>
      </c>
      <c r="I17" s="30">
        <f>262.6+1821.3-H17</f>
        <v>2009.1000000000001</v>
      </c>
      <c r="J17" s="26">
        <f>(485.9+4468.3)-H17-I17</f>
        <v>2870.2999999999993</v>
      </c>
      <c r="K17" s="9"/>
      <c r="L17" s="32"/>
    </row>
    <row r="18" spans="1:13" ht="30" customHeight="1" thickBot="1">
      <c r="A18" s="11" t="s">
        <v>25</v>
      </c>
      <c r="B18" s="72" t="s">
        <v>26</v>
      </c>
      <c r="C18" s="73"/>
      <c r="D18" s="10" t="s">
        <v>27</v>
      </c>
      <c r="E18" s="25">
        <v>2019</v>
      </c>
      <c r="F18" s="10" t="s">
        <v>28</v>
      </c>
      <c r="G18" s="9">
        <v>2024.4</v>
      </c>
      <c r="H18" s="9">
        <v>374.5</v>
      </c>
      <c r="I18" s="26">
        <f>783.2-H18</f>
        <v>408.70000000000005</v>
      </c>
      <c r="J18" s="26">
        <f>1092.1-H18-I18</f>
        <v>308.89999999999986</v>
      </c>
      <c r="K18" s="9"/>
      <c r="L18" s="32"/>
    </row>
    <row r="19" spans="1:13" ht="30" customHeight="1" thickBot="1">
      <c r="A19" s="11" t="s">
        <v>29</v>
      </c>
      <c r="B19" s="72" t="s">
        <v>30</v>
      </c>
      <c r="C19" s="73"/>
      <c r="D19" s="10" t="s">
        <v>31</v>
      </c>
      <c r="E19" s="25">
        <v>2019</v>
      </c>
      <c r="F19" s="10" t="s">
        <v>32</v>
      </c>
      <c r="G19" s="9">
        <v>821.2</v>
      </c>
      <c r="H19" s="9">
        <v>189.3</v>
      </c>
      <c r="I19" s="26">
        <f>(372367.64+13886.14)/1000-H19</f>
        <v>196.95377999999999</v>
      </c>
      <c r="J19" s="26">
        <f>(559955.76+24269.14)/1000-I19-H19</f>
        <v>197.97112000000004</v>
      </c>
      <c r="K19" s="9"/>
      <c r="L19" s="32"/>
    </row>
    <row r="20" spans="1:13" ht="30" customHeight="1" thickBot="1">
      <c r="A20" s="11" t="s">
        <v>33</v>
      </c>
      <c r="B20" s="72" t="s">
        <v>34</v>
      </c>
      <c r="C20" s="73"/>
      <c r="D20" s="10" t="s">
        <v>35</v>
      </c>
      <c r="E20" s="25">
        <v>2019</v>
      </c>
      <c r="F20" s="10" t="s">
        <v>28</v>
      </c>
      <c r="G20" s="9">
        <v>127.3</v>
      </c>
      <c r="H20" s="9">
        <v>29</v>
      </c>
      <c r="I20" s="26">
        <f>54700.27/1000-H20</f>
        <v>25.700269999999996</v>
      </c>
      <c r="J20" s="30">
        <f>78126.16/1000-I20-H20</f>
        <v>23.425890000000003</v>
      </c>
      <c r="K20" s="9"/>
      <c r="L20" s="32"/>
    </row>
    <row r="21" spans="1:13" ht="30" customHeight="1" thickBot="1">
      <c r="A21" s="11" t="s">
        <v>36</v>
      </c>
      <c r="B21" s="72" t="s">
        <v>37</v>
      </c>
      <c r="C21" s="73"/>
      <c r="D21" s="10" t="s">
        <v>38</v>
      </c>
      <c r="E21" s="25">
        <v>2019</v>
      </c>
      <c r="F21" s="10" t="s">
        <v>39</v>
      </c>
      <c r="G21" s="9">
        <v>640.1</v>
      </c>
      <c r="H21" s="9">
        <f>92.2+158.7</f>
        <v>250.89999999999998</v>
      </c>
      <c r="I21" s="9">
        <f>2.9+8.1+142.2+11.2+216.4-H21</f>
        <v>129.89999999999998</v>
      </c>
      <c r="J21" s="26">
        <f>(2914.25+17840.8+173438.08+16854.7+271838.68)/1000-I21-H21</f>
        <v>102.08651000000003</v>
      </c>
      <c r="K21" s="9"/>
      <c r="L21" s="32"/>
    </row>
    <row r="22" spans="1:13" ht="30" customHeight="1" thickBot="1">
      <c r="A22" s="78" t="s">
        <v>40</v>
      </c>
      <c r="B22" s="79"/>
      <c r="C22" s="79"/>
      <c r="D22" s="79"/>
      <c r="E22" s="80"/>
      <c r="F22" s="10"/>
      <c r="G22" s="12">
        <v>37991.1</v>
      </c>
      <c r="H22" s="12">
        <f>SUM(H12:H21)</f>
        <v>6314.9</v>
      </c>
      <c r="I22" s="31">
        <f>SUM(I12:I21)</f>
        <v>5981.7219600000008</v>
      </c>
      <c r="J22" s="31">
        <f t="shared" ref="J22:K22" si="0">SUM(J12:J21)</f>
        <v>6105.6036100000001</v>
      </c>
      <c r="K22" s="12">
        <f t="shared" si="0"/>
        <v>0</v>
      </c>
      <c r="L22" s="32"/>
    </row>
    <row r="23" spans="1:13" ht="30" customHeight="1" thickBot="1">
      <c r="A23" s="81" t="s">
        <v>41</v>
      </c>
      <c r="B23" s="82"/>
      <c r="C23" s="82"/>
      <c r="D23" s="82"/>
      <c r="E23" s="83"/>
      <c r="F23" s="13" t="s">
        <v>12</v>
      </c>
      <c r="G23" s="12">
        <v>20909.400000000001</v>
      </c>
      <c r="H23" s="12">
        <f>H12</f>
        <v>3799.6</v>
      </c>
      <c r="I23" s="31">
        <f t="shared" ref="I23:K23" si="1">I12</f>
        <v>1608.0000000000005</v>
      </c>
      <c r="J23" s="12">
        <f t="shared" si="1"/>
        <v>1261.5000000000005</v>
      </c>
      <c r="K23" s="12">
        <f t="shared" si="1"/>
        <v>0</v>
      </c>
      <c r="L23" s="32"/>
    </row>
    <row r="24" spans="1:13" ht="30" customHeight="1" thickBot="1">
      <c r="A24" s="84"/>
      <c r="B24" s="85"/>
      <c r="C24" s="85"/>
      <c r="D24" s="85"/>
      <c r="E24" s="86"/>
      <c r="F24" s="13" t="s">
        <v>42</v>
      </c>
      <c r="G24" s="12">
        <v>17081.7</v>
      </c>
      <c r="H24" s="12">
        <f>SUM(H13:H21)</f>
        <v>2515.3000000000002</v>
      </c>
      <c r="I24" s="31">
        <f>SUM(I13:I21)</f>
        <v>4373.7219599999999</v>
      </c>
      <c r="J24" s="31">
        <f>SUM(J13:J21)</f>
        <v>4844.1036099999992</v>
      </c>
      <c r="K24" s="12">
        <f>SUM(K13:K21)</f>
        <v>0</v>
      </c>
      <c r="L24" s="32"/>
      <c r="M24" s="33"/>
    </row>
    <row r="25" spans="1:13" ht="30" customHeight="1" thickBot="1">
      <c r="A25" s="69" t="s">
        <v>43</v>
      </c>
      <c r="B25" s="70"/>
      <c r="C25" s="70"/>
      <c r="D25" s="70"/>
      <c r="E25" s="87"/>
      <c r="F25" s="74"/>
      <c r="G25" s="75"/>
      <c r="H25" s="75"/>
      <c r="I25" s="75"/>
      <c r="J25" s="76"/>
      <c r="L25" s="32"/>
    </row>
    <row r="26" spans="1:13" ht="30" customHeight="1" thickBot="1">
      <c r="A26" s="49" t="s">
        <v>44</v>
      </c>
      <c r="B26" s="51" t="s">
        <v>45</v>
      </c>
      <c r="C26" s="52"/>
      <c r="D26" s="49" t="s">
        <v>46</v>
      </c>
      <c r="E26" s="34">
        <v>2019</v>
      </c>
      <c r="F26" s="35" t="s">
        <v>12</v>
      </c>
      <c r="G26" s="36">
        <v>324.8</v>
      </c>
      <c r="H26" s="36"/>
      <c r="I26" s="36"/>
      <c r="J26" s="42">
        <v>10</v>
      </c>
      <c r="K26" s="36"/>
      <c r="L26" s="32"/>
    </row>
    <row r="27" spans="1:13" ht="35.25" customHeight="1" thickBot="1">
      <c r="A27" s="63"/>
      <c r="B27" s="64"/>
      <c r="C27" s="65"/>
      <c r="D27" s="50"/>
      <c r="E27" s="34">
        <v>2019</v>
      </c>
      <c r="F27" s="35" t="s">
        <v>42</v>
      </c>
      <c r="G27" s="36">
        <v>543.20000000000005</v>
      </c>
      <c r="H27" s="37">
        <v>308.5</v>
      </c>
      <c r="I27" s="37">
        <f>455.6+60.7-H27</f>
        <v>207.80000000000007</v>
      </c>
      <c r="J27" s="42">
        <f>874.1-H27-I27</f>
        <v>357.79999999999995</v>
      </c>
      <c r="K27" s="36"/>
      <c r="L27" s="32"/>
    </row>
    <row r="28" spans="1:13" ht="30" customHeight="1" thickBot="1">
      <c r="A28" s="63"/>
      <c r="B28" s="64"/>
      <c r="C28" s="65"/>
      <c r="D28" s="49" t="s">
        <v>47</v>
      </c>
      <c r="E28" s="34">
        <v>2019</v>
      </c>
      <c r="F28" s="35" t="s">
        <v>12</v>
      </c>
      <c r="G28" s="38" t="s">
        <v>48</v>
      </c>
      <c r="H28" s="38">
        <v>139.4</v>
      </c>
      <c r="I28" s="39">
        <f>314-H28</f>
        <v>174.6</v>
      </c>
      <c r="J28" s="43">
        <f>485.8-H28-I28</f>
        <v>171.79999999999998</v>
      </c>
      <c r="K28" s="38"/>
      <c r="L28" s="32"/>
    </row>
    <row r="29" spans="1:13" ht="34.5" customHeight="1" thickBot="1">
      <c r="A29" s="63"/>
      <c r="B29" s="64"/>
      <c r="C29" s="65"/>
      <c r="D29" s="50"/>
      <c r="E29" s="34">
        <v>2019</v>
      </c>
      <c r="F29" s="35" t="s">
        <v>42</v>
      </c>
      <c r="G29" s="38" t="s">
        <v>49</v>
      </c>
      <c r="H29" s="38">
        <v>531.5</v>
      </c>
      <c r="I29" s="39">
        <f>968.4+10.5-H29</f>
        <v>447.4</v>
      </c>
      <c r="J29" s="43">
        <f>1435.9-H29-I29</f>
        <v>457.00000000000011</v>
      </c>
      <c r="K29" s="38"/>
      <c r="L29" s="32"/>
    </row>
    <row r="30" spans="1:13" ht="39" customHeight="1" thickBot="1">
      <c r="A30" s="63"/>
      <c r="B30" s="64"/>
      <c r="C30" s="65"/>
      <c r="D30" s="4" t="s">
        <v>50</v>
      </c>
      <c r="E30" s="34">
        <v>2019</v>
      </c>
      <c r="F30" s="35" t="s">
        <v>42</v>
      </c>
      <c r="G30" s="36">
        <v>804.3</v>
      </c>
      <c r="H30" s="36">
        <v>166.8</v>
      </c>
      <c r="I30" s="36">
        <f>301+8.4-H30</f>
        <v>142.59999999999997</v>
      </c>
      <c r="J30" s="36">
        <f>468.8-I30-H30</f>
        <v>159.40000000000003</v>
      </c>
      <c r="K30" s="36"/>
      <c r="L30" s="32"/>
    </row>
    <row r="31" spans="1:13" ht="30" customHeight="1" thickBot="1">
      <c r="A31" s="63"/>
      <c r="B31" s="64"/>
      <c r="C31" s="65"/>
      <c r="D31" s="49" t="s">
        <v>51</v>
      </c>
      <c r="E31" s="34">
        <v>2019</v>
      </c>
      <c r="F31" s="35" t="s">
        <v>12</v>
      </c>
      <c r="G31" s="38">
        <v>157.5</v>
      </c>
      <c r="H31" s="38">
        <v>57.3</v>
      </c>
      <c r="I31" s="38">
        <f>128.6-H31</f>
        <v>71.3</v>
      </c>
      <c r="J31" s="38">
        <f>160.3-H31-I31</f>
        <v>31.700000000000017</v>
      </c>
      <c r="K31" s="38"/>
      <c r="L31" s="32"/>
    </row>
    <row r="32" spans="1:13" ht="30" customHeight="1" thickBot="1">
      <c r="A32" s="63"/>
      <c r="B32" s="64"/>
      <c r="C32" s="65"/>
      <c r="D32" s="50"/>
      <c r="E32" s="34">
        <v>2019</v>
      </c>
      <c r="F32" s="35" t="s">
        <v>42</v>
      </c>
      <c r="G32" s="36">
        <v>552.1</v>
      </c>
      <c r="H32" s="36">
        <v>140.19999999999999</v>
      </c>
      <c r="I32" s="36">
        <f>160.3+138.2-12.1-H32</f>
        <v>146.19999999999999</v>
      </c>
      <c r="J32" s="36">
        <f>413.3-H32-I32-12.1</f>
        <v>114.80000000000004</v>
      </c>
      <c r="K32" s="36"/>
      <c r="L32" s="32"/>
    </row>
    <row r="33" spans="1:14" ht="30" customHeight="1" thickBot="1">
      <c r="A33" s="63"/>
      <c r="B33" s="64"/>
      <c r="C33" s="65"/>
      <c r="D33" s="49" t="s">
        <v>52</v>
      </c>
      <c r="E33" s="34">
        <v>2019</v>
      </c>
      <c r="F33" s="35" t="s">
        <v>12</v>
      </c>
      <c r="G33" s="40">
        <v>2117.1</v>
      </c>
      <c r="H33" s="38">
        <v>711.2</v>
      </c>
      <c r="I33" s="40">
        <f>856.4+29.7+111.3-H33</f>
        <v>286.19999999999993</v>
      </c>
      <c r="J33" s="44">
        <f>(1006.4+53.1+210.3)-H33-I33</f>
        <v>272.39999999999998</v>
      </c>
      <c r="K33" s="40"/>
      <c r="L33" s="32"/>
    </row>
    <row r="34" spans="1:14" ht="37.5" customHeight="1" thickBot="1">
      <c r="A34" s="63"/>
      <c r="B34" s="64"/>
      <c r="C34" s="65"/>
      <c r="D34" s="50"/>
      <c r="E34" s="34">
        <v>2019</v>
      </c>
      <c r="F34" s="35" t="s">
        <v>42</v>
      </c>
      <c r="G34" s="36">
        <v>122.9</v>
      </c>
      <c r="H34" s="36">
        <v>4.5</v>
      </c>
      <c r="I34" s="36">
        <f>1.5+6.7+9.4-H34</f>
        <v>13.100000000000001</v>
      </c>
      <c r="J34" s="44">
        <f>(54.1+8.3+34.2)-H34-I34</f>
        <v>79</v>
      </c>
      <c r="K34" s="36"/>
      <c r="L34" s="32"/>
    </row>
    <row r="35" spans="1:14" ht="30" customHeight="1" thickBot="1">
      <c r="A35" s="63"/>
      <c r="B35" s="64"/>
      <c r="C35" s="65"/>
      <c r="D35" s="49" t="s">
        <v>53</v>
      </c>
      <c r="E35" s="34">
        <v>2019</v>
      </c>
      <c r="F35" s="35" t="s">
        <v>12</v>
      </c>
      <c r="G35" s="38" t="s">
        <v>54</v>
      </c>
      <c r="H35" s="39">
        <v>2701.7</v>
      </c>
      <c r="I35" s="39">
        <f>3097.6+679.9-H35</f>
        <v>1075.8000000000002</v>
      </c>
      <c r="J35" s="45">
        <f>(3732170.81+821077.19)/1000-H35-I35</f>
        <v>775.74799999999959</v>
      </c>
      <c r="K35" s="38"/>
      <c r="L35" s="32"/>
    </row>
    <row r="36" spans="1:14" ht="39.75" customHeight="1" thickBot="1">
      <c r="A36" s="63"/>
      <c r="B36" s="64"/>
      <c r="C36" s="65"/>
      <c r="D36" s="50"/>
      <c r="E36" s="34">
        <v>2019</v>
      </c>
      <c r="F36" s="35" t="s">
        <v>42</v>
      </c>
      <c r="G36" s="39">
        <v>6992.6</v>
      </c>
      <c r="H36" s="38">
        <f>1201.1+7</f>
        <v>1208.0999999999999</v>
      </c>
      <c r="I36" s="38">
        <f>3507.2+778.8+9.9+4.2-H36</f>
        <v>3091.9999999999995</v>
      </c>
      <c r="J36" s="38">
        <f>(6358+1400.3+16.2)-H36-I36</f>
        <v>3474.4</v>
      </c>
      <c r="K36" s="38"/>
      <c r="L36" s="32"/>
    </row>
    <row r="37" spans="1:14" ht="30" customHeight="1" thickBot="1">
      <c r="A37" s="63"/>
      <c r="B37" s="64"/>
      <c r="C37" s="65"/>
      <c r="D37" s="49" t="s">
        <v>55</v>
      </c>
      <c r="E37" s="34">
        <v>2019</v>
      </c>
      <c r="F37" s="93" t="s">
        <v>12</v>
      </c>
      <c r="G37" s="77">
        <v>60</v>
      </c>
      <c r="H37" s="77"/>
      <c r="I37" s="77"/>
      <c r="J37" s="77"/>
      <c r="K37" s="77"/>
      <c r="L37" s="32"/>
    </row>
    <row r="38" spans="1:14" ht="30" customHeight="1" thickBot="1">
      <c r="A38" s="63"/>
      <c r="B38" s="64"/>
      <c r="C38" s="65"/>
      <c r="D38" s="63"/>
      <c r="E38" s="34">
        <v>2019</v>
      </c>
      <c r="F38" s="93"/>
      <c r="G38" s="77"/>
      <c r="H38" s="77"/>
      <c r="I38" s="77"/>
      <c r="J38" s="77"/>
      <c r="K38" s="77"/>
      <c r="L38" s="32"/>
    </row>
    <row r="39" spans="1:14" ht="30" customHeight="1" thickBot="1">
      <c r="A39" s="63"/>
      <c r="B39" s="64"/>
      <c r="C39" s="65"/>
      <c r="D39" s="50"/>
      <c r="E39" s="34">
        <v>2019</v>
      </c>
      <c r="F39" s="35" t="s">
        <v>42</v>
      </c>
      <c r="G39" s="41">
        <v>43.8</v>
      </c>
      <c r="H39" s="41">
        <v>1</v>
      </c>
      <c r="I39" s="41">
        <f>12.1-H39</f>
        <v>11.1</v>
      </c>
      <c r="J39" s="41"/>
      <c r="K39" s="41"/>
      <c r="L39" s="32"/>
    </row>
    <row r="40" spans="1:14" ht="30" customHeight="1" thickBot="1">
      <c r="A40" s="50"/>
      <c r="B40" s="53"/>
      <c r="C40" s="54"/>
      <c r="D40" s="4" t="s">
        <v>56</v>
      </c>
      <c r="E40" s="34">
        <v>2019</v>
      </c>
      <c r="F40" s="35" t="s">
        <v>42</v>
      </c>
      <c r="G40" s="36">
        <v>74.900000000000006</v>
      </c>
      <c r="H40" s="36">
        <v>17.8</v>
      </c>
      <c r="I40" s="36">
        <f>23.4-H40</f>
        <v>5.5999999999999979</v>
      </c>
      <c r="J40" s="36">
        <f>44.9-H40-I40</f>
        <v>21.5</v>
      </c>
      <c r="K40" s="36"/>
      <c r="L40" s="32"/>
    </row>
    <row r="41" spans="1:14" ht="30" customHeight="1" thickBot="1">
      <c r="A41" s="81" t="s">
        <v>57</v>
      </c>
      <c r="B41" s="82"/>
      <c r="C41" s="82"/>
      <c r="D41" s="82"/>
      <c r="E41" s="82"/>
      <c r="F41" s="83"/>
      <c r="G41" s="15">
        <v>32157.5</v>
      </c>
      <c r="H41" s="15">
        <f>SUM(H26:H40)</f>
        <v>5988.0000000000009</v>
      </c>
      <c r="I41" s="15">
        <f t="shared" ref="I41:K41" si="2">SUM(I26:I40)</f>
        <v>5673.7000000000007</v>
      </c>
      <c r="J41" s="15">
        <f t="shared" si="2"/>
        <v>5925.5479999999998</v>
      </c>
      <c r="K41" s="15">
        <f t="shared" si="2"/>
        <v>0</v>
      </c>
      <c r="L41" s="32"/>
      <c r="M41" s="29"/>
    </row>
    <row r="42" spans="1:14" ht="30" customHeight="1" thickBot="1">
      <c r="A42" s="88" t="s">
        <v>58</v>
      </c>
      <c r="B42" s="89"/>
      <c r="C42" s="89"/>
      <c r="D42" s="90"/>
      <c r="E42" s="91"/>
      <c r="F42" s="92"/>
      <c r="G42" s="15">
        <v>16218.6</v>
      </c>
      <c r="H42" s="27">
        <f>H26+H28+H31+H33+H35+H37</f>
        <v>3609.6</v>
      </c>
      <c r="I42" s="27">
        <f>I26+I28+I31+I33+I35+I37</f>
        <v>1607.9</v>
      </c>
      <c r="J42" s="27">
        <f t="shared" ref="J42:K42" si="3">J26+J28+J31+J33+J35+J37</f>
        <v>1261.6479999999997</v>
      </c>
      <c r="K42" s="27">
        <f t="shared" si="3"/>
        <v>0</v>
      </c>
      <c r="L42" s="32"/>
      <c r="M42" s="46"/>
    </row>
    <row r="43" spans="1:14" ht="30" customHeight="1" thickBot="1">
      <c r="A43" s="72"/>
      <c r="B43" s="130"/>
      <c r="C43" s="130"/>
      <c r="D43" s="73"/>
      <c r="E43" s="91"/>
      <c r="F43" s="92"/>
      <c r="G43" s="15">
        <v>15938.9</v>
      </c>
      <c r="H43" s="27">
        <f>H27+H29+H30+H32+H34+H36+H39+H40</f>
        <v>2378.4</v>
      </c>
      <c r="I43" s="27">
        <f t="shared" ref="I43:K43" si="4">I27+I29+I30+I32+I34+I36+I39+I40</f>
        <v>4065.7999999999993</v>
      </c>
      <c r="J43" s="27">
        <f t="shared" si="4"/>
        <v>4663.8999999999996</v>
      </c>
      <c r="K43" s="27">
        <f t="shared" si="4"/>
        <v>0</v>
      </c>
      <c r="L43" s="32"/>
      <c r="M43" s="46"/>
      <c r="N43" s="29"/>
    </row>
    <row r="44" spans="1:14" ht="30" customHeight="1" thickBot="1">
      <c r="A44" s="49" t="s">
        <v>13</v>
      </c>
      <c r="B44" s="4" t="s">
        <v>59</v>
      </c>
      <c r="C44" s="84"/>
      <c r="D44" s="86"/>
      <c r="E44" s="10"/>
      <c r="F44" s="10"/>
      <c r="G44" s="16"/>
      <c r="H44" s="16"/>
      <c r="I44" s="16"/>
      <c r="J44" s="16"/>
      <c r="K44" s="16"/>
      <c r="L44" s="32"/>
    </row>
    <row r="45" spans="1:14" ht="30" customHeight="1" thickBot="1">
      <c r="A45" s="63"/>
      <c r="B45" s="49" t="s">
        <v>41</v>
      </c>
      <c r="C45" s="94" t="s">
        <v>60</v>
      </c>
      <c r="D45" s="95"/>
      <c r="E45" s="25">
        <v>2019</v>
      </c>
      <c r="F45" s="10" t="s">
        <v>12</v>
      </c>
      <c r="G45" s="9">
        <v>1667.2</v>
      </c>
      <c r="H45" s="9"/>
      <c r="I45" s="9"/>
      <c r="J45" s="9"/>
      <c r="K45" s="9"/>
      <c r="L45" s="32"/>
    </row>
    <row r="46" spans="1:14" ht="30" customHeight="1" thickBot="1">
      <c r="A46" s="63"/>
      <c r="B46" s="63"/>
      <c r="C46" s="96"/>
      <c r="D46" s="97"/>
      <c r="E46" s="25">
        <v>2019</v>
      </c>
      <c r="F46" s="10" t="s">
        <v>42</v>
      </c>
      <c r="G46" s="9"/>
      <c r="H46" s="9"/>
      <c r="I46" s="9"/>
      <c r="J46" s="9"/>
      <c r="K46" s="9"/>
      <c r="L46" s="32"/>
    </row>
    <row r="47" spans="1:14" ht="30" customHeight="1" thickBot="1">
      <c r="A47" s="63"/>
      <c r="B47" s="63"/>
      <c r="C47" s="98" t="s">
        <v>61</v>
      </c>
      <c r="D47" s="99"/>
      <c r="E47" s="25">
        <v>2019</v>
      </c>
      <c r="F47" s="10" t="s">
        <v>12</v>
      </c>
      <c r="G47" s="9">
        <v>632.9</v>
      </c>
      <c r="H47" s="9"/>
      <c r="I47" s="9"/>
      <c r="J47" s="9"/>
      <c r="K47" s="9"/>
      <c r="L47" s="32"/>
    </row>
    <row r="48" spans="1:14" ht="30" customHeight="1" thickBot="1">
      <c r="A48" s="63"/>
      <c r="B48" s="63"/>
      <c r="C48" s="94" t="s">
        <v>62</v>
      </c>
      <c r="D48" s="95"/>
      <c r="E48" s="25">
        <v>2019</v>
      </c>
      <c r="F48" s="10" t="s">
        <v>12</v>
      </c>
      <c r="G48" s="9">
        <v>250</v>
      </c>
      <c r="H48" s="26">
        <v>190</v>
      </c>
      <c r="I48" s="9"/>
      <c r="J48" s="9"/>
      <c r="K48" s="9"/>
      <c r="L48" s="32"/>
    </row>
    <row r="49" spans="1:12" ht="30" customHeight="1" thickBot="1">
      <c r="A49" s="63"/>
      <c r="B49" s="63"/>
      <c r="C49" s="96"/>
      <c r="D49" s="97"/>
      <c r="E49" s="25">
        <v>2019</v>
      </c>
      <c r="F49" s="10" t="s">
        <v>42</v>
      </c>
      <c r="G49" s="9">
        <v>120</v>
      </c>
      <c r="H49" s="9">
        <v>34.200000000000003</v>
      </c>
      <c r="I49" s="9"/>
      <c r="J49" s="9"/>
      <c r="K49" s="9"/>
      <c r="L49" s="32"/>
    </row>
    <row r="50" spans="1:12" ht="30" customHeight="1" thickBot="1">
      <c r="A50" s="63"/>
      <c r="B50" s="63"/>
      <c r="C50" s="94" t="s">
        <v>63</v>
      </c>
      <c r="D50" s="95"/>
      <c r="E50" s="25">
        <v>2019</v>
      </c>
      <c r="F50" s="10" t="s">
        <v>12</v>
      </c>
      <c r="G50" s="9">
        <v>60</v>
      </c>
      <c r="H50" s="9"/>
      <c r="I50" s="9"/>
      <c r="J50" s="17"/>
      <c r="K50" s="17"/>
      <c r="L50" s="32"/>
    </row>
    <row r="51" spans="1:12" ht="30" customHeight="1" thickBot="1">
      <c r="A51" s="63"/>
      <c r="B51" s="63"/>
      <c r="C51" s="96"/>
      <c r="D51" s="97"/>
      <c r="E51" s="25">
        <v>2019</v>
      </c>
      <c r="F51" s="10" t="s">
        <v>42</v>
      </c>
      <c r="G51" s="9">
        <v>22.8</v>
      </c>
      <c r="H51" s="9"/>
      <c r="I51" s="9"/>
      <c r="J51" s="9"/>
      <c r="K51" s="9"/>
      <c r="L51" s="32"/>
    </row>
    <row r="52" spans="1:12" ht="30" customHeight="1" thickBot="1">
      <c r="A52" s="63"/>
      <c r="B52" s="63"/>
      <c r="C52" s="98" t="s">
        <v>64</v>
      </c>
      <c r="D52" s="99"/>
      <c r="E52" s="25">
        <v>2019</v>
      </c>
      <c r="F52" s="10" t="s">
        <v>12</v>
      </c>
      <c r="G52" s="9">
        <v>14.6</v>
      </c>
      <c r="H52" s="9"/>
      <c r="I52" s="9"/>
      <c r="J52" s="9"/>
      <c r="K52" s="9"/>
      <c r="L52" s="32"/>
    </row>
    <row r="53" spans="1:12" ht="30" customHeight="1" thickBot="1">
      <c r="A53" s="63"/>
      <c r="B53" s="63"/>
      <c r="C53" s="84" t="s">
        <v>65</v>
      </c>
      <c r="D53" s="86"/>
      <c r="E53" s="25">
        <v>2019</v>
      </c>
      <c r="F53" s="10" t="s">
        <v>12</v>
      </c>
      <c r="G53" s="9">
        <v>50</v>
      </c>
      <c r="H53" s="9"/>
      <c r="I53" s="9"/>
      <c r="J53" s="9"/>
      <c r="K53" s="9"/>
      <c r="L53" s="32"/>
    </row>
    <row r="54" spans="1:12" ht="30" customHeight="1" thickBot="1">
      <c r="A54" s="63"/>
      <c r="B54" s="63"/>
      <c r="C54" s="84" t="s">
        <v>66</v>
      </c>
      <c r="D54" s="86"/>
      <c r="E54" s="25">
        <v>2019</v>
      </c>
      <c r="F54" s="10" t="s">
        <v>42</v>
      </c>
      <c r="G54" s="9">
        <v>60</v>
      </c>
      <c r="H54" s="9"/>
      <c r="I54" s="9"/>
      <c r="J54" s="9"/>
      <c r="K54" s="9"/>
      <c r="L54" s="32"/>
    </row>
    <row r="55" spans="1:12" ht="30" customHeight="1" thickBot="1">
      <c r="A55" s="63"/>
      <c r="B55" s="63"/>
      <c r="C55" s="98" t="s">
        <v>67</v>
      </c>
      <c r="D55" s="99"/>
      <c r="E55" s="25">
        <v>2019</v>
      </c>
      <c r="F55" s="10" t="s">
        <v>12</v>
      </c>
      <c r="G55" s="9"/>
      <c r="H55" s="9"/>
      <c r="I55" s="9"/>
      <c r="J55" s="9"/>
      <c r="K55" s="9"/>
      <c r="L55" s="32"/>
    </row>
    <row r="56" spans="1:12" ht="30" customHeight="1" thickBot="1">
      <c r="A56" s="63"/>
      <c r="B56" s="63"/>
      <c r="C56" s="84" t="s">
        <v>68</v>
      </c>
      <c r="D56" s="86"/>
      <c r="E56" s="25">
        <v>2019</v>
      </c>
      <c r="F56" s="10" t="s">
        <v>12</v>
      </c>
      <c r="G56" s="9">
        <v>76.099999999999994</v>
      </c>
      <c r="H56" s="9"/>
      <c r="I56" s="9"/>
      <c r="J56" s="9"/>
      <c r="K56" s="9"/>
      <c r="L56" s="32"/>
    </row>
    <row r="57" spans="1:12" ht="30" customHeight="1" thickBot="1">
      <c r="A57" s="63"/>
      <c r="B57" s="63"/>
      <c r="C57" s="100" t="s">
        <v>69</v>
      </c>
      <c r="D57" s="101"/>
      <c r="E57" s="25">
        <v>2019</v>
      </c>
      <c r="F57" s="10" t="s">
        <v>12</v>
      </c>
      <c r="G57" s="14"/>
      <c r="H57" s="14"/>
      <c r="I57" s="14"/>
      <c r="J57" s="14"/>
      <c r="K57" s="14"/>
      <c r="L57" s="32"/>
    </row>
    <row r="58" spans="1:12" ht="30" customHeight="1" thickBot="1">
      <c r="A58" s="63"/>
      <c r="B58" s="63"/>
      <c r="C58" s="102"/>
      <c r="D58" s="103"/>
      <c r="E58" s="25">
        <v>2019</v>
      </c>
      <c r="F58" s="10" t="s">
        <v>42</v>
      </c>
      <c r="G58" s="14"/>
      <c r="H58" s="14"/>
      <c r="I58" s="14"/>
      <c r="J58" s="14"/>
      <c r="K58" s="14"/>
      <c r="L58" s="32"/>
    </row>
    <row r="59" spans="1:12" ht="30" customHeight="1" thickBot="1">
      <c r="A59" s="63"/>
      <c r="B59" s="63"/>
      <c r="C59" s="94" t="s">
        <v>70</v>
      </c>
      <c r="D59" s="95"/>
      <c r="E59" s="25">
        <v>2019</v>
      </c>
      <c r="F59" s="10" t="s">
        <v>12</v>
      </c>
      <c r="G59" s="9">
        <v>940</v>
      </c>
      <c r="H59" s="9"/>
      <c r="I59" s="9"/>
      <c r="J59" s="9"/>
      <c r="K59" s="9"/>
      <c r="L59" s="32"/>
    </row>
    <row r="60" spans="1:12" ht="30" customHeight="1" thickBot="1">
      <c r="A60" s="63"/>
      <c r="B60" s="63"/>
      <c r="C60" s="96"/>
      <c r="D60" s="97"/>
      <c r="E60" s="25">
        <v>2019</v>
      </c>
      <c r="F60" s="10" t="s">
        <v>42</v>
      </c>
      <c r="G60" s="9"/>
      <c r="H60" s="9"/>
      <c r="I60" s="9"/>
      <c r="J60" s="9"/>
      <c r="K60" s="9"/>
      <c r="L60" s="32"/>
    </row>
    <row r="61" spans="1:12" ht="30" customHeight="1" thickBot="1">
      <c r="A61" s="63"/>
      <c r="B61" s="63"/>
      <c r="C61" s="94" t="s">
        <v>71</v>
      </c>
      <c r="D61" s="95"/>
      <c r="E61" s="25">
        <v>2019</v>
      </c>
      <c r="F61" s="55" t="s">
        <v>12</v>
      </c>
      <c r="G61" s="106">
        <v>1000</v>
      </c>
      <c r="H61" s="106"/>
      <c r="I61" s="106"/>
      <c r="J61" s="57"/>
      <c r="K61" s="57"/>
      <c r="L61" s="32"/>
    </row>
    <row r="62" spans="1:12" ht="30" customHeight="1" thickBot="1">
      <c r="A62" s="63"/>
      <c r="B62" s="63"/>
      <c r="C62" s="104"/>
      <c r="D62" s="105"/>
      <c r="E62" s="25">
        <v>2019</v>
      </c>
      <c r="F62" s="56"/>
      <c r="G62" s="107"/>
      <c r="H62" s="107"/>
      <c r="I62" s="107"/>
      <c r="J62" s="58"/>
      <c r="K62" s="58"/>
      <c r="L62" s="32"/>
    </row>
    <row r="63" spans="1:12" ht="30" customHeight="1" thickBot="1">
      <c r="A63" s="63"/>
      <c r="B63" s="63"/>
      <c r="C63" s="96"/>
      <c r="D63" s="97"/>
      <c r="E63" s="25">
        <v>2019</v>
      </c>
      <c r="F63" s="10" t="s">
        <v>42</v>
      </c>
      <c r="G63" s="18">
        <v>300</v>
      </c>
      <c r="H63" s="18"/>
      <c r="I63" s="18"/>
      <c r="J63" s="18"/>
      <c r="K63" s="18"/>
      <c r="L63" s="32"/>
    </row>
    <row r="64" spans="1:12" ht="30" customHeight="1" thickBot="1">
      <c r="A64" s="63"/>
      <c r="B64" s="63"/>
      <c r="C64" s="100" t="s">
        <v>72</v>
      </c>
      <c r="D64" s="101"/>
      <c r="E64" s="25">
        <v>2019</v>
      </c>
      <c r="F64" s="55" t="s">
        <v>12</v>
      </c>
      <c r="G64" s="57"/>
      <c r="H64" s="57"/>
      <c r="I64" s="57"/>
      <c r="J64" s="57"/>
      <c r="K64" s="57"/>
      <c r="L64" s="32"/>
    </row>
    <row r="65" spans="1:12" ht="30" customHeight="1" thickBot="1">
      <c r="A65" s="63"/>
      <c r="B65" s="63"/>
      <c r="C65" s="108"/>
      <c r="D65" s="109"/>
      <c r="E65" s="25">
        <v>2019</v>
      </c>
      <c r="F65" s="56"/>
      <c r="G65" s="58"/>
      <c r="H65" s="58"/>
      <c r="I65" s="58"/>
      <c r="J65" s="58"/>
      <c r="K65" s="58"/>
      <c r="L65" s="32"/>
    </row>
    <row r="66" spans="1:12" ht="30" customHeight="1" thickBot="1">
      <c r="A66" s="63"/>
      <c r="B66" s="63"/>
      <c r="C66" s="108"/>
      <c r="D66" s="109"/>
      <c r="E66" s="25">
        <v>2019</v>
      </c>
      <c r="F66" s="55" t="s">
        <v>42</v>
      </c>
      <c r="G66" s="57">
        <v>300</v>
      </c>
      <c r="H66" s="57"/>
      <c r="I66" s="57"/>
      <c r="J66" s="57"/>
      <c r="K66" s="57"/>
      <c r="L66" s="32"/>
    </row>
    <row r="67" spans="1:12" ht="30" customHeight="1" thickBot="1">
      <c r="A67" s="63"/>
      <c r="B67" s="63"/>
      <c r="C67" s="102"/>
      <c r="D67" s="103"/>
      <c r="E67" s="25">
        <v>2019</v>
      </c>
      <c r="F67" s="56"/>
      <c r="G67" s="58"/>
      <c r="H67" s="58"/>
      <c r="I67" s="58"/>
      <c r="J67" s="58"/>
      <c r="K67" s="58"/>
      <c r="L67" s="32"/>
    </row>
    <row r="68" spans="1:12" ht="30" customHeight="1" thickBot="1">
      <c r="A68" s="63"/>
      <c r="B68" s="63"/>
      <c r="C68" s="100" t="s">
        <v>73</v>
      </c>
      <c r="D68" s="101"/>
      <c r="E68" s="25">
        <v>2019</v>
      </c>
      <c r="F68" s="55" t="s">
        <v>12</v>
      </c>
      <c r="G68" s="57"/>
      <c r="H68" s="57"/>
      <c r="I68" s="57"/>
      <c r="J68" s="57"/>
      <c r="K68" s="57"/>
      <c r="L68" s="32"/>
    </row>
    <row r="69" spans="1:12" ht="30" customHeight="1" thickBot="1">
      <c r="A69" s="63"/>
      <c r="B69" s="63"/>
      <c r="C69" s="108"/>
      <c r="D69" s="109"/>
      <c r="E69" s="25">
        <v>2019</v>
      </c>
      <c r="F69" s="56"/>
      <c r="G69" s="58"/>
      <c r="H69" s="58"/>
      <c r="I69" s="58"/>
      <c r="J69" s="58"/>
      <c r="K69" s="58"/>
      <c r="L69" s="32"/>
    </row>
    <row r="70" spans="1:12" ht="30" customHeight="1" thickBot="1">
      <c r="A70" s="63"/>
      <c r="B70" s="63"/>
      <c r="C70" s="108"/>
      <c r="D70" s="109"/>
      <c r="E70" s="25">
        <v>2019</v>
      </c>
      <c r="F70" s="55" t="s">
        <v>42</v>
      </c>
      <c r="G70" s="57">
        <v>300</v>
      </c>
      <c r="H70" s="57"/>
      <c r="I70" s="57"/>
      <c r="J70" s="57"/>
      <c r="K70" s="57"/>
      <c r="L70" s="32"/>
    </row>
    <row r="71" spans="1:12" ht="30" customHeight="1" thickBot="1">
      <c r="A71" s="50"/>
      <c r="B71" s="50"/>
      <c r="C71" s="102"/>
      <c r="D71" s="103"/>
      <c r="E71" s="25">
        <v>2019</v>
      </c>
      <c r="F71" s="56"/>
      <c r="G71" s="58"/>
      <c r="H71" s="58"/>
      <c r="I71" s="58"/>
      <c r="J71" s="58"/>
      <c r="K71" s="58"/>
      <c r="L71" s="32"/>
    </row>
    <row r="72" spans="1:12" ht="30" customHeight="1" thickBot="1">
      <c r="A72" s="49"/>
      <c r="B72" s="49"/>
      <c r="C72" s="110" t="s">
        <v>74</v>
      </c>
      <c r="D72" s="111"/>
      <c r="E72" s="25">
        <v>2019</v>
      </c>
      <c r="F72" s="10" t="s">
        <v>12</v>
      </c>
      <c r="G72" s="9"/>
      <c r="H72" s="9"/>
      <c r="I72" s="9"/>
      <c r="J72" s="9"/>
      <c r="K72" s="9"/>
      <c r="L72" s="32"/>
    </row>
    <row r="73" spans="1:12" ht="30" customHeight="1" thickBot="1">
      <c r="A73" s="63"/>
      <c r="B73" s="63"/>
      <c r="C73" s="112"/>
      <c r="D73" s="113"/>
      <c r="E73" s="25">
        <v>2019</v>
      </c>
      <c r="F73" s="55" t="s">
        <v>42</v>
      </c>
      <c r="G73" s="57"/>
      <c r="H73" s="57"/>
      <c r="I73" s="57"/>
      <c r="J73" s="57"/>
      <c r="K73" s="57"/>
      <c r="L73" s="32"/>
    </row>
    <row r="74" spans="1:12" ht="30" customHeight="1" thickBot="1">
      <c r="A74" s="50"/>
      <c r="B74" s="50"/>
      <c r="C74" s="114"/>
      <c r="D74" s="115"/>
      <c r="E74" s="25">
        <v>2019</v>
      </c>
      <c r="F74" s="56"/>
      <c r="G74" s="58"/>
      <c r="H74" s="58"/>
      <c r="I74" s="58"/>
      <c r="J74" s="58"/>
      <c r="K74" s="58"/>
      <c r="L74" s="32"/>
    </row>
    <row r="75" spans="1:12" ht="30" customHeight="1" thickBot="1">
      <c r="A75" s="49"/>
      <c r="B75" s="49"/>
      <c r="C75" s="100" t="s">
        <v>75</v>
      </c>
      <c r="D75" s="101"/>
      <c r="E75" s="25">
        <v>2019</v>
      </c>
      <c r="F75" s="55" t="s">
        <v>16</v>
      </c>
      <c r="G75" s="57">
        <v>40</v>
      </c>
      <c r="H75" s="61">
        <v>100</v>
      </c>
      <c r="I75" s="61">
        <f>203.1-H75-H49</f>
        <v>68.899999999999991</v>
      </c>
      <c r="J75" s="61">
        <f>443.8-H75-I75-H49</f>
        <v>240.70000000000005</v>
      </c>
      <c r="K75" s="57"/>
      <c r="L75" s="32"/>
    </row>
    <row r="76" spans="1:12" ht="30" customHeight="1" thickBot="1">
      <c r="A76" s="50"/>
      <c r="B76" s="50"/>
      <c r="C76" s="102"/>
      <c r="D76" s="103"/>
      <c r="E76" s="25">
        <v>2019</v>
      </c>
      <c r="F76" s="56"/>
      <c r="G76" s="58"/>
      <c r="H76" s="62"/>
      <c r="I76" s="58"/>
      <c r="J76" s="58"/>
      <c r="K76" s="58"/>
      <c r="L76" s="32"/>
    </row>
    <row r="77" spans="1:12" ht="30" customHeight="1" thickBot="1">
      <c r="A77" s="81" t="s">
        <v>76</v>
      </c>
      <c r="B77" s="82"/>
      <c r="C77" s="82"/>
      <c r="D77" s="82"/>
      <c r="E77" s="82"/>
      <c r="F77" s="83"/>
      <c r="G77" s="19">
        <v>5833.6</v>
      </c>
      <c r="H77" s="19">
        <f>SUM(H45:H76)</f>
        <v>324.2</v>
      </c>
      <c r="I77" s="19">
        <f>SUM(I45:I76)</f>
        <v>68.899999999999991</v>
      </c>
      <c r="J77" s="19">
        <f>SUM(J45:J76)</f>
        <v>240.70000000000005</v>
      </c>
      <c r="K77" s="19"/>
      <c r="L77" s="32"/>
    </row>
    <row r="78" spans="1:12" ht="30" customHeight="1">
      <c r="A78" s="121" t="s">
        <v>58</v>
      </c>
      <c r="B78" s="122"/>
      <c r="C78" s="122"/>
      <c r="D78" s="122"/>
      <c r="E78" s="123"/>
      <c r="F78" s="49" t="s">
        <v>12</v>
      </c>
      <c r="G78" s="118">
        <v>4690.8</v>
      </c>
      <c r="H78" s="120">
        <f>H48</f>
        <v>190</v>
      </c>
      <c r="I78" s="120">
        <f t="shared" ref="I78:K78" si="5">I48</f>
        <v>0</v>
      </c>
      <c r="J78" s="120">
        <f t="shared" si="5"/>
        <v>0</v>
      </c>
      <c r="K78" s="120">
        <f t="shared" si="5"/>
        <v>0</v>
      </c>
      <c r="L78" s="32"/>
    </row>
    <row r="79" spans="1:12" ht="30" customHeight="1" thickBot="1">
      <c r="A79" s="124"/>
      <c r="B79" s="125"/>
      <c r="C79" s="125"/>
      <c r="D79" s="125"/>
      <c r="E79" s="126"/>
      <c r="F79" s="50"/>
      <c r="G79" s="119"/>
      <c r="H79" s="119"/>
      <c r="I79" s="119"/>
      <c r="J79" s="119"/>
      <c r="K79" s="119"/>
      <c r="L79" s="32"/>
    </row>
    <row r="80" spans="1:12" ht="30" customHeight="1">
      <c r="A80" s="51"/>
      <c r="B80" s="116"/>
      <c r="C80" s="116"/>
      <c r="D80" s="116"/>
      <c r="E80" s="52"/>
      <c r="F80" s="49" t="s">
        <v>42</v>
      </c>
      <c r="G80" s="118">
        <v>1142.8</v>
      </c>
      <c r="H80" s="120">
        <f>SUM(H46+H49+H51+H54+H58+H60+H63+H66+H70+H73+H75)</f>
        <v>134.19999999999999</v>
      </c>
      <c r="I80" s="120">
        <f>SUM(I46+I49+I51+I54+I58+I60+I63+I66+I70+I73+I75)</f>
        <v>68.899999999999991</v>
      </c>
      <c r="J80" s="120">
        <f>SUM(J46+J49+J51+J54+J58+J60+J63+J66+J70+J73+J75)</f>
        <v>240.70000000000005</v>
      </c>
      <c r="K80" s="118"/>
      <c r="L80" s="32"/>
    </row>
    <row r="81" spans="1:12" ht="30" customHeight="1" thickBot="1">
      <c r="A81" s="53"/>
      <c r="B81" s="117"/>
      <c r="C81" s="117"/>
      <c r="D81" s="117"/>
      <c r="E81" s="54"/>
      <c r="F81" s="50"/>
      <c r="G81" s="119"/>
      <c r="H81" s="119"/>
      <c r="I81" s="119"/>
      <c r="J81" s="119"/>
      <c r="K81" s="119"/>
      <c r="L81" s="32"/>
    </row>
    <row r="82" spans="1:12" ht="16.5" customHeight="1">
      <c r="A82" s="131"/>
      <c r="B82" s="132"/>
      <c r="C82" s="132"/>
      <c r="D82" s="132"/>
      <c r="E82" s="132"/>
      <c r="F82" s="133"/>
      <c r="G82" s="140">
        <v>37991.1</v>
      </c>
      <c r="H82" s="127">
        <f>H77+H41</f>
        <v>6312.2000000000007</v>
      </c>
      <c r="I82" s="127">
        <f>I77+I41</f>
        <v>5742.6</v>
      </c>
      <c r="J82" s="127">
        <f>J77+J41</f>
        <v>6166.2479999999996</v>
      </c>
      <c r="K82" s="140"/>
      <c r="L82" s="32"/>
    </row>
    <row r="83" spans="1:12" ht="15.95" customHeight="1">
      <c r="A83" s="134" t="s">
        <v>77</v>
      </c>
      <c r="B83" s="135"/>
      <c r="C83" s="135"/>
      <c r="D83" s="135"/>
      <c r="E83" s="135"/>
      <c r="F83" s="136"/>
      <c r="G83" s="141"/>
      <c r="H83" s="128"/>
      <c r="I83" s="128"/>
      <c r="J83" s="128"/>
      <c r="K83" s="141"/>
      <c r="L83" s="32"/>
    </row>
    <row r="84" spans="1:12" ht="30" customHeight="1" thickBot="1">
      <c r="A84" s="137"/>
      <c r="B84" s="138"/>
      <c r="C84" s="138"/>
      <c r="D84" s="138"/>
      <c r="E84" s="138"/>
      <c r="F84" s="139"/>
      <c r="G84" s="142"/>
      <c r="H84" s="129"/>
      <c r="I84" s="129"/>
      <c r="J84" s="129"/>
      <c r="K84" s="142"/>
      <c r="L84" s="32"/>
    </row>
    <row r="85" spans="1:12" ht="30" customHeight="1" thickBot="1">
      <c r="A85" s="81" t="s">
        <v>58</v>
      </c>
      <c r="B85" s="82"/>
      <c r="C85" s="82"/>
      <c r="D85" s="82"/>
      <c r="E85" s="83"/>
      <c r="F85" s="20"/>
      <c r="G85" s="21">
        <v>20909.400000000001</v>
      </c>
      <c r="H85" s="28">
        <f>H78+H42</f>
        <v>3799.6</v>
      </c>
      <c r="I85" s="28">
        <f>I78+I42</f>
        <v>1607.9</v>
      </c>
      <c r="J85" s="28">
        <f>J78+J42</f>
        <v>1261.6479999999997</v>
      </c>
      <c r="K85" s="21"/>
      <c r="L85" s="32"/>
    </row>
    <row r="86" spans="1:12" ht="30" customHeight="1" thickBot="1">
      <c r="A86" s="72"/>
      <c r="B86" s="130"/>
      <c r="C86" s="130"/>
      <c r="D86" s="130"/>
      <c r="E86" s="73"/>
      <c r="F86" s="20"/>
      <c r="G86" s="21">
        <v>17081.7</v>
      </c>
      <c r="H86" s="28">
        <f>H80+H43</f>
        <v>2512.6</v>
      </c>
      <c r="I86" s="28">
        <f>I80+I43</f>
        <v>4134.6999999999989</v>
      </c>
      <c r="J86" s="28">
        <f>J80+J43</f>
        <v>4904.5999999999995</v>
      </c>
      <c r="K86" s="21"/>
      <c r="L86" s="32"/>
    </row>
    <row r="90" spans="1:12">
      <c r="H90" s="29"/>
    </row>
    <row r="91" spans="1:12">
      <c r="H91" s="29"/>
    </row>
  </sheetData>
  <mergeCells count="150">
    <mergeCell ref="A1:L1"/>
    <mergeCell ref="A2:L2"/>
    <mergeCell ref="A3:L3"/>
    <mergeCell ref="A4:L4"/>
    <mergeCell ref="A5:L5"/>
    <mergeCell ref="A6:L6"/>
    <mergeCell ref="A7:L7"/>
    <mergeCell ref="K37:K38"/>
    <mergeCell ref="K61:K62"/>
    <mergeCell ref="K15:K16"/>
    <mergeCell ref="K13:K14"/>
    <mergeCell ref="C53:D53"/>
    <mergeCell ref="C54:D54"/>
    <mergeCell ref="C55:D55"/>
    <mergeCell ref="A43:D43"/>
    <mergeCell ref="E43:F43"/>
    <mergeCell ref="A44:A71"/>
    <mergeCell ref="C44:D44"/>
    <mergeCell ref="B45:B71"/>
    <mergeCell ref="C45:D46"/>
    <mergeCell ref="C47:D47"/>
    <mergeCell ref="C48:D49"/>
    <mergeCell ref="J37:J38"/>
    <mergeCell ref="A41:F41"/>
    <mergeCell ref="K64:K65"/>
    <mergeCell ref="K66:K67"/>
    <mergeCell ref="K68:K69"/>
    <mergeCell ref="K70:K71"/>
    <mergeCell ref="K73:K74"/>
    <mergeCell ref="K78:K79"/>
    <mergeCell ref="K82:K84"/>
    <mergeCell ref="K80:K81"/>
    <mergeCell ref="K75:K76"/>
    <mergeCell ref="J82:J84"/>
    <mergeCell ref="A85:E85"/>
    <mergeCell ref="A86:E86"/>
    <mergeCell ref="A82:F82"/>
    <mergeCell ref="A83:F83"/>
    <mergeCell ref="A84:F84"/>
    <mergeCell ref="G82:G84"/>
    <mergeCell ref="H82:H84"/>
    <mergeCell ref="I82:I84"/>
    <mergeCell ref="A80:E81"/>
    <mergeCell ref="F80:F81"/>
    <mergeCell ref="G80:G81"/>
    <mergeCell ref="H80:H81"/>
    <mergeCell ref="I80:I81"/>
    <mergeCell ref="J80:J81"/>
    <mergeCell ref="I75:I76"/>
    <mergeCell ref="J75:J76"/>
    <mergeCell ref="A77:F77"/>
    <mergeCell ref="A78:E79"/>
    <mergeCell ref="F78:F79"/>
    <mergeCell ref="G78:G79"/>
    <mergeCell ref="H78:H79"/>
    <mergeCell ref="I78:I79"/>
    <mergeCell ref="J78:J79"/>
    <mergeCell ref="H73:H74"/>
    <mergeCell ref="I73:I74"/>
    <mergeCell ref="J73:J74"/>
    <mergeCell ref="A75:A76"/>
    <mergeCell ref="B75:B76"/>
    <mergeCell ref="C75:D76"/>
    <mergeCell ref="F75:F76"/>
    <mergeCell ref="G75:G76"/>
    <mergeCell ref="H75:H76"/>
    <mergeCell ref="A72:A74"/>
    <mergeCell ref="B72:B74"/>
    <mergeCell ref="C72:D74"/>
    <mergeCell ref="F73:F74"/>
    <mergeCell ref="G73:G74"/>
    <mergeCell ref="J68:J69"/>
    <mergeCell ref="F70:F71"/>
    <mergeCell ref="G70:G71"/>
    <mergeCell ref="H70:H71"/>
    <mergeCell ref="I70:I71"/>
    <mergeCell ref="J70:J71"/>
    <mergeCell ref="C68:D71"/>
    <mergeCell ref="F68:F69"/>
    <mergeCell ref="G68:G69"/>
    <mergeCell ref="H68:H69"/>
    <mergeCell ref="I68:I69"/>
    <mergeCell ref="G64:G65"/>
    <mergeCell ref="H64:H65"/>
    <mergeCell ref="C56:D56"/>
    <mergeCell ref="C57:D58"/>
    <mergeCell ref="C59:D60"/>
    <mergeCell ref="C61:D63"/>
    <mergeCell ref="I64:I65"/>
    <mergeCell ref="J64:J65"/>
    <mergeCell ref="F66:F67"/>
    <mergeCell ref="G66:G67"/>
    <mergeCell ref="H66:H67"/>
    <mergeCell ref="I66:I67"/>
    <mergeCell ref="J66:J67"/>
    <mergeCell ref="F61:F62"/>
    <mergeCell ref="G61:G62"/>
    <mergeCell ref="H61:H62"/>
    <mergeCell ref="I61:I62"/>
    <mergeCell ref="J61:J62"/>
    <mergeCell ref="C64:D67"/>
    <mergeCell ref="F64:F65"/>
    <mergeCell ref="A42:D42"/>
    <mergeCell ref="E42:F42"/>
    <mergeCell ref="D35:D36"/>
    <mergeCell ref="D37:D39"/>
    <mergeCell ref="F37:F38"/>
    <mergeCell ref="C50:D51"/>
    <mergeCell ref="C52:D52"/>
    <mergeCell ref="A26:A40"/>
    <mergeCell ref="B26:C40"/>
    <mergeCell ref="D26:D27"/>
    <mergeCell ref="D28:D29"/>
    <mergeCell ref="D31:D32"/>
    <mergeCell ref="D33:D34"/>
    <mergeCell ref="B17:C17"/>
    <mergeCell ref="B18:C18"/>
    <mergeCell ref="B19:C19"/>
    <mergeCell ref="F25:J25"/>
    <mergeCell ref="G13:G14"/>
    <mergeCell ref="H13:H14"/>
    <mergeCell ref="I13:I14"/>
    <mergeCell ref="J13:J14"/>
    <mergeCell ref="G37:G38"/>
    <mergeCell ref="H37:H38"/>
    <mergeCell ref="I37:I38"/>
    <mergeCell ref="B20:C20"/>
    <mergeCell ref="B21:C21"/>
    <mergeCell ref="A22:E22"/>
    <mergeCell ref="A23:E23"/>
    <mergeCell ref="A24:E24"/>
    <mergeCell ref="A25:E25"/>
    <mergeCell ref="G15:G16"/>
    <mergeCell ref="B12:C12"/>
    <mergeCell ref="A13:A14"/>
    <mergeCell ref="B13:C14"/>
    <mergeCell ref="D13:D14"/>
    <mergeCell ref="F13:F14"/>
    <mergeCell ref="H15:H16"/>
    <mergeCell ref="I15:I16"/>
    <mergeCell ref="J15:J16"/>
    <mergeCell ref="A8:A10"/>
    <mergeCell ref="B8:C10"/>
    <mergeCell ref="D8:D10"/>
    <mergeCell ref="E8:E10"/>
    <mergeCell ref="A11:E11"/>
    <mergeCell ref="A15:A16"/>
    <mergeCell ref="B15:C16"/>
    <mergeCell ref="D15:D16"/>
    <mergeCell ref="F15:F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2" manualBreakCount="2">
    <brk id="24" max="10" man="1"/>
    <brk id="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2019-12-17T09:16:56Z</dcterms:modified>
</cp:coreProperties>
</file>